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15.xml" ContentType="application/vnd.openxmlformats-officedocument.spreadsheetml.comments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5.xml.rels" ContentType="application/vnd.openxmlformats-package.relationships+xml"/>
  <Override PartName="/xl/worksheets/_rels/sheet1.xml.rels" ContentType="application/vnd.openxmlformats-package.relationships+xml"/>
  <Override PartName="/xl/worksheets/_rels/sheet12.xml.rels" ContentType="application/vnd.openxmlformats-package.relationships+xml"/>
  <Override PartName="/xl/worksheets/_rels/sheet10.xml.rels" ContentType="application/vnd.openxmlformats-package.relationships+xml"/>
  <Override PartName="/xl/worksheets/_rels/sheet11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0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_rels/workbook.xml.rels" ContentType="application/vnd.openxmlformats-package.relationships+xml"/>
  <Override PartName="/xl/comments16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reset Scenarios" sheetId="1" state="visible" r:id="rId3"/>
    <sheet name="Assumptions" sheetId="2" state="visible" r:id="rId4"/>
    <sheet name="Power Price Assumption" sheetId="3" state="visible" r:id="rId5"/>
    <sheet name="IS" sheetId="4" state="visible" r:id="rId6"/>
    <sheet name="CF" sheetId="5" state="visible" r:id="rId7"/>
    <sheet name="IRR" sheetId="6" state="visible" r:id="rId8"/>
    <sheet name="Debt" sheetId="7" state="visible" r:id="rId9"/>
    <sheet name="Depreciation" sheetId="8" state="visible" r:id="rId10"/>
    <sheet name="Tax" sheetId="9" state="visible" r:id="rId11"/>
    <sheet name="Brownsville" sheetId="10" state="visible" r:id="rId12"/>
    <sheet name="Caledonia" sheetId="11" state="visible" r:id="rId13"/>
    <sheet name="New Albany" sheetId="12" state="visible" r:id="rId14"/>
    <sheet name="Calvert" sheetId="13" state="visible" r:id="rId15"/>
    <sheet name="Wheatland" sheetId="14" state="visible" r:id="rId16"/>
    <sheet name="Wilton" sheetId="15" state="visible" r:id="rId17"/>
    <sheet name="EGC Start Charge Matrix" sheetId="16" state="visible" r:id="rId18"/>
    <sheet name="Allocation" sheetId="17" state="visible" r:id="rId19"/>
  </sheets>
  <externalReferences>
    <externalReference r:id="rId20"/>
  </externalReferences>
  <definedNames>
    <definedName function="false" hidden="false" localSheetId="1" name="_xlnm.Print_Area" vbProcedure="false">Assumptions!$A$2:$U$92</definedName>
    <definedName function="false" hidden="false" localSheetId="9" name="_xlnm.Print_Area" vbProcedure="false">Brownsville!$A$2:$Z$79</definedName>
    <definedName function="false" hidden="false" localSheetId="9" name="_xlnm.Print_Titles" vbProcedure="false">Brownsville!$A:$B</definedName>
    <definedName function="false" hidden="false" localSheetId="10" name="_xlnm.Print_Area" vbProcedure="false">Caledonia!$A$2:$Z$76</definedName>
    <definedName function="false" hidden="false" localSheetId="10" name="_xlnm.Print_Titles" vbProcedure="false">Caledonia!$A:$A</definedName>
    <definedName function="false" hidden="false" localSheetId="12" name="_xlnm.Print_Area" vbProcedure="false">Calvert!$A$2:$Z$79</definedName>
    <definedName function="false" hidden="false" localSheetId="12" name="_xlnm.Print_Titles" vbProcedure="false">Calvert!$A:$B</definedName>
    <definedName function="false" hidden="false" localSheetId="4" name="_xlnm.Print_Area" vbProcedure="false">CF!$A$1:$AA$55</definedName>
    <definedName function="false" hidden="false" localSheetId="4" name="_xlnm.Print_Titles" vbProcedure="false">CF!$A:$B</definedName>
    <definedName function="false" hidden="false" localSheetId="6" name="_xlnm.Print_Area" vbProcedure="false">Debt!$A$13:$V$119</definedName>
    <definedName function="false" hidden="false" localSheetId="6" name="_xlnm.Print_Titles" vbProcedure="false">Debt!$A:$A</definedName>
    <definedName function="false" hidden="false" localSheetId="7" name="_xlnm.Print_Area" vbProcedure="false">Depreciation!$A$2:$AE$80</definedName>
    <definedName function="false" hidden="false" localSheetId="7" name="_xlnm.Print_Titles" vbProcedure="false">Depreciation!$A:$A</definedName>
    <definedName function="false" hidden="false" localSheetId="15" name="_xlnm.Print_Area" vbProcedure="false">'EGC Start Charge Matrix'!$A$2:$AM$35</definedName>
    <definedName function="false" hidden="false" localSheetId="5" name="_xlnm.Print_Area" vbProcedure="false">IRR!$A$1:$AU$50</definedName>
    <definedName function="false" hidden="false" localSheetId="5" name="_xlnm.Print_Titles" vbProcedure="false">IRR!$A:$B</definedName>
    <definedName function="false" hidden="false" localSheetId="3" name="_xlnm.Print_Area" vbProcedure="false">IS!$A$2:$Z$68</definedName>
    <definedName function="false" hidden="false" localSheetId="3" name="_xlnm.Print_Titles" vbProcedure="false">IS!$A:$A</definedName>
    <definedName function="false" hidden="false" localSheetId="11" name="_xlnm.Print_Area" vbProcedure="false">'New Albany'!$A$2:$Z$79</definedName>
    <definedName function="false" hidden="false" localSheetId="11" name="_xlnm.Print_Titles" vbProcedure="false">'New Albany'!$A:$B</definedName>
    <definedName function="false" hidden="false" localSheetId="0" name="_xlnm.Print_Area" vbProcedure="false">'Preset Scenarios'!$A$1:$M$57</definedName>
    <definedName function="false" hidden="false" localSheetId="8" name="_xlnm.Print_Area" vbProcedure="false">Tax!$A$2:$Y$48</definedName>
    <definedName function="false" hidden="false" localSheetId="8" name="_xlnm.Print_Titles" vbProcedure="false">Tax!$A:$C</definedName>
    <definedName function="false" hidden="false" localSheetId="13" name="_xlnm.Print_Area" vbProcedure="false">Wheatland!$A$2:$Z$91</definedName>
    <definedName function="false" hidden="false" localSheetId="13" name="_xlnm.Print_Titles" vbProcedure="false">Wheatland!$A:$B</definedName>
    <definedName function="false" hidden="false" localSheetId="14" name="_xlnm.Print_Area" vbProcedure="false">Wilton!$A$2:$Z$79</definedName>
    <definedName function="false" hidden="false" localSheetId="14" name="_xlnm.Print_Titles" vbProcedure="false">Wilton!$A:$B</definedName>
    <definedName function="false" hidden="false" localSheetId="11" name="blm_share" vbProcedure="false">#REF!</definedName>
    <definedName function="false" hidden="false" localSheetId="11" name="coso" vbProcedure="false">#REF!</definedName>
    <definedName function="false" hidden="false" localSheetId="11" name="Coso_Distributable_Cash" vbProcedure="false">'New Albany'!$I$520:$Z$520</definedName>
    <definedName function="false" hidden="false" localSheetId="11" name="Coso_Net_ATCash" vbProcedure="false">'New Albany'!$I$521:$Z$521</definedName>
    <definedName function="false" hidden="false" localSheetId="11" name="Coso_Net_Income" vbProcedure="false">'New Albany'!$I$519:$Z$519</definedName>
    <definedName function="false" hidden="false" localSheetId="11" name="Distributable_Cash" vbProcedure="false">#REF!</definedName>
    <definedName function="false" hidden="false" localSheetId="11" name="Energy_Credit_Coso" vbProcedure="false">'New Albany'!$I$514:$Z$514</definedName>
    <definedName function="false" hidden="false" localSheetId="11" name="Energy_Credit_Imperial" vbProcedure="false">#REF!</definedName>
    <definedName function="false" hidden="false" localSheetId="11" name="FPOC_Distributable_Cash" vbProcedure="false">'New Albany'!$I$461:$S$461</definedName>
    <definedName function="false" hidden="false" localSheetId="11" name="FPOC_Net_ATCash" vbProcedure="false">'New Albany'!$I$463:$S$463</definedName>
    <definedName function="false" hidden="false" localSheetId="11" name="FPOC_Net_Income" vbProcedure="false">'New Albany'!$I$463:$S$463</definedName>
    <definedName function="false" hidden="false" localSheetId="11" name="FSGC_ATCash" vbProcedure="false">'New Albany'!$I$298:$M$298</definedName>
    <definedName function="false" hidden="false" localSheetId="11" name="FSGC_Distributable_Cash" vbProcedure="false">'New Albany'!$H$296:$M$296</definedName>
    <definedName function="false" hidden="false" localSheetId="11" name="FSGC_Net_Income" vbProcedure="false">'New Albany'!$I$298:$M$298</definedName>
    <definedName function="false" hidden="false" localSheetId="11" name="Imperial_Distributable_Cash" vbProcedure="false">'New Albany'!$E$76:$Z$76</definedName>
    <definedName function="false" hidden="false" localSheetId="11" name="Imperial_Geothermal" vbProcedure="false">#REF!</definedName>
    <definedName function="false" hidden="false" localSheetId="11" name="Imperial_Net_ATCash" vbProcedure="false">#REF!</definedName>
    <definedName function="false" hidden="false" localSheetId="11" name="Imperial_Net_Income" vbProcedure="false">'New Albany'!$E$75:$Z$75</definedName>
    <definedName function="false" hidden="false" localSheetId="11" name="Minerals" vbProcedure="false">#REF!</definedName>
    <definedName function="false" hidden="false" localSheetId="11" name="Minerals_Distributable_Cash" vbProcedure="false">'New Albany'!$I$197:$Z$197</definedName>
    <definedName function="false" hidden="false" localSheetId="11" name="Minerals_Net_ATCash" vbProcedure="false">'New Albany'!$I$198:$Z$198</definedName>
    <definedName function="false" hidden="false" localSheetId="11" name="Minerals_Net_Income" vbProcedure="false">'New Albany'!$I$196:$Z$196</definedName>
    <definedName function="false" hidden="false" localSheetId="11" name="navyII_share" vbProcedure="false">#REF!</definedName>
    <definedName function="false" hidden="false" localSheetId="11" name="navyi_share" vbProcedure="false">#REF!</definedName>
    <definedName function="false" hidden="false" localSheetId="11" name="Net_ATCash" vbProcedure="false">#REF!</definedName>
    <definedName function="false" hidden="false" localSheetId="11" name="Net_Income_Unlevered" vbProcedure="false">#REF!</definedName>
    <definedName function="false" hidden="false" localSheetId="11" name="Norcon_Distributable_Cash" vbProcedure="false">'New Albany'!$F$562:$Q$562</definedName>
    <definedName function="false" hidden="false" localSheetId="11" name="Norcon_Net_ATCash" vbProcedure="false">'New Albany'!$F$563:$Q$563</definedName>
    <definedName function="false" hidden="false" localSheetId="11" name="Norcon_Net_Income" vbProcedure="false">'New Albany'!$F$561:$Q$561</definedName>
    <definedName function="false" hidden="false" localSheetId="11" name="PRI_Cash_Taxes" vbProcedure="false">'New Albany'!$I$241:$M$241</definedName>
    <definedName function="false" hidden="false" localSheetId="11" name="PRI_Net_ATCash" vbProcedure="false">'New Albany'!$I$249:$M$249</definedName>
    <definedName function="false" hidden="false" localSheetId="11" name="PRI_Net_Income" vbProcedure="false">'New Albany'!$I$248:$M$248</definedName>
    <definedName function="false" hidden="false" localSheetId="11" name="Saranac_Distributable_Cash" vbProcedure="false">'New Albany'!$I$416:$S$416</definedName>
    <definedName function="false" hidden="false" localSheetId="11" name="Saranac_Net_ATCash" vbProcedure="false">'New Albany'!$I$417:$S$417</definedName>
    <definedName function="false" hidden="false" localSheetId="11" name="Saranac_Net_Income" vbProcedure="false">'New Albany'!$I$415:$S$415</definedName>
    <definedName function="false" hidden="false" localSheetId="11" name="Taxable_Income" vbProcedure="false">#REF!</definedName>
    <definedName function="false" hidden="false" localSheetId="11" name="Tax_Depreciation" vbProcedure="false">#REF!</definedName>
    <definedName function="false" hidden="false" localSheetId="11" name="Yuma_Distributable_Cash" vbProcedure="false">'New Albany'!$I$378:$Z$378</definedName>
    <definedName function="false" hidden="false" localSheetId="11" name="Yuma_Net_ATCash" vbProcedure="false">'New Albany'!$I$379:$Z$379</definedName>
    <definedName function="false" hidden="false" localSheetId="11" name="Yuma_Net_Income" vbProcedure="false">'New Albany'!$I$377:$Z$377</definedName>
    <definedName function="false" hidden="false" localSheetId="11" name="zinc" vbProcedure="false">'New Albany'!$AC$21</definedName>
    <definedName function="false" hidden="false" localSheetId="11" name="Zinc_Distributable_Cash" vbProcedure="false">'New Albany'!$I$142:$Z$142</definedName>
    <definedName function="false" hidden="false" localSheetId="11" name="Zinc_Net_ATCash" vbProcedure="false">'New Albany'!$I$143:$Z$143</definedName>
    <definedName function="false" hidden="false" localSheetId="11" name="Zinc_Net_Income" vbProcedure="false">'New Albany'!$I$141:$Z$141</definedName>
    <definedName function="false" hidden="false" localSheetId="12" name="blm_share" vbProcedure="false">#REF!</definedName>
    <definedName function="false" hidden="false" localSheetId="12" name="coso" vbProcedure="false">#REF!</definedName>
    <definedName function="false" hidden="false" localSheetId="12" name="Coso_Distributable_Cash" vbProcedure="false">Calvert!$I$520:$Z$520</definedName>
    <definedName function="false" hidden="false" localSheetId="12" name="Coso_Net_ATCash" vbProcedure="false">Calvert!$I$521:$Z$521</definedName>
    <definedName function="false" hidden="false" localSheetId="12" name="Coso_Net_Income" vbProcedure="false">Calvert!$I$519:$Z$519</definedName>
    <definedName function="false" hidden="false" localSheetId="12" name="Distributable_Cash" vbProcedure="false">#REF!</definedName>
    <definedName function="false" hidden="false" localSheetId="12" name="Energy_Credit_Coso" vbProcedure="false">Calvert!$I$514:$Z$514</definedName>
    <definedName function="false" hidden="false" localSheetId="12" name="Energy_Credit_Imperial" vbProcedure="false">#REF!</definedName>
    <definedName function="false" hidden="false" localSheetId="12" name="FPOC_Distributable_Cash" vbProcedure="false">Calvert!$I$461:$S$461</definedName>
    <definedName function="false" hidden="false" localSheetId="12" name="FPOC_Net_ATCash" vbProcedure="false">Calvert!$I$463:$S$463</definedName>
    <definedName function="false" hidden="false" localSheetId="12" name="FPOC_Net_Income" vbProcedure="false">Calvert!$I$463:$S$463</definedName>
    <definedName function="false" hidden="false" localSheetId="12" name="FSGC_ATCash" vbProcedure="false">Calvert!$I$298:$M$298</definedName>
    <definedName function="false" hidden="false" localSheetId="12" name="FSGC_Distributable_Cash" vbProcedure="false">Calvert!$H$296:$M$296</definedName>
    <definedName function="false" hidden="false" localSheetId="12" name="FSGC_Net_Income" vbProcedure="false">Calvert!$I$298:$M$298</definedName>
    <definedName function="false" hidden="false" localSheetId="12" name="Imperial_Distributable_Cash" vbProcedure="false">Calvert!$E$76:$Z$76</definedName>
    <definedName function="false" hidden="false" localSheetId="12" name="Imperial_Geothermal" vbProcedure="false">#REF!</definedName>
    <definedName function="false" hidden="false" localSheetId="12" name="Imperial_Net_ATCash" vbProcedure="false">#REF!</definedName>
    <definedName function="false" hidden="false" localSheetId="12" name="Imperial_Net_Income" vbProcedure="false">Calvert!$E$75:$Z$75</definedName>
    <definedName function="false" hidden="false" localSheetId="12" name="Minerals" vbProcedure="false">#REF!</definedName>
    <definedName function="false" hidden="false" localSheetId="12" name="Minerals_Distributable_Cash" vbProcedure="false">Calvert!$I$197:$Z$197</definedName>
    <definedName function="false" hidden="false" localSheetId="12" name="Minerals_Net_ATCash" vbProcedure="false">Calvert!$I$198:$Z$198</definedName>
    <definedName function="false" hidden="false" localSheetId="12" name="Minerals_Net_Income" vbProcedure="false">Calvert!$I$196:$Z$196</definedName>
    <definedName function="false" hidden="false" localSheetId="12" name="navyII_share" vbProcedure="false">#REF!</definedName>
    <definedName function="false" hidden="false" localSheetId="12" name="navyi_share" vbProcedure="false">#REF!</definedName>
    <definedName function="false" hidden="false" localSheetId="12" name="Net_ATCash" vbProcedure="false">#REF!</definedName>
    <definedName function="false" hidden="false" localSheetId="12" name="Net_Income_Unlevered" vbProcedure="false">#REF!</definedName>
    <definedName function="false" hidden="false" localSheetId="12" name="Norcon_Distributable_Cash" vbProcedure="false">Calvert!$F$562:$Q$562</definedName>
    <definedName function="false" hidden="false" localSheetId="12" name="Norcon_Net_ATCash" vbProcedure="false">Calvert!$F$563:$Q$563</definedName>
    <definedName function="false" hidden="false" localSheetId="12" name="Norcon_Net_Income" vbProcedure="false">Calvert!$F$561:$Q$561</definedName>
    <definedName function="false" hidden="false" localSheetId="12" name="PRI_Cash_Taxes" vbProcedure="false">Calvert!$I$241:$M$241</definedName>
    <definedName function="false" hidden="false" localSheetId="12" name="PRI_Net_ATCash" vbProcedure="false">Calvert!$I$249:$M$249</definedName>
    <definedName function="false" hidden="false" localSheetId="12" name="PRI_Net_Income" vbProcedure="false">Calvert!$I$248:$M$248</definedName>
    <definedName function="false" hidden="false" localSheetId="12" name="Saranac_Distributable_Cash" vbProcedure="false">Calvert!$I$416:$S$416</definedName>
    <definedName function="false" hidden="false" localSheetId="12" name="Saranac_Net_ATCash" vbProcedure="false">Calvert!$I$417:$S$417</definedName>
    <definedName function="false" hidden="false" localSheetId="12" name="Saranac_Net_Income" vbProcedure="false">Calvert!$I$415:$S$415</definedName>
    <definedName function="false" hidden="false" localSheetId="12" name="Taxable_Income" vbProcedure="false">#REF!</definedName>
    <definedName function="false" hidden="false" localSheetId="12" name="Tax_Depreciation" vbProcedure="false">#REF!</definedName>
    <definedName function="false" hidden="false" localSheetId="12" name="Yuma_Distributable_Cash" vbProcedure="false">Calvert!$I$378:$Z$378</definedName>
    <definedName function="false" hidden="false" localSheetId="12" name="Yuma_Net_ATCash" vbProcedure="false">Calvert!$I$379:$Z$379</definedName>
    <definedName function="false" hidden="false" localSheetId="12" name="Yuma_Net_Income" vbProcedure="false">Calvert!$I$377:$Z$377</definedName>
    <definedName function="false" hidden="false" localSheetId="12" name="zinc" vbProcedure="false">Calvert!$AC$21</definedName>
    <definedName function="false" hidden="false" localSheetId="12" name="Zinc_Distributable_Cash" vbProcedure="false">Calvert!$I$142:$Z$142</definedName>
    <definedName function="false" hidden="false" localSheetId="12" name="Zinc_Net_ATCash" vbProcedure="false">Calvert!$I$143:$Z$143</definedName>
    <definedName function="false" hidden="false" localSheetId="12" name="Zinc_Net_Income" vbProcedure="false">Calvert!$I$141:$Z$141</definedName>
    <definedName function="false" hidden="false" localSheetId="13" name="blm_share" vbProcedure="false">#REF!</definedName>
    <definedName function="false" hidden="false" localSheetId="13" name="coso" vbProcedure="false">#REF!</definedName>
    <definedName function="false" hidden="false" localSheetId="13" name="Coso_Distributable_Cash" vbProcedure="false">Wheatland!$I$522:$Z$522</definedName>
    <definedName function="false" hidden="false" localSheetId="13" name="Coso_Net_ATCash" vbProcedure="false">Wheatland!$I$523:$Z$523</definedName>
    <definedName function="false" hidden="false" localSheetId="13" name="Coso_Net_Income" vbProcedure="false">Wheatland!$I$521:$Z$521</definedName>
    <definedName function="false" hidden="false" localSheetId="13" name="Distributable_Cash" vbProcedure="false">#REF!</definedName>
    <definedName function="false" hidden="false" localSheetId="13" name="Energy_Credit_Coso" vbProcedure="false">Wheatland!$I$516:$Z$516</definedName>
    <definedName function="false" hidden="false" localSheetId="13" name="Energy_Credit_Imperial" vbProcedure="false">#REF!</definedName>
    <definedName function="false" hidden="false" localSheetId="13" name="FPOC_Distributable_Cash" vbProcedure="false">Wheatland!$I$463:$S$463</definedName>
    <definedName function="false" hidden="false" localSheetId="13" name="FPOC_Net_ATCash" vbProcedure="false">Wheatland!$I$465:$S$465</definedName>
    <definedName function="false" hidden="false" localSheetId="13" name="FPOC_Net_Income" vbProcedure="false">Wheatland!$I$465:$S$465</definedName>
    <definedName function="false" hidden="false" localSheetId="13" name="FSGC_ATCash" vbProcedure="false">Wheatland!$I$300:$M$300</definedName>
    <definedName function="false" hidden="false" localSheetId="13" name="FSGC_Distributable_Cash" vbProcedure="false">Wheatland!$H$298:$M$298</definedName>
    <definedName function="false" hidden="false" localSheetId="13" name="FSGC_Net_Income" vbProcedure="false">Wheatland!$I$300:$M$300</definedName>
    <definedName function="false" hidden="false" localSheetId="13" name="Imperial_Distributable_Cash" vbProcedure="false">Wheatland!$E$76:$Z$76</definedName>
    <definedName function="false" hidden="false" localSheetId="13" name="Imperial_Geothermal" vbProcedure="false">#REF!</definedName>
    <definedName function="false" hidden="false" localSheetId="13" name="Imperial_Net_ATCash" vbProcedure="false">#REF!</definedName>
    <definedName function="false" hidden="false" localSheetId="13" name="Imperial_Net_Income" vbProcedure="false">Wheatland!$E$75:$Z$75</definedName>
    <definedName function="false" hidden="false" localSheetId="13" name="Minerals" vbProcedure="false">#REF!</definedName>
    <definedName function="false" hidden="false" localSheetId="13" name="Minerals_Distributable_Cash" vbProcedure="false">Wheatland!$I$199:$Z$199</definedName>
    <definedName function="false" hidden="false" localSheetId="13" name="Minerals_Net_ATCash" vbProcedure="false">Wheatland!$I$200:$Z$200</definedName>
    <definedName function="false" hidden="false" localSheetId="13" name="Minerals_Net_Income" vbProcedure="false">Wheatland!$I$198:$Z$198</definedName>
    <definedName function="false" hidden="false" localSheetId="13" name="navyII_share" vbProcedure="false">#REF!</definedName>
    <definedName function="false" hidden="false" localSheetId="13" name="navyi_share" vbProcedure="false">#REF!</definedName>
    <definedName function="false" hidden="false" localSheetId="13" name="Net_ATCash" vbProcedure="false">#REF!</definedName>
    <definedName function="false" hidden="false" localSheetId="13" name="Net_Income_Unlevered" vbProcedure="false">#REF!</definedName>
    <definedName function="false" hidden="false" localSheetId="13" name="Norcon_Distributable_Cash" vbProcedure="false">Wheatland!$F$564:$Q$564</definedName>
    <definedName function="false" hidden="false" localSheetId="13" name="Norcon_Net_ATCash" vbProcedure="false">Wheatland!$F$565:$Q$565</definedName>
    <definedName function="false" hidden="false" localSheetId="13" name="Norcon_Net_Income" vbProcedure="false">Wheatland!$F$563:$Q$563</definedName>
    <definedName function="false" hidden="false" localSheetId="13" name="PRI_Cash_Taxes" vbProcedure="false">Wheatland!$I$243:$M$243</definedName>
    <definedName function="false" hidden="false" localSheetId="13" name="PRI_Net_ATCash" vbProcedure="false">Wheatland!$I$251:$M$251</definedName>
    <definedName function="false" hidden="false" localSheetId="13" name="PRI_Net_Income" vbProcedure="false">Wheatland!$I$250:$M$250</definedName>
    <definedName function="false" hidden="false" localSheetId="13" name="Saranac_Distributable_Cash" vbProcedure="false">Wheatland!$I$418:$S$418</definedName>
    <definedName function="false" hidden="false" localSheetId="13" name="Saranac_Net_ATCash" vbProcedure="false">Wheatland!$I$419:$S$419</definedName>
    <definedName function="false" hidden="false" localSheetId="13" name="Saranac_Net_Income" vbProcedure="false">Wheatland!$I$417:$S$417</definedName>
    <definedName function="false" hidden="false" localSheetId="13" name="Taxable_Income" vbProcedure="false">#REF!</definedName>
    <definedName function="false" hidden="false" localSheetId="13" name="Tax_Depreciation" vbProcedure="false">#REF!</definedName>
    <definedName function="false" hidden="false" localSheetId="13" name="Yuma_Distributable_Cash" vbProcedure="false">Wheatland!$I$380:$Z$380</definedName>
    <definedName function="false" hidden="false" localSheetId="13" name="Yuma_Net_ATCash" vbProcedure="false">Wheatland!$I$381:$Z$381</definedName>
    <definedName function="false" hidden="false" localSheetId="13" name="Yuma_Net_Income" vbProcedure="false">Wheatland!$I$379:$Z$379</definedName>
    <definedName function="false" hidden="false" localSheetId="13" name="zinc" vbProcedure="false">Wheatland!$AC$19</definedName>
    <definedName function="false" hidden="false" localSheetId="13" name="Zinc_Distributable_Cash" vbProcedure="false">Wheatland!$I$144:$Z$144</definedName>
    <definedName function="false" hidden="false" localSheetId="13" name="Zinc_Net_ATCash" vbProcedure="false">Wheatland!$I$145:$Z$145</definedName>
    <definedName function="false" hidden="false" localSheetId="13" name="Zinc_Net_Income" vbProcedure="false">Wheatland!$I$143:$Z$143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509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506</xdr:row>
                <xdr:rowOff>15</xdr:rowOff>
              </xdr:from>
              <xdr:to>
                <xdr:col>3</xdr:col>
                <xdr:colOff>26</xdr:colOff>
                <xdr:row>511</xdr:row>
                <xdr:rowOff>3</xdr:rowOff>
              </xdr:to>
            </anchor>
          </commentPr>
        </mc:Choice>
        <mc:Fallback/>
      </mc:AlternateContent>
    </comment>
    <comment ref="B488" authorId="0">
      <text>
        <r>
          <rPr>
            <sz val="8"/>
            <color rgb="FF000000"/>
            <rFont val="Tahoma"/>
            <family val="0"/>
          </rPr>
          <t xml:space="preserve">Management Fee Toggle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485</xdr:row>
                <xdr:rowOff>15</xdr:rowOff>
              </xdr:from>
              <xdr:to>
                <xdr:col>4</xdr:col>
                <xdr:colOff>26</xdr:colOff>
                <xdr:row>490</xdr:row>
                <xdr:rowOff>3</xdr:rowOff>
              </xdr:to>
            </anchor>
          </commentPr>
        </mc:Choice>
        <mc:Fallback/>
      </mc:AlternateContent>
    </comment>
    <comment ref="I420" authorId="0">
      <text>
        <r>
          <rPr>
            <sz val="8"/>
            <color rgb="FF000000"/>
            <rFont val="Tahoma"/>
            <family val="0"/>
          </rPr>
          <t xml:space="preserve">Calculation prepared here to account from non-deduction of book depreciation.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33</xdr:colOff>
                <xdr:row>417</xdr:row>
                <xdr:rowOff>15</xdr:rowOff>
              </xdr:from>
              <xdr:to>
                <xdr:col>11</xdr:col>
                <xdr:colOff>12</xdr:colOff>
                <xdr:row>422</xdr:row>
                <xdr:rowOff>3</xdr:rowOff>
              </xdr:to>
            </anchor>
          </commentPr>
        </mc:Choice>
        <mc:Fallback/>
      </mc:AlternateContent>
    </comment>
    <comment ref="I514" authorId="0">
      <text>
        <r>
          <rPr>
            <sz val="8"/>
            <color rgb="FF000000"/>
            <rFont val="Tahoma"/>
            <family val="0"/>
          </rPr>
          <t xml:space="preserve">Eliminated due to CapEx related to well drilling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33</xdr:colOff>
                <xdr:row>511</xdr:row>
                <xdr:rowOff>15</xdr:rowOff>
              </xdr:from>
              <xdr:to>
                <xdr:col>11</xdr:col>
                <xdr:colOff>12</xdr:colOff>
                <xdr:row>516</xdr:row>
                <xdr:rowOff>3</xdr:rowOff>
              </xdr:to>
            </anchor>
          </commentPr>
        </mc:Choice>
        <mc:Fallback/>
      </mc:AlternateContent>
    </comment>
  </commentList>
</comments>
</file>

<file path=xl/comments1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509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506</xdr:row>
                <xdr:rowOff>9</xdr:rowOff>
              </xdr:from>
              <xdr:to>
                <xdr:col>3</xdr:col>
                <xdr:colOff>26</xdr:colOff>
                <xdr:row>510</xdr:row>
                <xdr:rowOff>13</xdr:rowOff>
              </xdr:to>
            </anchor>
          </commentPr>
        </mc:Choice>
        <mc:Fallback/>
      </mc:AlternateContent>
    </comment>
    <comment ref="B488" authorId="0">
      <text>
        <r>
          <rPr>
            <sz val="8"/>
            <color rgb="FF000000"/>
            <rFont val="Tahoma"/>
            <family val="0"/>
          </rPr>
          <t xml:space="preserve">Management Fee Toggle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485</xdr:row>
                <xdr:rowOff>9</xdr:rowOff>
              </xdr:from>
              <xdr:to>
                <xdr:col>4</xdr:col>
                <xdr:colOff>26</xdr:colOff>
                <xdr:row>489</xdr:row>
                <xdr:rowOff>13</xdr:rowOff>
              </xdr:to>
            </anchor>
          </commentPr>
        </mc:Choice>
        <mc:Fallback/>
      </mc:AlternateContent>
    </comment>
    <comment ref="I420" authorId="0">
      <text>
        <r>
          <rPr>
            <sz val="8"/>
            <color rgb="FF000000"/>
            <rFont val="Tahoma"/>
            <family val="0"/>
          </rPr>
          <t xml:space="preserve">Calculation prepared here to account from non-deduction of book depreciation.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33</xdr:colOff>
                <xdr:row>417</xdr:row>
                <xdr:rowOff>9</xdr:rowOff>
              </xdr:from>
              <xdr:to>
                <xdr:col>11</xdr:col>
                <xdr:colOff>12</xdr:colOff>
                <xdr:row>421</xdr:row>
                <xdr:rowOff>13</xdr:rowOff>
              </xdr:to>
            </anchor>
          </commentPr>
        </mc:Choice>
        <mc:Fallback/>
      </mc:AlternateContent>
    </comment>
    <comment ref="I514" authorId="0">
      <text>
        <r>
          <rPr>
            <sz val="8"/>
            <color rgb="FF000000"/>
            <rFont val="Tahoma"/>
            <family val="0"/>
          </rPr>
          <t xml:space="preserve">Eliminated due to CapEx related to well drilling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33</xdr:colOff>
                <xdr:row>511</xdr:row>
                <xdr:rowOff>9</xdr:rowOff>
              </xdr:from>
              <xdr:to>
                <xdr:col>11</xdr:col>
                <xdr:colOff>12</xdr:colOff>
                <xdr:row>515</xdr:row>
                <xdr:rowOff>13</xdr:rowOff>
              </xdr:to>
            </anchor>
          </commentPr>
        </mc:Choice>
        <mc:Fallback/>
      </mc:AlternateContent>
    </comment>
  </commentList>
</comments>
</file>

<file path=xl/comments1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509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505</xdr:row>
                <xdr:rowOff>13</xdr:rowOff>
              </xdr:from>
              <xdr:to>
                <xdr:col>3</xdr:col>
                <xdr:colOff>26</xdr:colOff>
                <xdr:row>510</xdr:row>
                <xdr:rowOff>1</xdr:rowOff>
              </xdr:to>
            </anchor>
          </commentPr>
        </mc:Choice>
        <mc:Fallback/>
      </mc:AlternateContent>
    </comment>
    <comment ref="B488" authorId="0">
      <text>
        <r>
          <rPr>
            <sz val="8"/>
            <color rgb="FF000000"/>
            <rFont val="Tahoma"/>
            <family val="0"/>
          </rPr>
          <t xml:space="preserve">Management Fee Toggle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484</xdr:row>
                <xdr:rowOff>13</xdr:rowOff>
              </xdr:from>
              <xdr:to>
                <xdr:col>4</xdr:col>
                <xdr:colOff>18</xdr:colOff>
                <xdr:row>489</xdr:row>
                <xdr:rowOff>1</xdr:rowOff>
              </xdr:to>
            </anchor>
          </commentPr>
        </mc:Choice>
        <mc:Fallback/>
      </mc:AlternateContent>
    </comment>
    <comment ref="I420" authorId="0">
      <text>
        <r>
          <rPr>
            <sz val="8"/>
            <color rgb="FF000000"/>
            <rFont val="Tahoma"/>
            <family val="0"/>
          </rPr>
          <t xml:space="preserve">Calculation prepared here to account from non-deduction of book depreciation.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24</xdr:colOff>
                <xdr:row>416</xdr:row>
                <xdr:rowOff>13</xdr:rowOff>
              </xdr:from>
              <xdr:to>
                <xdr:col>11</xdr:col>
                <xdr:colOff>3</xdr:colOff>
                <xdr:row>421</xdr:row>
                <xdr:rowOff>1</xdr:rowOff>
              </xdr:to>
            </anchor>
          </commentPr>
        </mc:Choice>
        <mc:Fallback/>
      </mc:AlternateContent>
    </comment>
    <comment ref="I514" authorId="0">
      <text>
        <r>
          <rPr>
            <sz val="8"/>
            <color rgb="FF000000"/>
            <rFont val="Tahoma"/>
            <family val="0"/>
          </rPr>
          <t xml:space="preserve">Eliminated due to CapEx related to well drilling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24</xdr:colOff>
                <xdr:row>510</xdr:row>
                <xdr:rowOff>13</xdr:rowOff>
              </xdr:from>
              <xdr:to>
                <xdr:col>11</xdr:col>
                <xdr:colOff>3</xdr:colOff>
                <xdr:row>515</xdr:row>
                <xdr:rowOff>1</xdr:rowOff>
              </xdr:to>
            </anchor>
          </commentPr>
        </mc:Choice>
        <mc:Fallback/>
      </mc:AlternateContent>
    </comment>
  </commentList>
</comments>
</file>

<file path=xl/comments1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509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506</xdr:row>
                <xdr:rowOff>9</xdr:rowOff>
              </xdr:from>
              <xdr:to>
                <xdr:col>3</xdr:col>
                <xdr:colOff>16</xdr:colOff>
                <xdr:row>510</xdr:row>
                <xdr:rowOff>15</xdr:rowOff>
              </xdr:to>
            </anchor>
          </commentPr>
        </mc:Choice>
        <mc:Fallback/>
      </mc:AlternateContent>
    </comment>
    <comment ref="B488" authorId="0">
      <text>
        <r>
          <rPr>
            <sz val="8"/>
            <color rgb="FF000000"/>
            <rFont val="Tahoma"/>
            <family val="0"/>
          </rPr>
          <t xml:space="preserve">Management Fee Toggle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485</xdr:row>
                <xdr:rowOff>9</xdr:rowOff>
              </xdr:from>
              <xdr:to>
                <xdr:col>4</xdr:col>
                <xdr:colOff>4</xdr:colOff>
                <xdr:row>489</xdr:row>
                <xdr:rowOff>15</xdr:rowOff>
              </xdr:to>
            </anchor>
          </commentPr>
        </mc:Choice>
        <mc:Fallback/>
      </mc:AlternateContent>
    </comment>
    <comment ref="I420" authorId="0">
      <text>
        <r>
          <rPr>
            <sz val="8"/>
            <color rgb="FF000000"/>
            <rFont val="Tahoma"/>
            <family val="0"/>
          </rPr>
          <t xml:space="preserve">Calculation prepared here to account from non-deduction of book depreciation.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22</xdr:colOff>
                <xdr:row>417</xdr:row>
                <xdr:rowOff>9</xdr:rowOff>
              </xdr:from>
              <xdr:to>
                <xdr:col>11</xdr:col>
                <xdr:colOff>0</xdr:colOff>
                <xdr:row>421</xdr:row>
                <xdr:rowOff>15</xdr:rowOff>
              </xdr:to>
            </anchor>
          </commentPr>
        </mc:Choice>
        <mc:Fallback/>
      </mc:AlternateContent>
    </comment>
    <comment ref="I514" authorId="0">
      <text>
        <r>
          <rPr>
            <sz val="8"/>
            <color rgb="FF000000"/>
            <rFont val="Tahoma"/>
            <family val="0"/>
          </rPr>
          <t xml:space="preserve">Eliminated due to CapEx related to well drilling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22</xdr:colOff>
                <xdr:row>511</xdr:row>
                <xdr:rowOff>9</xdr:rowOff>
              </xdr:from>
              <xdr:to>
                <xdr:col>11</xdr:col>
                <xdr:colOff>0</xdr:colOff>
                <xdr:row>515</xdr:row>
                <xdr:rowOff>15</xdr:rowOff>
              </xdr:to>
            </anchor>
          </commentPr>
        </mc:Choice>
        <mc:Fallback/>
      </mc:AlternateContent>
    </comment>
  </commentList>
</comments>
</file>

<file path=xl/comments1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G7" authorId="0">
      <text>
        <r>
          <rPr>
            <sz val="8"/>
            <color rgb="FF000000"/>
            <rFont val="Tahoma"/>
            <family val="0"/>
          </rPr>
          <t xml:space="preserve">ect:
Average cost per turbine used due to different turbine types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5</xdr:row>
                <xdr:rowOff>12</xdr:rowOff>
              </xdr:from>
              <xdr:to>
                <xdr:col>8</xdr:col>
                <xdr:colOff>38</xdr:colOff>
                <xdr:row>8</xdr:row>
                <xdr:rowOff>20</xdr:rowOff>
              </xdr:to>
            </anchor>
          </commentPr>
        </mc:Choice>
        <mc:Fallback/>
      </mc:AlternateContent>
    </comment>
    <comment ref="AA7" authorId="0">
      <text>
        <r>
          <rPr>
            <sz val="8"/>
            <color rgb="FF000000"/>
            <rFont val="Tahoma"/>
            <family val="0"/>
          </rPr>
          <t xml:space="preserve">ect:
Average cost per turbine used due to different turbine types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27</xdr:col>
                <xdr:colOff>16</xdr:colOff>
                <xdr:row>5</xdr:row>
                <xdr:rowOff>12</xdr:rowOff>
              </xdr:from>
              <xdr:to>
                <xdr:col>28</xdr:col>
                <xdr:colOff>38</xdr:colOff>
                <xdr:row>8</xdr:row>
                <xdr:rowOff>20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<sst xmlns="http://schemas.openxmlformats.org/spreadsheetml/2006/main" count="1163" uniqueCount="517">
  <si>
    <t xml:space="preserve">NOTES</t>
  </si>
  <si>
    <t xml:space="preserve">50%Equity0830-Oct PPA, 12MDSCR-730Debt.xls</t>
  </si>
  <si>
    <t xml:space="preserve">Calvert and Wheatland start 7/1, Wilton 6/1</t>
  </si>
  <si>
    <t xml:space="preserve">Debt has New Int Rts. 8/23 Spreads 7/20</t>
  </si>
  <si>
    <t xml:space="preserve">Prop Taxes Updated for Bvll GR tax and Wheat Tax</t>
  </si>
  <si>
    <t xml:space="preserve">Semi-annual Distributions</t>
  </si>
  <si>
    <t xml:space="preserve">No XIRRs</t>
  </si>
  <si>
    <t xml:space="preserve">1.  Please note that in the "IRR" page, cells B60, B64, and B68 must be updated by hand each time you run a scenario on this page.</t>
  </si>
  <si>
    <t xml:space="preserve">  In order to calculate the IRR correctly you must change these cells to the respective values in cells D62, D66, and D70 and then recalculate.</t>
  </si>
  <si>
    <t xml:space="preserve">2. All cells with blue font and yellow shading are input cells</t>
  </si>
  <si>
    <t xml:space="preserve">3. To run custom capacity price scenarios, please input the custom prices in yellow shaded rows provided  in "Power Price Assumptions"</t>
  </si>
  <si>
    <t xml:space="preserve">4. You can run preset scenarios in the "Preset Scenarios" section below.</t>
  </si>
  <si>
    <t xml:space="preserve">5. Please direct all questions concerning the model to:</t>
  </si>
  <si>
    <t xml:space="preserve">Mark Bernstein</t>
  </si>
  <si>
    <t xml:space="preserve">- Enron</t>
  </si>
  <si>
    <t xml:space="preserve">(713) 853-7516</t>
  </si>
  <si>
    <t xml:space="preserve">Reda Khatim</t>
  </si>
  <si>
    <t xml:space="preserve">- CSFB</t>
  </si>
  <si>
    <t xml:space="preserve">(212) 325-9142</t>
  </si>
  <si>
    <t xml:space="preserve">Clement Lau</t>
  </si>
  <si>
    <t xml:space="preserve">(713) 853-9446</t>
  </si>
  <si>
    <t xml:space="preserve">Grant Zimmerman</t>
  </si>
  <si>
    <t xml:space="preserve">(713) 853-6210</t>
  </si>
  <si>
    <t xml:space="preserve">PRESET SCENARIOS</t>
  </si>
  <si>
    <t xml:space="preserve">Annual Escalator </t>
  </si>
  <si>
    <t xml:space="preserve">(include costs, revenues, and capacity prices)</t>
  </si>
  <si>
    <t xml:space="preserve">Operating Expenses</t>
  </si>
  <si>
    <t xml:space="preserve">Dispatch</t>
  </si>
  <si>
    <t xml:space="preserve">Kaiser Capacity Price Estimates</t>
  </si>
  <si>
    <t xml:space="preserve">Sensitivity Selections:</t>
  </si>
  <si>
    <t xml:space="preserve">Choices</t>
  </si>
  <si>
    <t xml:space="preserve">Annual Escalator (%)</t>
  </si>
  <si>
    <t xml:space="preserve">Increase in Operating Expense (%)</t>
  </si>
  <si>
    <t xml:space="preserve">Kaiser Price Options</t>
  </si>
  <si>
    <t xml:space="preserve">Base</t>
  </si>
  <si>
    <t xml:space="preserve">Low</t>
  </si>
  <si>
    <t xml:space="preserve">Customize</t>
  </si>
  <si>
    <t xml:space="preserve">Chosen</t>
  </si>
  <si>
    <t xml:space="preserve">EQUITY</t>
  </si>
  <si>
    <t xml:space="preserve">DSCR</t>
  </si>
  <si>
    <t xml:space="preserve">PARTNER'S</t>
  </si>
  <si>
    <t xml:space="preserve">FIXED PRICE PERIOD</t>
  </si>
  <si>
    <t xml:space="preserve">MARKET PRICE PERIOD</t>
  </si>
  <si>
    <t xml:space="preserve">IRR</t>
  </si>
  <si>
    <t xml:space="preserve">MIN</t>
  </si>
  <si>
    <t xml:space="preserve">AVGE</t>
  </si>
  <si>
    <t xml:space="preserve">AVG</t>
  </si>
  <si>
    <t xml:space="preserve">Current (Semi-Annual)</t>
  </si>
  <si>
    <t xml:space="preserve">Market period MIN and AVG coverage to the left do not include 8/15/03.</t>
  </si>
  <si>
    <t xml:space="preserve">Current (Annual)</t>
  </si>
  <si>
    <t xml:space="preserve">Remove 1 month Depr for Wheatland &amp; Wilton (Semi-Annual)</t>
  </si>
  <si>
    <t xml:space="preserve">Remove 1 month Depr for Wheatland &amp; Wilton (Annual)</t>
  </si>
  <si>
    <t xml:space="preserve">Switch Allocation Between Wheatland &amp; Wilton (Semi-Annual)</t>
  </si>
  <si>
    <t xml:space="preserve">Switch Allocation Between Wheatland &amp; Wilton (Annual)</t>
  </si>
  <si>
    <t xml:space="preserve">Change # of Months for Wilton &amp; Calvert (Semi-Annual)</t>
  </si>
  <si>
    <t xml:space="preserve">Change # of Months for Wilton &amp; Calvert (Annual)</t>
  </si>
  <si>
    <t xml:space="preserve">Misc Changes Include New Debt Amortization Schedules (Semi-Annual)</t>
  </si>
  <si>
    <t xml:space="preserve">Misc Changes Include New Debt Amortization Schedules (Annual)</t>
  </si>
  <si>
    <t xml:space="preserve">Use 7/20 Rates at Old Covgs (Semi-Annual)</t>
  </si>
  <si>
    <t xml:space="preserve">Use 7/20 Rates at Old Covgs (Annual)</t>
  </si>
  <si>
    <t xml:space="preserve">Allocate Enron Undertakings to 1999 Projects (Semi-Annual)</t>
  </si>
  <si>
    <t xml:space="preserve">Allocate Enron Undertakings to 1999 Projects (Annual)</t>
  </si>
  <si>
    <t xml:space="preserve">Semi-Annual EBITDA Alloc for 7/1 Start at CC/ Wheat (Semi-Annual)</t>
  </si>
  <si>
    <t xml:space="preserve">Semi-Annual EBITDA Alloc for 7/1 Start at CC/ Wheat (Annual)</t>
  </si>
  <si>
    <t xml:space="preserve">Start Tranche 1 Amort 2/15/00 (Semi-Annual)</t>
  </si>
  <si>
    <t xml:space="preserve">Start Tranche 1 Amort 2/15/00 (Annual)</t>
  </si>
  <si>
    <t xml:space="preserve">Fix Cap Int and Add 2/15/00 Tax to IRR (Semi-Annual)</t>
  </si>
  <si>
    <t xml:space="preserve">Fix Cap Int and Add 2/15/00 Tax to IRR (Annual)</t>
  </si>
  <si>
    <t xml:space="preserve">Add DSLOC to 99 and Start CC and Wheat 7/1 (Semi-Annual)</t>
  </si>
  <si>
    <t xml:space="preserve">Add DSLOC to 99 and Start CC and Wheat 7/1 (Annual)</t>
  </si>
  <si>
    <t xml:space="preserve">Fix Depreciation Book and Tax (IS and CF, IRR) (Semi-Annual)</t>
  </si>
  <si>
    <t xml:space="preserve">Fix Depreciation Book and Tax (IS and CF, IRR) (Annual)</t>
  </si>
  <si>
    <t xml:space="preserve">August Debt (Semi-Annual)</t>
  </si>
  <si>
    <t xml:space="preserve">August Debt (Annual)</t>
  </si>
  <si>
    <t xml:space="preserve">D&amp;E at 525 and 775 with old rates (Semi-Annual)</t>
  </si>
  <si>
    <t xml:space="preserve">D&amp;E at 525 and 775 with old rates (Annual)</t>
  </si>
  <si>
    <t xml:space="preserve">Property Tax Update (Semi-Annual)</t>
  </si>
  <si>
    <t xml:space="preserve">Property Tax Update (Annual)</t>
  </si>
  <si>
    <t xml:space="preserve">Resize Equity (Semi-Annual)</t>
  </si>
  <si>
    <t xml:space="preserve">Resize Equity (Annual)</t>
  </si>
  <si>
    <t xml:space="preserve">Increase Mkt Period Var Costs for ISO (Semi-Annual)</t>
  </si>
  <si>
    <t xml:space="preserve">Increase Mkt Period Var Costs for ISO (Annual)</t>
  </si>
  <si>
    <t xml:space="preserve">Re amortize for 2.09 covg 2/15/04 (Semi-Annual)</t>
  </si>
  <si>
    <t xml:space="preserve">Re amortize for 2.09 covg 2/15/04 (Annual)</t>
  </si>
  <si>
    <t xml:space="preserve">Take Debt to 750 total (Semi-Annual)</t>
  </si>
  <si>
    <t xml:space="preserve">Take Debt to 750 total (Annual)</t>
  </si>
  <si>
    <t xml:space="preserve">Equity at $457.3MM (Semi-Annual)</t>
  </si>
  <si>
    <t xml:space="preserve">Equity at $457.3 MM (Annual)</t>
  </si>
  <si>
    <t xml:space="preserve">Equity at $525 MM (Semi-Annual)</t>
  </si>
  <si>
    <t xml:space="preserve">Equity at $525 MM (Annual)</t>
  </si>
  <si>
    <t xml:space="preserve">Taking Debt Down $2MM and getting 2/04 up to 2.0 (Semi-Annual)</t>
  </si>
  <si>
    <t xml:space="preserve">Taking Debt Down $2MM and getting 2/04 up to 2.0 (Annual)</t>
  </si>
  <si>
    <t xml:space="preserve">Adding Capitalized Interest to the Sources (Semi-Annual)</t>
  </si>
  <si>
    <t xml:space="preserve">Adding Capitalized Interest to the Sources (Annual)</t>
  </si>
  <si>
    <t xml:space="preserve">IRR Model OctStart4 (Semi-Annual)</t>
  </si>
  <si>
    <t xml:space="preserve">IRR Model OctStart4 Current (Annual)</t>
  </si>
  <si>
    <t xml:space="preserve">Update Rates as of 7-20-99</t>
  </si>
  <si>
    <t xml:space="preserve">Resize Debt &amp; Equity to fit Old DSCR (with minor adjustment), and 12.08% Equity Returns (Based On Semi-Annual Distributions)</t>
  </si>
  <si>
    <t xml:space="preserve">Remove Undertakings and Interest Income for 1999 but add ECT Loan with No Repayment</t>
  </si>
  <si>
    <t xml:space="preserve">Changed Capitalized Interest Calculation</t>
  </si>
  <si>
    <t xml:space="preserve">Change Debt Start Date, PPA, Transfer, etc. to 10/1/99</t>
  </si>
  <si>
    <t xml:space="preserve">Changes to the Debt &amp; IRR Page, Semi-Annual Distributions</t>
  </si>
  <si>
    <t xml:space="preserve">Change Weighted State Tax Calculation</t>
  </si>
  <si>
    <t xml:space="preserve">Latest ISO MWs in the Market Period</t>
  </si>
  <si>
    <t xml:space="preserve">Changes To Brownsville Gross Receipts Tax</t>
  </si>
  <si>
    <t xml:space="preserve">Remove Wheatland Supplemental Tax Double Counting</t>
  </si>
  <si>
    <t xml:space="preserve">Base Model Sent to People</t>
  </si>
  <si>
    <t xml:space="preserve">Residual Value Calculation</t>
  </si>
  <si>
    <t xml:space="preserve">No Change</t>
  </si>
  <si>
    <t xml:space="preserve">Zero Dispatch Scenario</t>
  </si>
  <si>
    <t xml:space="preserve">Links For ICF Low Case For Wheatland</t>
  </si>
  <si>
    <t xml:space="preserve">Capitalized Interest Calculation</t>
  </si>
  <si>
    <t xml:space="preserve">Debt Assumptions and PPA Start Date</t>
  </si>
  <si>
    <t xml:space="preserve">Property, Other Taxes, &amp; Tax Benefits</t>
  </si>
  <si>
    <t xml:space="preserve">Marketing Fee</t>
  </si>
  <si>
    <t xml:space="preserve">Base Model Sent to All Equity Investors in April</t>
  </si>
  <si>
    <t xml:space="preserve">Unhide Sub Debt, 1999 Columns</t>
  </si>
  <si>
    <t xml:space="preserve">ASSUMPTIONS &amp; SUMMARY OUTPUT</t>
  </si>
  <si>
    <t xml:space="preserve">SOURCES &amp; USES:</t>
  </si>
  <si>
    <t xml:space="preserve">TECHNICAL ASSUMPTIONS:</t>
  </si>
  <si>
    <t xml:space="preserve">1999 PROJECTS</t>
  </si>
  <si>
    <t xml:space="preserve">2000 PROJECTS</t>
  </si>
  <si>
    <t xml:space="preserve">Sources of Funds</t>
  </si>
  <si>
    <t xml:space="preserve">%</t>
  </si>
  <si>
    <t xml:space="preserve">000 $</t>
  </si>
  <si>
    <t xml:space="preserve">Uses of Funds 1999</t>
  </si>
  <si>
    <t xml:space="preserve">Total Equity </t>
  </si>
  <si>
    <t xml:space="preserve">1999 Uses</t>
  </si>
  <si>
    <t xml:space="preserve">Brownsville</t>
  </si>
  <si>
    <t xml:space="preserve">Caledonia</t>
  </si>
  <si>
    <t xml:space="preserve">New Albany</t>
  </si>
  <si>
    <t xml:space="preserve">Calvert</t>
  </si>
  <si>
    <t xml:space="preserve">Wheatland</t>
  </si>
  <si>
    <t xml:space="preserve">Wilton</t>
  </si>
  <si>
    <t xml:space="preserve">Bond Proceeds</t>
  </si>
  <si>
    <t xml:space="preserve">2000 Uses</t>
  </si>
  <si>
    <t xml:space="preserve">Nominal Capacity (MW)</t>
  </si>
  <si>
    <t xml:space="preserve">Degradation Factor</t>
  </si>
  <si>
    <t xml:space="preserve">Total Sources</t>
  </si>
  <si>
    <t xml:space="preserve">Transactions Costs</t>
  </si>
  <si>
    <t xml:space="preserve">Number of Turbines</t>
  </si>
  <si>
    <t xml:space="preserve">Capitalized Interest</t>
  </si>
  <si>
    <t xml:space="preserve">Heat Rate Btu/ kWh</t>
  </si>
  <si>
    <t xml:space="preserve">Equity Partner's Share</t>
  </si>
  <si>
    <t xml:space="preserve">Permitted Hours</t>
  </si>
  <si>
    <t xml:space="preserve">Enron's Share</t>
  </si>
  <si>
    <t xml:space="preserve"> Total Uses</t>
  </si>
  <si>
    <t xml:space="preserve">Annual Operating Hours</t>
  </si>
  <si>
    <t xml:space="preserve">Annual Generation (MWh)</t>
  </si>
  <si>
    <t xml:space="preserve">    from 1/1/2000 till 5/31/2000 only</t>
  </si>
  <si>
    <t xml:space="preserve">CAPITAL MARKET DEBT ASSUMPTIONS:</t>
  </si>
  <si>
    <t xml:space="preserve">Debt Issued </t>
  </si>
  <si>
    <t xml:space="preserve">    from 6/1/2000 to 5/31/2003</t>
  </si>
  <si>
    <t xml:space="preserve">Equity Closed</t>
  </si>
  <si>
    <t xml:space="preserve">Initial Spare Parts (000$)</t>
  </si>
  <si>
    <t xml:space="preserve">Number of Starts per year</t>
  </si>
  <si>
    <t xml:space="preserve">Tranche 1</t>
  </si>
  <si>
    <t xml:space="preserve">Tranche 2</t>
  </si>
  <si>
    <t xml:space="preserve">Tranche 3</t>
  </si>
  <si>
    <t xml:space="preserve">Total</t>
  </si>
  <si>
    <t xml:space="preserve">Evaporative Cooler (MW) (only from 6/1/2000 onwards)</t>
  </si>
  <si>
    <t xml:space="preserve">Summary</t>
  </si>
  <si>
    <t xml:space="preserve">Amount ('000 $)</t>
  </si>
  <si>
    <t xml:space="preserve">PPA &amp; MARKET PRICE ASSUMPTIONS:</t>
  </si>
  <si>
    <t xml:space="preserve">Term (yrs)</t>
  </si>
  <si>
    <t xml:space="preserve">Final Maturity</t>
  </si>
  <si>
    <t xml:space="preserve">PPA Period</t>
  </si>
  <si>
    <t xml:space="preserve">Average Life (yrs)</t>
  </si>
  <si>
    <t xml:space="preserve">Demand Charge ($/kW-m)</t>
  </si>
  <si>
    <t xml:space="preserve">Energy Charge ($/MWh)</t>
  </si>
  <si>
    <t xml:space="preserve">Block Charge ($/start/turbine)</t>
  </si>
  <si>
    <t xml:space="preserve">Treasury Rate (%)</t>
  </si>
  <si>
    <t xml:space="preserve">Contractual Capacity</t>
  </si>
  <si>
    <t xml:space="preserve">Spread (%)</t>
  </si>
  <si>
    <t xml:space="preserve">All In Coupon Rate (%)</t>
  </si>
  <si>
    <t xml:space="preserve">Maximum DSR Amount (12mths) (000 $)</t>
  </si>
  <si>
    <t xml:space="preserve">Market Period</t>
  </si>
  <si>
    <t xml:space="preserve">Debt Service Reserve LOC Fee</t>
  </si>
  <si>
    <t xml:space="preserve">Degraded Capacity (used during market price period)</t>
  </si>
  <si>
    <t xml:space="preserve">Interest Income Rate</t>
  </si>
  <si>
    <t xml:space="preserve">Annual Degraded Generation (MWh)</t>
  </si>
  <si>
    <t xml:space="preserve">Capacity Factor for Market Period Energy Margins</t>
  </si>
  <si>
    <t xml:space="preserve">Market Period Energy Margin ($/MWh)</t>
  </si>
  <si>
    <t xml:space="preserve">DEPRECIATION ASSUMPTIONS:</t>
  </si>
  <si>
    <t xml:space="preserve">Initial Basis (000 $)</t>
  </si>
  <si>
    <t xml:space="preserve">End of Fixed Price Period</t>
  </si>
  <si>
    <t xml:space="preserve">Year</t>
  </si>
  <si>
    <t xml:space="preserve">Method</t>
  </si>
  <si>
    <t xml:space="preserve">Residual (%)</t>
  </si>
  <si>
    <t xml:space="preserve">Annual Escalator (Variable Rate Only)</t>
  </si>
  <si>
    <t xml:space="preserve">Federal &amp; State Tax Depreciation</t>
  </si>
  <si>
    <t xml:space="preserve">EPC Costs </t>
  </si>
  <si>
    <t xml:space="preserve">MACRS</t>
  </si>
  <si>
    <t xml:space="preserve">TAX ASSUMPTIONS:</t>
  </si>
  <si>
    <t xml:space="preserve">Transaction Costs </t>
  </si>
  <si>
    <t xml:space="preserve">SL</t>
  </si>
  <si>
    <t xml:space="preserve">Federal Income Tax Rate</t>
  </si>
  <si>
    <t xml:space="preserve">Book Depreciation</t>
  </si>
  <si>
    <t xml:space="preserve">State Income Tax Rate</t>
  </si>
  <si>
    <t xml:space="preserve">Franchise Tax Rate</t>
  </si>
  <si>
    <t xml:space="preserve">Gross Receipt Tax Rate</t>
  </si>
  <si>
    <t xml:space="preserve">N/A</t>
  </si>
  <si>
    <t xml:space="preserve">OPERATING COSTS ASSUMPTIONS:</t>
  </si>
  <si>
    <t xml:space="preserve">SUMMARY OUTPUT:</t>
  </si>
  <si>
    <t xml:space="preserve">Variable O&amp;M ($/MWh)</t>
  </si>
  <si>
    <t xml:space="preserve">Marketing Fee ($/kW -m in 2003 $)</t>
  </si>
  <si>
    <t xml:space="preserve">Min</t>
  </si>
  <si>
    <t xml:space="preserve">Avg.</t>
  </si>
  <si>
    <t xml:space="preserve">Fixed Price Period (2000 - 2002)</t>
  </si>
  <si>
    <t xml:space="preserve">CPI Escalator</t>
  </si>
  <si>
    <t xml:space="preserve">Market Price Period (2003 - 2019)</t>
  </si>
  <si>
    <t xml:space="preserve">Operating Months in the 1st yr.*</t>
  </si>
  <si>
    <t xml:space="preserve">1999 Projects</t>
  </si>
  <si>
    <t xml:space="preserve">2000 Projects</t>
  </si>
  <si>
    <t xml:space="preserve">1999 &amp; 2000 Projects</t>
  </si>
  <si>
    <t xml:space="preserve">Escalated Costs (1999 $):</t>
  </si>
  <si>
    <t xml:space="preserve">Average Heat Rate (average) (Btu/kWh)</t>
  </si>
  <si>
    <t xml:space="preserve">Fixed O&amp;M</t>
  </si>
  <si>
    <t xml:space="preserve">Variable O&amp;M</t>
  </si>
  <si>
    <t xml:space="preserve">Total Nominal Capacity for 1999 &amp; 2000 Projects (MW)</t>
  </si>
  <si>
    <t xml:space="preserve">Total Cost per MW (000 $)</t>
  </si>
  <si>
    <t xml:space="preserve">    fron 6/2003 onward</t>
  </si>
  <si>
    <t xml:space="preserve">Major Maintenance &amp; Ongoing Capex</t>
  </si>
  <si>
    <r>
      <rPr>
        <sz val="12"/>
        <rFont val="Times New Roman"/>
        <family val="1"/>
      </rPr>
      <t xml:space="preserve">Equity Partner's IRR w After-Tax Cashflow &amp; w/o Residual Value (20 yrs) </t>
    </r>
    <r>
      <rPr>
        <vertAlign val="superscript"/>
        <sz val="12"/>
        <rFont val="Times New Roman"/>
        <family val="1"/>
      </rPr>
      <t xml:space="preserve">(1)</t>
    </r>
  </si>
  <si>
    <t xml:space="preserve">Insurance</t>
  </si>
  <si>
    <r>
      <rPr>
        <sz val="12"/>
        <rFont val="Times New Roman"/>
        <family val="1"/>
      </rPr>
      <t xml:space="preserve">Equity Partner's IRR w After -Tax Cashflow &amp; 25% Before-Tax Total Cost Residual Value (20 yrs) </t>
    </r>
    <r>
      <rPr>
        <vertAlign val="superscript"/>
        <sz val="12"/>
        <rFont val="Times New Roman"/>
        <family val="1"/>
      </rPr>
      <t xml:space="preserve">(1)</t>
    </r>
  </si>
  <si>
    <t xml:space="preserve">SG&amp;A </t>
  </si>
  <si>
    <r>
      <rPr>
        <sz val="12"/>
        <rFont val="Times New Roman"/>
        <family val="1"/>
      </rPr>
      <t xml:space="preserve">Equity Partner's IRR w After-Tax Cashflow &amp; 5x EBITDA Residual Value (20 yrs) </t>
    </r>
    <r>
      <rPr>
        <vertAlign val="superscript"/>
        <sz val="12"/>
        <rFont val="Times New Roman"/>
        <family val="1"/>
      </rPr>
      <t xml:space="preserve">(1)</t>
    </r>
  </si>
  <si>
    <t xml:space="preserve">Utilities, Start Power</t>
  </si>
  <si>
    <t xml:space="preserve">Admin Fees</t>
  </si>
  <si>
    <t xml:space="preserve">O&amp;M Fees</t>
  </si>
  <si>
    <t xml:space="preserve">EGC EBITDA (000 $)</t>
  </si>
  <si>
    <t xml:space="preserve">Non-Escalated Costs (1999 $):</t>
  </si>
  <si>
    <t xml:space="preserve">EGC Net Income (000 $)</t>
  </si>
  <si>
    <t xml:space="preserve">Property Taxes &amp; Other (4yr Avg.)</t>
  </si>
  <si>
    <t xml:space="preserve">EGC Pre-Tax Cashflow (000 $)</t>
  </si>
  <si>
    <t xml:space="preserve">*Operations for 1999 projects not included in EGC results until 1/1/2000.</t>
  </si>
  <si>
    <t xml:space="preserve">EGC After-Tax Cashflow (000 $)</t>
  </si>
  <si>
    <t xml:space="preserve">FUEL </t>
  </si>
  <si>
    <t xml:space="preserve">(de-escalate at 3% to 1998 $, and using nominal MW)</t>
  </si>
  <si>
    <r>
      <rPr>
        <sz val="12"/>
        <rFont val="Times New Roman"/>
        <family val="1"/>
      </rPr>
      <t xml:space="preserve">Fixed O&amp;M (1998$/ kWyr)</t>
    </r>
    <r>
      <rPr>
        <b val="true"/>
        <vertAlign val="superscript"/>
        <sz val="9"/>
        <rFont val="Times New Roman"/>
        <family val="1"/>
      </rPr>
      <t xml:space="preserve">*</t>
    </r>
  </si>
  <si>
    <t xml:space="preserve">Variable O&amp;M (1998$/MWh)</t>
  </si>
  <si>
    <t xml:space="preserve">Capital Costs (1998$/kW-m)</t>
  </si>
  <si>
    <t xml:space="preserve">Heat Rate (BTU/kWh)</t>
  </si>
  <si>
    <t xml:space="preserve">* Include Fixed O&amp;M, Insurance, SG&amp;A, Property Tax, Admin Fees, O&amp;M Fees, and Utilities Start Power</t>
  </si>
  <si>
    <t xml:space="preserve">* If include Major Maintenance, the average Fixed O&amp;M (1998$/ kWyr) would be $8.39/ kWyr</t>
  </si>
  <si>
    <r>
      <rPr>
        <sz val="12"/>
        <rFont val="Times New Roman"/>
        <family val="1"/>
      </rPr>
      <t xml:space="preserve">Fixed O&amp;M (1998$/ kWyr)</t>
    </r>
    <r>
      <rPr>
        <b val="true"/>
        <vertAlign val="superscript"/>
        <sz val="9"/>
        <rFont val="Times New Roman"/>
        <family val="1"/>
      </rPr>
      <t xml:space="preserve">**</t>
    </r>
  </si>
  <si>
    <r>
      <rPr>
        <sz val="12"/>
        <rFont val="Times New Roman"/>
        <family val="1"/>
      </rPr>
      <t xml:space="preserve">Variable O&amp;M (1998$/MWh)</t>
    </r>
    <r>
      <rPr>
        <b val="true"/>
        <vertAlign val="superscript"/>
        <sz val="9"/>
        <rFont val="Times New Roman"/>
        <family val="1"/>
      </rPr>
      <t xml:space="preserve">**</t>
    </r>
  </si>
  <si>
    <t xml:space="preserve">* Includes 2/3 Major Maintenance to Fixed O&amp;M, 1/3 Major Maintenance to Variable O&amp;M  </t>
  </si>
  <si>
    <t xml:space="preserve">POWER PRICE ASSUMPTIONS</t>
  </si>
  <si>
    <t xml:space="preserve">Kaiser Capacity Price Escalator</t>
  </si>
  <si>
    <t xml:space="preserve">TVA Capacity Curves:</t>
  </si>
  <si>
    <t xml:space="preserve">(for Caledonia, New Albany, Brownsville and Calvert City)</t>
  </si>
  <si>
    <t xml:space="preserve">1998 $</t>
  </si>
  <si>
    <t xml:space="preserve">Kaiser Base ($/kw-year)</t>
  </si>
  <si>
    <t xml:space="preserve">Kaiser Low ($/kw-year)</t>
  </si>
  <si>
    <t xml:space="preserve">Nominal $</t>
  </si>
  <si>
    <t xml:space="preserve">Kaiser Base ($/kw-year )</t>
  </si>
  <si>
    <t xml:space="preserve">Kaiser Base ($/kW-month)</t>
  </si>
  <si>
    <t xml:space="preserve">Kaiser Low ($/kW-month)</t>
  </si>
  <si>
    <t xml:space="preserve">Custom</t>
  </si>
  <si>
    <t xml:space="preserve">PPA Fixed Price ($/kW-month)</t>
  </si>
  <si>
    <t xml:space="preserve">Kaiser Scenario after 2003</t>
  </si>
  <si>
    <t xml:space="preserve">ComEd Capacity Curves:</t>
  </si>
  <si>
    <t xml:space="preserve">(for Wilton Center)</t>
  </si>
  <si>
    <t xml:space="preserve">Debt Service Reserve LOC Fee (Nominal $)</t>
  </si>
  <si>
    <t xml:space="preserve">Southern ECAR Capacity Curves:</t>
  </si>
  <si>
    <t xml:space="preserve">(for Wheatland)</t>
  </si>
  <si>
    <t xml:space="preserve">EGC INCOME STATEMENT</t>
  </si>
  <si>
    <t xml:space="preserve">('000 $)</t>
  </si>
  <si>
    <t xml:space="preserve">Revenue</t>
  </si>
  <si>
    <t xml:space="preserve">PPA Period:</t>
  </si>
  <si>
    <t xml:space="preserve">Demand Payment</t>
  </si>
  <si>
    <t xml:space="preserve">Energy Payment</t>
  </si>
  <si>
    <t xml:space="preserve">Block Payment</t>
  </si>
  <si>
    <t xml:space="preserve">Market Period:</t>
  </si>
  <si>
    <t xml:space="preserve">Variable Revenue </t>
  </si>
  <si>
    <t xml:space="preserve">Energy Margin</t>
  </si>
  <si>
    <t xml:space="preserve">Enron's Undertaking For LOC Fee</t>
  </si>
  <si>
    <t xml:space="preserve">Interest Income from Enron</t>
  </si>
  <si>
    <t xml:space="preserve">Total Revenue</t>
  </si>
  <si>
    <t xml:space="preserve">Expense</t>
  </si>
  <si>
    <t xml:space="preserve">Fuel </t>
  </si>
  <si>
    <t xml:space="preserve">Variable O&amp;M </t>
  </si>
  <si>
    <t xml:space="preserve">Utility Start Power</t>
  </si>
  <si>
    <r>
      <rPr>
        <sz val="10"/>
        <rFont val="Times New Roman"/>
        <family val="1"/>
      </rPr>
      <t xml:space="preserve">Property, Other Tax </t>
    </r>
    <r>
      <rPr>
        <vertAlign val="superscript"/>
        <sz val="10"/>
        <rFont val="Times New Roman"/>
        <family val="1"/>
      </rPr>
      <t xml:space="preserve">(1)</t>
    </r>
  </si>
  <si>
    <t xml:space="preserve">Administrative Fee</t>
  </si>
  <si>
    <t xml:space="preserve">O&amp;M Fees </t>
  </si>
  <si>
    <t xml:space="preserve">Total Expense</t>
  </si>
  <si>
    <t xml:space="preserve">EBITDA</t>
  </si>
  <si>
    <t xml:space="preserve">Depreciation &amp; Amortization</t>
  </si>
  <si>
    <t xml:space="preserve">EBIT</t>
  </si>
  <si>
    <r>
      <rPr>
        <sz val="10"/>
        <rFont val="Times New Roman"/>
        <family val="1"/>
      </rPr>
      <t xml:space="preserve">Interest Expense </t>
    </r>
    <r>
      <rPr>
        <vertAlign val="superscript"/>
        <sz val="10"/>
        <rFont val="Times New Roman"/>
        <family val="1"/>
      </rPr>
      <t xml:space="preserve">(2)</t>
    </r>
  </si>
  <si>
    <t xml:space="preserve">EBT</t>
  </si>
  <si>
    <t xml:space="preserve">Book State Tax Benefit / (Expense)</t>
  </si>
  <si>
    <t xml:space="preserve">Shareholder Fed. Tax Benefit / (Expense)</t>
  </si>
  <si>
    <t xml:space="preserve">Net Income</t>
  </si>
  <si>
    <t xml:space="preserve">(1) This line item includes property tax, franchise tax and gross receipts tax.</t>
  </si>
  <si>
    <t xml:space="preserve">(2) Interest Expense for 1999 and 2000 is shown net of capitalized interest associated with the 2000 facilities.</t>
  </si>
  <si>
    <t xml:space="preserve">ANNUAL CASH FLOW AND IRR</t>
  </si>
  <si>
    <t xml:space="preserve">EGC CASH FLOW</t>
  </si>
  <si>
    <t xml:space="preserve">3 Months</t>
  </si>
  <si>
    <t xml:space="preserve">11 Months</t>
  </si>
  <si>
    <t xml:space="preserve">Enron's Undertaking</t>
  </si>
  <si>
    <t xml:space="preserve">Retained Cash Flow</t>
  </si>
  <si>
    <t xml:space="preserve">Plus Capitalized Interest</t>
  </si>
  <si>
    <t xml:space="preserve">Less Principal Payments</t>
  </si>
  <si>
    <t xml:space="preserve">Less Interest Payments</t>
  </si>
  <si>
    <t xml:space="preserve">Pre Tax Cash Flow</t>
  </si>
  <si>
    <t xml:space="preserve">Repayment of Enron's Undertaking</t>
  </si>
  <si>
    <t xml:space="preserve">Net Pre Tax Cash Flow</t>
  </si>
  <si>
    <t xml:space="preserve">  EGC's State Tax Benefit / (Expense)</t>
  </si>
  <si>
    <t xml:space="preserve">  EGC's Federal Tax Benefit / (Expense)</t>
  </si>
  <si>
    <t xml:space="preserve">After Tax Cash Flow</t>
  </si>
  <si>
    <t xml:space="preserve">Equity Partner Net Income</t>
  </si>
  <si>
    <t xml:space="preserve">Equity Partner Distributable Cash</t>
  </si>
  <si>
    <t xml:space="preserve">EQUITY PARTNER'S CASHFLOW</t>
  </si>
  <si>
    <t xml:space="preserve"> Equity Partner's State Taxes Benefit (Expense)</t>
  </si>
  <si>
    <t xml:space="preserve"> Equity Partner's Federal Taxes Benefit (Expense)</t>
  </si>
  <si>
    <t xml:space="preserve">50% Equity on 12/99, 50% on 3/00</t>
  </si>
  <si>
    <t xml:space="preserve">Distributable After Tax Cash to Equity Partner</t>
  </si>
  <si>
    <t xml:space="preserve">Equity Contributions from Equity Partner</t>
  </si>
  <si>
    <t xml:space="preserve">Equity Partner's Cashflow Stream</t>
  </si>
  <si>
    <t xml:space="preserve">Actual IRR</t>
  </si>
  <si>
    <t xml:space="preserve">Required Equity Investment from Equity Partner</t>
  </si>
  <si>
    <t xml:space="preserve">Equity Partner's Cashflow with 5x EBITDA Residual Value</t>
  </si>
  <si>
    <t xml:space="preserve">CF</t>
  </si>
  <si>
    <t xml:space="preserve">5x EBITDA Terminal Value</t>
  </si>
  <si>
    <t xml:space="preserve">Net CF</t>
  </si>
  <si>
    <t xml:space="preserve">Equity Partner's After-Tax IRR w/ 5x EBITDA Residual (20 yr.)</t>
  </si>
  <si>
    <t xml:space="preserve">Equity Partner's Cashflow with 50% Project Price Residual Value</t>
  </si>
  <si>
    <t xml:space="preserve">50% Total Cost Terminal Value</t>
  </si>
  <si>
    <t xml:space="preserve">Equity Partner's After-Tax IRR w/ 50% Total Cost Residual (20 yrs) </t>
  </si>
  <si>
    <t xml:space="preserve">IRR Calculation</t>
  </si>
  <si>
    <t xml:space="preserve">Equity Partner's Contribution discounted @</t>
  </si>
  <si>
    <t xml:space="preserve">Equity Partner's Cashflow with No Residual Value</t>
  </si>
  <si>
    <t xml:space="preserve">   IRR</t>
  </si>
  <si>
    <t xml:space="preserve">SEMIANNUAL CASH FLOW AND IRR</t>
  </si>
  <si>
    <t xml:space="preserve">Debt Service</t>
  </si>
  <si>
    <t xml:space="preserve">NA</t>
  </si>
  <si>
    <t xml:space="preserve">Equity Contr.</t>
  </si>
  <si>
    <t xml:space="preserve">Days to EOY 2/15</t>
  </si>
  <si>
    <t xml:space="preserve">Semiannual CF compounded to End of Year</t>
  </si>
  <si>
    <t xml:space="preserve">Days to EOY 8/15</t>
  </si>
  <si>
    <t xml:space="preserve">USING XIRR</t>
  </si>
  <si>
    <t xml:space="preserve">Pretax IRR USING XIRR</t>
  </si>
  <si>
    <t xml:space="preserve">3 year Treasury (as of April 26)</t>
  </si>
  <si>
    <t xml:space="preserve">8 year Treasury (as of April 26)</t>
  </si>
  <si>
    <t xml:space="preserve">30 year Treasury (as of April 26)</t>
  </si>
  <si>
    <t xml:space="preserve">Spread</t>
  </si>
  <si>
    <t xml:space="preserve">Spread </t>
  </si>
  <si>
    <t xml:space="preserve">All In Coupon Rate</t>
  </si>
  <si>
    <t xml:space="preserve">Maturity Tranche 1</t>
  </si>
  <si>
    <t xml:space="preserve">Maturity Tranche 2</t>
  </si>
  <si>
    <t xml:space="preserve">Average Life Tranche 1</t>
  </si>
  <si>
    <t xml:space="preserve">Average Life Tranche 2</t>
  </si>
  <si>
    <t xml:space="preserve">Average Life Tranche 3</t>
  </si>
  <si>
    <t xml:space="preserve">Total amount ($ '000)</t>
  </si>
  <si>
    <t xml:space="preserve">EGC SENIOR DEBT</t>
  </si>
  <si>
    <t xml:space="preserve">Annual Amortization Tranche 1</t>
  </si>
  <si>
    <t xml:space="preserve">Annual Amortization Tranche 2</t>
  </si>
  <si>
    <t xml:space="preserve">Annual Amortization Tranche 3</t>
  </si>
  <si>
    <t xml:space="preserve">Jan. 31</t>
  </si>
  <si>
    <t xml:space="preserve">Beginning Balance</t>
  </si>
  <si>
    <t xml:space="preserve">Principal Payment </t>
  </si>
  <si>
    <t xml:space="preserve">Interest Payment </t>
  </si>
  <si>
    <t xml:space="preserve">Ending Balance</t>
  </si>
  <si>
    <t xml:space="preserve">Jul. 31</t>
  </si>
  <si>
    <t xml:space="preserve">Dec. 31</t>
  </si>
  <si>
    <t xml:space="preserve">Accrued Principal</t>
  </si>
  <si>
    <t xml:space="preserve">Interest Accrued</t>
  </si>
  <si>
    <t xml:space="preserve">Cash Interest Expense</t>
  </si>
  <si>
    <t xml:space="preserve">Accrued Interest Expense</t>
  </si>
  <si>
    <t xml:space="preserve">Cash Principal Payments</t>
  </si>
  <si>
    <t xml:space="preserve">Principal Accrued</t>
  </si>
  <si>
    <t xml:space="preserve">Tranche 1 Cash Debt Service</t>
  </si>
  <si>
    <t xml:space="preserve">Tranche 2  Cash Debt Service</t>
  </si>
  <si>
    <t xml:space="preserve">Tranche 3 Cash Debt Service</t>
  </si>
  <si>
    <t xml:space="preserve">       Less Retained Cash Flow</t>
  </si>
  <si>
    <t xml:space="preserve">      Less Enron Undertaking</t>
  </si>
  <si>
    <t xml:space="preserve">     Less Capitalized Interest</t>
  </si>
  <si>
    <t xml:space="preserve">Net Debt Service</t>
  </si>
  <si>
    <t xml:space="preserve">Total Cash Interest Expense</t>
  </si>
  <si>
    <t xml:space="preserve">Total Accrued Interest Expense</t>
  </si>
  <si>
    <t xml:space="preserve">Total Accrued Principal</t>
  </si>
  <si>
    <t xml:space="preserve">Accrued DS Reserve For 1999</t>
  </si>
  <si>
    <t xml:space="preserve">DSCR Fixed Price PPA Period</t>
  </si>
  <si>
    <t xml:space="preserve">DSCR Market Price Period </t>
  </si>
  <si>
    <t xml:space="preserve">Average DSCR (Fixed Price Period) (2000-2002)</t>
  </si>
  <si>
    <t xml:space="preserve">Average DSCR (Market Price Period) (2003-2019)</t>
  </si>
  <si>
    <t xml:space="preserve">Minimum DSCR (Fixed Price Period) (2000-2002)</t>
  </si>
  <si>
    <t xml:space="preserve">Minimum DSCR (Market Price Period) (2003-2019)</t>
  </si>
  <si>
    <t xml:space="preserve">Tranch 1 Principal</t>
  </si>
  <si>
    <t xml:space="preserve">Tranche 2 Principal</t>
  </si>
  <si>
    <t xml:space="preserve">Tranche 3 Principal</t>
  </si>
  <si>
    <t xml:space="preserve">Average Life</t>
  </si>
  <si>
    <t xml:space="preserve">Accrual</t>
  </si>
  <si>
    <t xml:space="preserve">Cash</t>
  </si>
  <si>
    <t xml:space="preserve">Coverage</t>
  </si>
  <si>
    <t xml:space="preserve">      Less Interest Income</t>
  </si>
  <si>
    <t xml:space="preserve">      Less ECT's Undertakings</t>
  </si>
  <si>
    <t xml:space="preserve">      Less Capitalized Interest</t>
  </si>
  <si>
    <t xml:space="preserve">Average DSCR (Fixed Price Period) (2000-2003)</t>
  </si>
  <si>
    <t xml:space="preserve">Average DSCR (Market Price Period) (2004-2019)</t>
  </si>
  <si>
    <t xml:space="preserve">Minimum DSCR (Fixed Price Period) (2000-2003)</t>
  </si>
  <si>
    <t xml:space="preserve">Minimum DSCR (Market Price Period) (2004-2019)</t>
  </si>
  <si>
    <t xml:space="preserve">EGC DEPRECIATION SCHEDULE</t>
  </si>
  <si>
    <t xml:space="preserve">1999 PPA Fixed Price (Months)</t>
  </si>
  <si>
    <t xml:space="preserve">1999 PPA Market Price (Months)</t>
  </si>
  <si>
    <t xml:space="preserve">2000 PPA Fixed Price (Months)</t>
  </si>
  <si>
    <t xml:space="preserve">2000 PPA Market Price (Months)</t>
  </si>
  <si>
    <t xml:space="preserve">15 Year MACRS Table</t>
  </si>
  <si>
    <t xml:space="preserve">Half-Year Convention</t>
  </si>
  <si>
    <t xml:space="preserve">US FEDERAL TAX DEPRECIATION &amp; AMORTIZATION</t>
  </si>
  <si>
    <t xml:space="preserve">Depr. %</t>
  </si>
  <si>
    <t xml:space="preserve">Years</t>
  </si>
  <si>
    <t xml:space="preserve">Total Hard Costs, Capitalized Interests, and Contingency- MACRS</t>
  </si>
  <si>
    <t xml:space="preserve">Transaction Costs</t>
  </si>
  <si>
    <t xml:space="preserve">Total Hard Costs and Capitalized Interests (Land not included)</t>
  </si>
  <si>
    <t xml:space="preserve">Total Beginning Book Value</t>
  </si>
  <si>
    <t xml:space="preserve">Ending Value of Assets</t>
  </si>
  <si>
    <t xml:space="preserve">STATE TAX DEPRECIATION &amp; AMORTIZATION</t>
  </si>
  <si>
    <t xml:space="preserve">BOOK DEPRECIATION &amp; AMORTIZATION</t>
  </si>
  <si>
    <t xml:space="preserve">Residual</t>
  </si>
  <si>
    <t xml:space="preserve">Total Hard Costs, Capitalized Interests, and Contingency- SL</t>
  </si>
  <si>
    <t xml:space="preserve">Ending Book Value of Assets</t>
  </si>
  <si>
    <t xml:space="preserve">Total Ending Book Value</t>
  </si>
  <si>
    <t xml:space="preserve">EGC TAXES</t>
  </si>
  <si>
    <t xml:space="preserve">STATE TAXES</t>
  </si>
  <si>
    <t xml:space="preserve">State Income Taxes</t>
  </si>
  <si>
    <t xml:space="preserve">   Pretax Book Income</t>
  </si>
  <si>
    <t xml:space="preserve">   Plus Book Depreciation &amp; Amortization</t>
  </si>
  <si>
    <t xml:space="preserve">   Less State Tax Depreciation</t>
  </si>
  <si>
    <t xml:space="preserve">   State Taxable Income</t>
  </si>
  <si>
    <t xml:space="preserve">   Weighted Average State Income Tax Rate</t>
  </si>
  <si>
    <t xml:space="preserve">   Current State Income Tax Expense (Benefit)</t>
  </si>
  <si>
    <t xml:space="preserve">   Beginning NOL's</t>
  </si>
  <si>
    <t xml:space="preserve">   New NOL's</t>
  </si>
  <si>
    <t xml:space="preserve">   Expired NOL's</t>
  </si>
  <si>
    <t xml:space="preserve">   NOL Utilization</t>
  </si>
  <si>
    <t xml:space="preserve">   Ending NOL's</t>
  </si>
  <si>
    <t xml:space="preserve">TOTAL STATE TAXES</t>
  </si>
  <si>
    <r>
      <rPr>
        <sz val="10"/>
        <rFont val="Times New Roman"/>
        <family val="1"/>
      </rPr>
      <t xml:space="preserve">Plus: Supplemental Tax</t>
    </r>
    <r>
      <rPr>
        <b val="true"/>
        <vertAlign val="superscript"/>
        <sz val="10"/>
        <rFont val="Times New Roman"/>
        <family val="1"/>
      </rPr>
      <t xml:space="preserve">(1)</t>
    </r>
  </si>
  <si>
    <t xml:space="preserve">        Total State Taxes Utilizing NOLs</t>
  </si>
  <si>
    <t xml:space="preserve">FEDERAL TAXES</t>
  </si>
  <si>
    <t xml:space="preserve">   Less: Federal Tax Depreciation</t>
  </si>
  <si>
    <t xml:space="preserve">   Less: State Taxes</t>
  </si>
  <si>
    <t xml:space="preserve">   Taxable Income</t>
  </si>
  <si>
    <t xml:space="preserve">   Federal Tax Rate</t>
  </si>
  <si>
    <t xml:space="preserve">   Federal Tax Expense/ (Benefit)</t>
  </si>
  <si>
    <t xml:space="preserve">   NOL Carryforward</t>
  </si>
  <si>
    <t xml:space="preserve">   Total Federal Cash Taxes Payable/(Benefit)</t>
  </si>
  <si>
    <t xml:space="preserve">INCOME STATEMENT - BROWNSVILLE</t>
  </si>
  <si>
    <t xml:space="preserve">Interest Income</t>
  </si>
  <si>
    <t xml:space="preserve">Utility Start Up Power</t>
  </si>
  <si>
    <t xml:space="preserve">Property, Other Taxes</t>
  </si>
  <si>
    <t xml:space="preserve">Debt Service L/C Fee</t>
  </si>
  <si>
    <t xml:space="preserve">Interest Expense</t>
  </si>
  <si>
    <t xml:space="preserve">Brownsville Net Income</t>
  </si>
  <si>
    <t xml:space="preserve">CASH FLOW BROWNSVILLE</t>
  </si>
  <si>
    <t xml:space="preserve">Investor Interest</t>
  </si>
  <si>
    <t xml:space="preserve">Capital Expenditures</t>
  </si>
  <si>
    <t xml:space="preserve"> State Cash Taxes Benefit (Expense)</t>
  </si>
  <si>
    <t xml:space="preserve"> Federal Cash Taxes Benefit (Expense)</t>
  </si>
  <si>
    <t xml:space="preserve">Investor Net Income</t>
  </si>
  <si>
    <t xml:space="preserve">Investor Distributable Cash</t>
  </si>
  <si>
    <t xml:space="preserve">INCOME STATEMENT - CALEDONIA</t>
  </si>
  <si>
    <t xml:space="preserve">Demand Revenue</t>
  </si>
  <si>
    <t xml:space="preserve">Caledonia Net Income</t>
  </si>
  <si>
    <t xml:space="preserve">CASH FLOW CALEDONIA</t>
  </si>
  <si>
    <t xml:space="preserve">INCOME STATEMENT - NEW ALBANY</t>
  </si>
  <si>
    <t xml:space="preserve">New Albany Net Income</t>
  </si>
  <si>
    <t xml:space="preserve">CASH FLOW  NEW ALBANY</t>
  </si>
  <si>
    <t xml:space="preserve">INCOME STATEMENT - CALVERT</t>
  </si>
  <si>
    <t xml:space="preserve">Calvert Net Income</t>
  </si>
  <si>
    <t xml:space="preserve">CASH FLOW CALVERT</t>
  </si>
  <si>
    <t xml:space="preserve">INCOME STATEMENT - WHEATLAND</t>
  </si>
  <si>
    <t xml:space="preserve">Wheatland Net Income</t>
  </si>
  <si>
    <t xml:space="preserve">CASH FLOW - WHEATLAND</t>
  </si>
  <si>
    <t xml:space="preserve">INCOME/ GROSS RECEIPTS TAX - WHEATLAND (SPECIFIC TO WHEATLAND ONLY)</t>
  </si>
  <si>
    <t xml:space="preserve">Adjusted Gross Income Tax</t>
  </si>
  <si>
    <t xml:space="preserve">   Book Income</t>
  </si>
  <si>
    <t xml:space="preserve">   Adjusted Gross Income Rate</t>
  </si>
  <si>
    <t xml:space="preserve">   State Adjusted Gross Income Tax</t>
  </si>
  <si>
    <t xml:space="preserve">State Gross Receipts Taxes</t>
  </si>
  <si>
    <t xml:space="preserve">   Gross Receipts on non TVA hours ONLY</t>
  </si>
  <si>
    <t xml:space="preserve">   Gross Receipts Tax Rate</t>
  </si>
  <si>
    <t xml:space="preserve">   Gross Receipts Tax Liability</t>
  </si>
  <si>
    <t xml:space="preserve">   Greater of Adjusted or Gross Receipts</t>
  </si>
  <si>
    <t xml:space="preserve">INCOME STATEMENT - WILTON</t>
  </si>
  <si>
    <t xml:space="preserve">Wilton Net Income</t>
  </si>
  <si>
    <t xml:space="preserve">CASH FLOW WILTON</t>
  </si>
  <si>
    <t xml:space="preserve">EGC BLOCK CHARGE MATRIX</t>
  </si>
  <si>
    <t xml:space="preserve">EGC START COST MATRIX</t>
  </si>
  <si>
    <t xml:space="preserve">Start Charge Matrix </t>
  </si>
  <si>
    <t xml:space="preserve">Starts/ yr</t>
  </si>
  <si>
    <t xml:space="preserve">Unit Cost per Start (1999 $)</t>
  </si>
  <si>
    <t xml:space="preserve">Major Maintenance Charge per Turbine per Start ($)</t>
  </si>
  <si>
    <t xml:space="preserve">Major Maintenance Charge ($000)</t>
  </si>
  <si>
    <t xml:space="preserve">Unit Cost per Start ($)</t>
  </si>
  <si>
    <t xml:space="preserve">Major Maintenance Cost per Turbine per Start ($)</t>
  </si>
  <si>
    <t xml:space="preserve">Total Major Maintenance Cost (1999 $)</t>
  </si>
  <si>
    <t xml:space="preserve">501D5A</t>
  </si>
  <si>
    <t xml:space="preserve">GE7EA,GE7B</t>
  </si>
  <si>
    <t xml:space="preserve">501D5</t>
  </si>
  <si>
    <t xml:space="preserve">501F, 501FD</t>
  </si>
  <si>
    <t xml:space="preserve">ALLOCATION</t>
  </si>
  <si>
    <t xml:space="preserve">Project</t>
  </si>
  <si>
    <t xml:space="preserve">State Tax </t>
  </si>
  <si>
    <t xml:space="preserve">Capacity (MW)</t>
  </si>
  <si>
    <t xml:space="preserve">Cost Allocation Among Projects</t>
  </si>
  <si>
    <t xml:space="preserve">Debt Allocation Among Projects</t>
  </si>
  <si>
    <t xml:space="preserve">Debt Allocation Within the 1999 &amp; 2000 Projects</t>
  </si>
  <si>
    <t xml:space="preserve">   Sub Total</t>
  </si>
  <si>
    <t xml:space="preserve">Land as a Percentage of Total Project Cost (%)</t>
  </si>
  <si>
    <t xml:space="preserve">1999 Land/ Total 1999 Cost</t>
  </si>
  <si>
    <t xml:space="preserve">2000 Land/ Total 2000 Cost</t>
  </si>
</sst>
</file>

<file path=xl/styles.xml><?xml version="1.0" encoding="utf-8"?>
<styleSheet xmlns="http://schemas.openxmlformats.org/spreadsheetml/2006/main">
  <numFmts count="47">
    <numFmt numFmtId="164" formatCode="General"/>
    <numFmt numFmtId="165" formatCode="_ * #,##0_ ;_ * \-#,##0_ ;_ * \-_ ;_ @_ "/>
    <numFmt numFmtId="166" formatCode="[$-409]#,##0.00_);[RED]\(#,##0.00\)"/>
    <numFmt numFmtId="167" formatCode="_(* #,##0_);_(* \(#,##0\);_(* \-_);_(@_)"/>
    <numFmt numFmtId="168" formatCode="_ * #,##0.00_ ;_ * \-#,##0.00_ ;_ * \-??_ ;_ @_ "/>
    <numFmt numFmtId="169" formatCode="_ &quot;$ &quot;* #,##0_ ;_ &quot;$ &quot;* \-#,##0_ ;_ &quot;$ &quot;* \-_ ;_ @_ "/>
    <numFmt numFmtId="170" formatCode="_(\$* #,##0_);_(\$* \(#,##0\);_(\$* \-_);_(@_)"/>
    <numFmt numFmtId="171" formatCode="_ &quot;$ &quot;* #,##0.00_ ;_ &quot;$ &quot;* \-#,##0.00_ ;_ &quot;$ &quot;* \-??_ ;_ @_ "/>
    <numFmt numFmtId="172" formatCode="[$-409]#,##0_);\(#,##0\)"/>
    <numFmt numFmtId="173" formatCode="0.0%;\-0.0%;&quot; -&quot;_%;@_%"/>
    <numFmt numFmtId="174" formatCode="0.0%"/>
    <numFmt numFmtId="175" formatCode="_(* #,##0.00_);_(* \(#,##0.00\);_(* \-??_);_(@_)"/>
    <numFmt numFmtId="176" formatCode="_(* #,##0_);_(* \(#,##0\);_(* \-??_);_(@_)"/>
    <numFmt numFmtId="177" formatCode="0%"/>
    <numFmt numFmtId="178" formatCode="0.00%"/>
    <numFmt numFmtId="179" formatCode="0.00\x_);\(0.00&quot;x)&quot;"/>
    <numFmt numFmtId="180" formatCode="0.000%"/>
    <numFmt numFmtId="181" formatCode="[$-409]#,##0_);[RED]\(#,##0\)"/>
    <numFmt numFmtId="182" formatCode="\$#,##0_);[RED]&quot;($&quot;#,##0\)"/>
    <numFmt numFmtId="183" formatCode="0"/>
    <numFmt numFmtId="184" formatCode="mmmm\ d&quot;, &quot;yyyy"/>
    <numFmt numFmtId="185" formatCode="0.000"/>
    <numFmt numFmtId="186" formatCode="0.00"/>
    <numFmt numFmtId="187" formatCode="#,##0.00"/>
    <numFmt numFmtId="188" formatCode="[$-409]#,##0.00_);\(#,##0.00\)"/>
    <numFmt numFmtId="189" formatCode="mmmm\-yy"/>
    <numFmt numFmtId="190" formatCode="0.00\x"/>
    <numFmt numFmtId="191" formatCode="_(* #,##0.000_);_(* \(#,##0.000\);_(* \-??_);_(@_)"/>
    <numFmt numFmtId="192" formatCode="#,##0"/>
    <numFmt numFmtId="193" formatCode="\$#,##0.00_);&quot;($&quot;#,##0.00\)"/>
    <numFmt numFmtId="194" formatCode="_(\$* #,##0.00_);_(\$* \(#,##0.00\);_(\$* \-??_);_(@_)"/>
    <numFmt numFmtId="195" formatCode="#,##0.0"/>
    <numFmt numFmtId="196" formatCode="[$-409]m/d/yyyy"/>
    <numFmt numFmtId="197" formatCode="_(* #,##0.0_);_(* \(#,##0.0\);_(* \-??_);_(@_)"/>
    <numFmt numFmtId="198" formatCode="\$#,##0.00_);[RED]&quot;($&quot;#,##0.00\)"/>
    <numFmt numFmtId="199" formatCode="yyyy"/>
    <numFmt numFmtId="200" formatCode="_(* #,##0.0000_);_(* \(#,##0.0000\);_(* \-??_);_(@_)"/>
    <numFmt numFmtId="201" formatCode="0.0000\x_);\(0.0000&quot;x)&quot;"/>
    <numFmt numFmtId="202" formatCode="0_)"/>
    <numFmt numFmtId="203" formatCode="0.00_)"/>
    <numFmt numFmtId="204" formatCode="#,##0.0_);\(#,##0.0\)"/>
    <numFmt numFmtId="205" formatCode="_(* #,##0.00000_);_(* \(#,##0.00000\);_(* \-??_);_(@_)"/>
    <numFmt numFmtId="206" formatCode="_(\$* #,##0_);_(\$* \(#,##0\);_(\$* \-??_);_(@_)"/>
    <numFmt numFmtId="207" formatCode="#,##0.000_);[RED]\(#,##0.000\)"/>
    <numFmt numFmtId="208" formatCode="#,##0.000_);\(#,##0.000\)"/>
    <numFmt numFmtId="209" formatCode="[$-409]mmm\-yy"/>
    <numFmt numFmtId="210" formatCode="0.0"/>
  </numFmts>
  <fonts count="8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000000"/>
      <name val="Arial MT"/>
      <family val="0"/>
    </font>
    <font>
      <sz val="8"/>
      <name val="Arial"/>
      <family val="0"/>
    </font>
    <font>
      <sz val="10"/>
      <name val="Times New Roman"/>
      <family val="1"/>
    </font>
    <font>
      <sz val="10"/>
      <name val="Arial"/>
      <family val="2"/>
    </font>
    <font>
      <sz val="10"/>
      <name val="Times New Roman"/>
      <family val="0"/>
    </font>
    <font>
      <sz val="12"/>
      <name val="Arial"/>
      <family val="0"/>
    </font>
    <font>
      <b val="true"/>
      <sz val="16"/>
      <name val="Times New Roman"/>
      <family val="1"/>
    </font>
    <font>
      <b val="true"/>
      <sz val="12"/>
      <name val="Times New Roman"/>
      <family val="1"/>
    </font>
    <font>
      <sz val="12"/>
      <name val="Times New Roman"/>
      <family val="1"/>
    </font>
    <font>
      <b val="true"/>
      <sz val="14"/>
      <name val="Times New Roman"/>
      <family val="1"/>
    </font>
    <font>
      <u val="single"/>
      <sz val="12"/>
      <name val="Times New Roman"/>
      <family val="1"/>
    </font>
    <font>
      <b val="true"/>
      <sz val="18"/>
      <color rgb="FFFF0000"/>
      <name val="Times New Roman"/>
      <family val="1"/>
    </font>
    <font>
      <b val="true"/>
      <sz val="20"/>
      <name val="Times New Roman"/>
      <family val="1"/>
    </font>
    <font>
      <b val="true"/>
      <u val="single"/>
      <sz val="12"/>
      <name val="Times New Roman"/>
      <family val="1"/>
    </font>
    <font>
      <sz val="9"/>
      <name val="Times New Roman"/>
      <family val="1"/>
    </font>
    <font>
      <b val="true"/>
      <sz val="12"/>
      <color rgb="FF0000FF"/>
      <name val="Times New Roman"/>
      <family val="1"/>
    </font>
    <font>
      <b val="true"/>
      <i val="true"/>
      <sz val="12"/>
      <name val="Times New Roman"/>
      <family val="1"/>
    </font>
    <font>
      <sz val="12"/>
      <color rgb="FFFF0000"/>
      <name val="Times New Roman"/>
      <family val="1"/>
    </font>
    <font>
      <sz val="12"/>
      <color rgb="FF000000"/>
      <name val="Times New Roman"/>
      <family val="0"/>
    </font>
    <font>
      <u val="single"/>
      <sz val="12"/>
      <color rgb="FFFF0000"/>
      <name val="Times New Roman"/>
      <family val="1"/>
    </font>
    <font>
      <sz val="12"/>
      <color rgb="FF000000"/>
      <name val="Times New Roman"/>
      <family val="1"/>
    </font>
    <font>
      <sz val="12"/>
      <name val="Times New Roman"/>
      <family val="0"/>
    </font>
    <font>
      <b val="true"/>
      <u val="single"/>
      <sz val="12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0"/>
      <name val="Times New Roman"/>
      <family val="1"/>
    </font>
    <font>
      <b val="true"/>
      <u val="single"/>
      <sz val="1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0"/>
    </font>
    <font>
      <i val="true"/>
      <sz val="12"/>
      <name val="Times New Roman"/>
      <family val="1"/>
    </font>
    <font>
      <vertAlign val="superscript"/>
      <sz val="12"/>
      <name val="Times New Roman"/>
      <family val="1"/>
    </font>
    <font>
      <b val="true"/>
      <vertAlign val="superscript"/>
      <sz val="9"/>
      <name val="Times New Roman"/>
      <family val="1"/>
    </font>
    <font>
      <sz val="12"/>
      <color rgb="FF0000FF"/>
      <name val="Times New Roman"/>
      <family val="1"/>
    </font>
    <font>
      <i val="true"/>
      <u val="single"/>
      <sz val="12"/>
      <name val="Times New Roman"/>
      <family val="1"/>
    </font>
    <font>
      <u val="single"/>
      <sz val="10"/>
      <name val="Times New Roman"/>
      <family val="1"/>
    </font>
    <font>
      <sz val="7"/>
      <name val="times new roman"/>
      <family val="1"/>
    </font>
    <font>
      <vertAlign val="superscript"/>
      <sz val="10"/>
      <name val="Times New Roman"/>
      <family val="1"/>
    </font>
    <font>
      <u val="single"/>
      <sz val="10"/>
      <name val="Arial"/>
      <family val="2"/>
    </font>
    <font>
      <sz val="10"/>
      <color rgb="FF0000FF"/>
      <name val="Arial"/>
      <family val="2"/>
    </font>
    <font>
      <b val="true"/>
      <sz val="10"/>
      <color rgb="FF800080"/>
      <name val="Arial"/>
      <family val="2"/>
    </font>
    <font>
      <b val="true"/>
      <sz val="10"/>
      <name val="Arial"/>
      <family val="2"/>
    </font>
    <font>
      <b val="true"/>
      <sz val="12"/>
      <name val="Arial"/>
      <family val="2"/>
    </font>
    <font>
      <sz val="8"/>
      <name val="Arial"/>
      <family val="2"/>
    </font>
    <font>
      <sz val="14"/>
      <name val="Times New Roman"/>
      <family val="1"/>
    </font>
    <font>
      <i val="true"/>
      <sz val="10"/>
      <name val="Times New Roman"/>
      <family val="1"/>
    </font>
    <font>
      <b val="true"/>
      <sz val="10"/>
      <color rgb="FF0000FF"/>
      <name val="Times New Roman"/>
      <family val="1"/>
    </font>
    <font>
      <u val="single"/>
      <sz val="10"/>
      <color rgb="FF800080"/>
      <name val="Times New Roman"/>
      <family val="1"/>
    </font>
    <font>
      <b val="true"/>
      <u val="single"/>
      <sz val="14"/>
      <name val="Times New Roman"/>
      <family val="1"/>
    </font>
    <font>
      <b val="true"/>
      <sz val="10"/>
      <color rgb="FF0000FF"/>
      <name val="Times New Roman"/>
      <family val="0"/>
    </font>
    <font>
      <b val="true"/>
      <sz val="10"/>
      <color rgb="FFFFFF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0"/>
      <color rgb="FFFF0000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color rgb="FFFFFFFF"/>
      <name val="Times New Roman"/>
      <family val="1"/>
    </font>
    <font>
      <i val="true"/>
      <sz val="10"/>
      <color rgb="FFFF0000"/>
      <name val="Times New Roman"/>
      <family val="1"/>
    </font>
    <font>
      <sz val="10"/>
      <color rgb="FFFF0000"/>
      <name val="Times New Roman"/>
      <family val="1"/>
    </font>
    <font>
      <b val="true"/>
      <sz val="10"/>
      <color rgb="FF993366"/>
      <name val="Times New Roman"/>
      <family val="1"/>
    </font>
    <font>
      <i val="true"/>
      <u val="single"/>
      <sz val="10"/>
      <name val="Times New Roman"/>
      <family val="1"/>
    </font>
    <font>
      <b val="true"/>
      <sz val="10"/>
      <name val="Arial"/>
      <family val="0"/>
    </font>
    <font>
      <b val="true"/>
      <i val="true"/>
      <sz val="10"/>
      <color rgb="FFFF0000"/>
      <name val="Times New Roman"/>
      <family val="1"/>
    </font>
    <font>
      <sz val="10"/>
      <color rgb="FFFFFFFF"/>
      <name val="Times New Roman"/>
      <family val="1"/>
    </font>
    <font>
      <sz val="10"/>
      <color rgb="FF000000"/>
      <name val="Times New Roman"/>
      <family val="1"/>
    </font>
    <font>
      <b val="true"/>
      <u val="single"/>
      <sz val="10"/>
      <color rgb="FF000000"/>
      <name val="Times New Roman"/>
      <family val="1"/>
    </font>
    <font>
      <u val="single"/>
      <sz val="10"/>
      <color rgb="FFFF0000"/>
      <name val="Times New Roman"/>
      <family val="1"/>
    </font>
    <font>
      <sz val="8"/>
      <name val="Times New Roman"/>
      <family val="1"/>
    </font>
    <font>
      <b val="true"/>
      <sz val="14"/>
      <color rgb="FF000000"/>
      <name val="Times New Roman"/>
      <family val="1"/>
    </font>
    <font>
      <b val="true"/>
      <i val="true"/>
      <u val="single"/>
      <sz val="10"/>
      <name val="Times New Roman"/>
      <family val="1"/>
    </font>
    <font>
      <u val="single"/>
      <sz val="8"/>
      <name val="Times New Roman"/>
      <family val="1"/>
    </font>
    <font>
      <sz val="10"/>
      <color rgb="FF0000FF"/>
      <name val="Times New Roman"/>
      <family val="1"/>
    </font>
    <font>
      <b val="true"/>
      <vertAlign val="superscript"/>
      <sz val="10"/>
      <name val="Times New Roman"/>
      <family val="1"/>
    </font>
    <font>
      <b val="true"/>
      <sz val="8"/>
      <name val="Times New Roman"/>
      <family val="1"/>
    </font>
    <font>
      <b val="true"/>
      <i val="true"/>
      <sz val="10"/>
      <name val="Times New Roman"/>
      <family val="0"/>
    </font>
    <font>
      <b val="true"/>
      <sz val="11"/>
      <name val="Times New Roman"/>
      <family val="1"/>
    </font>
    <font>
      <i val="true"/>
      <u val="single"/>
      <sz val="10"/>
      <color rgb="FFFF0000"/>
      <name val="Times New Roman"/>
      <family val="1"/>
    </font>
    <font>
      <b val="true"/>
      <sz val="7"/>
      <name val="Times New Roman"/>
      <family val="1"/>
    </font>
    <font>
      <sz val="8"/>
      <color rgb="FF000000"/>
      <name val="Tahoma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u val="single"/>
      <sz val="10"/>
      <color rgb="FFFF0000"/>
      <name val="Arial"/>
      <family val="2"/>
    </font>
    <font>
      <b val="true"/>
      <u val="single"/>
      <sz val="10"/>
      <name val="Arial"/>
      <family val="2"/>
    </font>
    <font>
      <u val="single"/>
      <sz val="10"/>
      <name val="Arial"/>
      <family val="0"/>
    </font>
  </fonts>
  <fills count="14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00CCFF"/>
        <bgColor rgb="FF33CCCC"/>
      </patternFill>
    </fill>
    <fill>
      <patternFill patternType="solid">
        <fgColor rgb="FF99CCFF"/>
        <bgColor rgb="FFCCCCFF"/>
      </patternFill>
    </fill>
    <fill>
      <patternFill patternType="solid">
        <fgColor rgb="FFFF9900"/>
        <bgColor rgb="FFFFCC00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CCFFFF"/>
        <bgColor rgb="FFCCFFFF"/>
      </patternFill>
    </fill>
  </fills>
  <borders count="3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/>
      <top style="thin"/>
      <bottom style="double"/>
      <diagonal/>
    </border>
  </borders>
  <cellStyleXfs count="5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94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2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3" fontId="0" fillId="0" borderId="0" applyFont="true" applyBorder="false" applyAlignment="false" applyProtection="false"/>
  </cellStyleXfs>
  <cellXfs count="80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0" xfId="3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3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2" fillId="0" borderId="1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2" fillId="0" borderId="1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2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2" fillId="0" borderId="16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1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1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2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2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2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2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2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2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7" fontId="1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9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2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9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2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9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2" fillId="0" borderId="1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1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9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9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2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7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7" fillId="0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1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4" fontId="19" fillId="5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4" fontId="19" fillId="5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9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9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1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3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9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1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7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9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9" fillId="5" borderId="1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9" fillId="5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9" fillId="5" borderId="1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9" fillId="5" borderId="1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2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2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9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9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2" fillId="0" borderId="1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9" fillId="5" borderId="15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19" fillId="5" borderId="16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19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5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1" fillId="0" borderId="1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0" borderId="1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9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19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9" fillId="5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1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3" borderId="0" xfId="3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7" fontId="27" fillId="0" borderId="21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19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9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1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4" fontId="12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12" fillId="5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3" fontId="19" fillId="5" borderId="2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3" fontId="19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2" fillId="6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1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3" fontId="1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1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1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3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6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1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6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6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" fillId="5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6" fillId="5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37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2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8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7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4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7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28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1" fillId="4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28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28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6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6" fontId="28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" fillId="5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1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1" fontId="6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0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0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5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28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8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28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0" fontId="6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6" fillId="7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6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6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2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2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28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5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4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53" fillId="4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53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53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53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53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5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5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5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8" fillId="6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7" fillId="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7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8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6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28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28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6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28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6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2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28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8" fillId="5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8" fillId="5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8" fillId="5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28" fillId="1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8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8" fillId="1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8" fillId="4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8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6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6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6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6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2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1" fontId="53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6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4" fillId="0" borderId="0" xfId="3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6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8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202" fontId="6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96" fontId="2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203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6" fillId="0" borderId="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0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8" fontId="5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20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5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5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5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3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5" fontId="5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206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5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6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37" fillId="0" borderId="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7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6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67" fillId="0" borderId="0" xfId="3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5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58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207" fontId="5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8" fontId="5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6" fillId="0" borderId="0" xfId="3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3" borderId="0" xfId="3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1" fillId="0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67" fillId="0" borderId="0" xfId="3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67" fillId="0" borderId="0" xfId="3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63" fillId="0" borderId="0" xfId="3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63" fillId="0" borderId="0" xfId="3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67" fillId="0" borderId="0" xfId="3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9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7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6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7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8" fillId="0" borderId="0" xfId="3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8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8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1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6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4" fillId="1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54" fillId="1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1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1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9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7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7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6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8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3" fillId="0" borderId="0" xfId="46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3" fillId="0" borderId="0" xfId="4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46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5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8" fontId="6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4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4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37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6" fillId="0" borderId="0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37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63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7" fontId="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6" fillId="0" borderId="0" xfId="37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63" fillId="0" borderId="0" xfId="37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7" fontId="6" fillId="0" borderId="0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8" fillId="0" borderId="0" xfId="37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0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37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7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7" fillId="0" borderId="0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0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54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6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3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6" fontId="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3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12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12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3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81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7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8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0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43" fillId="0" borderId="3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3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1" fillId="0" borderId="3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3" fillId="0" borderId="36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8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1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SHEET" xfId="20"/>
    <cellStyle name="Comma_Curve_Economics" xfId="21"/>
    <cellStyle name="Comma_Salton Sea 4" xfId="22"/>
    <cellStyle name="Comma_SHEET" xfId="23"/>
    <cellStyle name="Comma_Yuma CE Strategic" xfId="24"/>
    <cellStyle name="Currency [0]_SHEET" xfId="25"/>
    <cellStyle name="Currency_Salton Sea 4" xfId="26"/>
    <cellStyle name="Currency_SHEET" xfId="27"/>
    <cellStyle name="Currency_Yuma CE Strategic" xfId="28"/>
    <cellStyle name="Normal_A" xfId="29"/>
    <cellStyle name="Normal_Book Depr" xfId="30"/>
    <cellStyle name="Normal_cf0402_ndf" xfId="31"/>
    <cellStyle name="Normal_COSO Capex" xfId="32"/>
    <cellStyle name="Normal_Curve_Economics" xfId="33"/>
    <cellStyle name="Normal_DAS Imperial 12-24-98 5PM" xfId="34"/>
    <cellStyle name="Normal_Depletion" xfId="35"/>
    <cellStyle name="Normal_Effective Tax Rate" xfId="36"/>
    <cellStyle name="Normal_IPP Summary" xfId="37"/>
    <cellStyle name="Normal_Master" xfId="38"/>
    <cellStyle name="Normal_Salton Sea 4" xfId="39"/>
    <cellStyle name="Normal_SHEET" xfId="40"/>
    <cellStyle name="Normal_Sheet1" xfId="41"/>
    <cellStyle name="Normal_Summary" xfId="42"/>
    <cellStyle name="Normal_SUMMARY_DCF_IPP" xfId="43"/>
    <cellStyle name="Normal_Supplementary analysis" xfId="44"/>
    <cellStyle name="Normal_Tax Depr" xfId="45"/>
    <cellStyle name="Normal_Yuma CE Strategic" xfId="46"/>
    <cellStyle name="Normal_yuma_1006a" xfId="47"/>
    <cellStyle name="Percent_Salton Sea 4" xfId="48"/>
    <cellStyle name="Percent_Tony" xfId="49"/>
    <cellStyle name="Percent_Yuma CE Strategic" xfId="5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externalLink" Target="externalLinks/externalLink1.xml"/><Relationship Id="rId21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28</xdr:row>
          <xdr:rowOff>47520</xdr:rowOff>
        </xdr:from>
        <xdr:to>
          <xdr:col>2</xdr:col>
          <xdr:colOff>-118800</xdr:colOff>
          <xdr:row>29</xdr:row>
          <xdr:rowOff>47880</xdr:rowOff>
        </xdr:to>
        <xdr:sp>
          <xdr:nvSpPr>
            <xdr:cNvPr id="0" name="Drop Down 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31</xdr:row>
          <xdr:rowOff>9360</xdr:rowOff>
        </xdr:from>
        <xdr:to>
          <xdr:col>2</xdr:col>
          <xdr:colOff>-128880</xdr:colOff>
          <xdr:row>32</xdr:row>
          <xdr:rowOff>28800</xdr:rowOff>
        </xdr:to>
        <xdr:sp>
          <xdr:nvSpPr>
            <xdr:cNvPr id="0" name="Drop Down 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32</xdr:row>
          <xdr:rowOff>190800</xdr:rowOff>
        </xdr:from>
        <xdr:to>
          <xdr:col>2</xdr:col>
          <xdr:colOff>-128880</xdr:colOff>
          <xdr:row>33</xdr:row>
          <xdr:rowOff>199800</xdr:rowOff>
        </xdr:to>
        <xdr:sp>
          <xdr:nvSpPr>
            <xdr:cNvPr id="0" name="Drop Down 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10440</xdr:colOff>
          <xdr:row>34</xdr:row>
          <xdr:rowOff>181440</xdr:rowOff>
        </xdr:from>
        <xdr:to>
          <xdr:col>2</xdr:col>
          <xdr:colOff>-128880</xdr:colOff>
          <xdr:row>35</xdr:row>
          <xdr:rowOff>190440</xdr:rowOff>
        </xdr:to>
        <xdr:sp>
          <xdr:nvSpPr>
            <xdr:cNvPr id="0" name="Drop Down 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GenSvcs/Genco/Financing/Control/Equity%20Model%200428/Current/DebtScenario/DebtCoverage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reset Scenarios"/>
      <sheetName val="Assumptions"/>
      <sheetName val="Power Price Assumption"/>
      <sheetName val="IS"/>
      <sheetName val="CF"/>
      <sheetName val="IRR"/>
      <sheetName val="Exposure"/>
      <sheetName val="Debt"/>
      <sheetName val="InterestIncome"/>
      <sheetName val="Depreciation"/>
      <sheetName val="Tax"/>
      <sheetName val="Brownsville"/>
      <sheetName val="Caledonia"/>
      <sheetName val="New Albany"/>
      <sheetName val="Calvert"/>
      <sheetName val="Wheatland"/>
      <sheetName val="Wilton"/>
      <sheetName val="EGC Start Charge Matrix"/>
      <sheetName val="Allocation"/>
    </sheetNames>
    <sheetDataSet>
      <sheetData sheetId="0"/>
      <sheetData sheetId="1">
        <row r="32">
          <cell r="B32">
            <v>0.02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vmlDrawing" Target="../drawings/vmlDrawing1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comments" Target="../comments11.xml"/><Relationship Id="rId2" Type="http://schemas.openxmlformats.org/officeDocument/2006/relationships/vmlDrawing" Target="../drawings/vmlDrawing2.v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comments" Target="../comments12.xml"/><Relationship Id="rId2" Type="http://schemas.openxmlformats.org/officeDocument/2006/relationships/vmlDrawing" Target="../drawings/vmlDrawing3.v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comments" Target="../comments15.xml"/><Relationship Id="rId2" Type="http://schemas.openxmlformats.org/officeDocument/2006/relationships/vmlDrawing" Target="../drawings/vmlDrawing4.v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comments" Target="../comments16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2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74.56"/>
    <col collapsed="false" customWidth="true" hidden="false" outlineLevel="0" max="2" min="2" style="1" width="24.99"/>
    <col collapsed="false" customWidth="true" hidden="false" outlineLevel="0" max="3" min="3" style="1" width="23.99"/>
    <col collapsed="false" customWidth="true" hidden="false" outlineLevel="0" max="4" min="4" style="1" width="10.85"/>
    <col collapsed="false" customWidth="true" hidden="false" outlineLevel="0" max="5" min="5" style="1" width="6.13"/>
    <col collapsed="false" customWidth="true" hidden="false" outlineLevel="0" max="6" min="6" style="1" width="23.41"/>
    <col collapsed="false" customWidth="true" hidden="false" outlineLevel="0" max="7" min="7" style="1" width="11.56"/>
    <col collapsed="false" customWidth="true" hidden="false" outlineLevel="0" max="8" min="8" style="1" width="17.85"/>
    <col collapsed="false" customWidth="false" hidden="false" outlineLevel="0" max="15" min="9" style="1" width="9.14"/>
    <col collapsed="false" customWidth="true" hidden="false" outlineLevel="0" max="16" min="16" style="1" width="23.14"/>
    <col collapsed="false" customWidth="true" hidden="false" outlineLevel="0" max="17" min="17" style="1" width="38.56"/>
    <col collapsed="false" customWidth="true" hidden="false" outlineLevel="0" max="18" min="18" style="1" width="11.56"/>
    <col collapsed="false" customWidth="true" hidden="false" outlineLevel="0" max="19" min="19" style="1" width="22.7"/>
    <col collapsed="false" customWidth="false" hidden="false" outlineLevel="0" max="257" min="20" style="1" width="9.14"/>
  </cols>
  <sheetData>
    <row r="1" customFormat="false" ht="20.25" hidden="false" customHeight="false" outlineLevel="0" collapsed="false">
      <c r="A1" s="2" t="s">
        <v>0</v>
      </c>
    </row>
    <row r="2" customFormat="false" ht="20.25" hidden="false" customHeight="false" outlineLevel="0" collapsed="false">
      <c r="A2" s="2" t="s">
        <v>1</v>
      </c>
    </row>
    <row r="3" customFormat="false" ht="20.25" hidden="false" customHeight="false" outlineLevel="0" collapsed="false">
      <c r="A3" s="2" t="s">
        <v>2</v>
      </c>
    </row>
    <row r="4" customFormat="false" ht="20.25" hidden="false" customHeight="false" outlineLevel="0" collapsed="false">
      <c r="A4" s="2" t="s">
        <v>3</v>
      </c>
    </row>
    <row r="5" customFormat="false" ht="20.25" hidden="false" customHeight="false" outlineLevel="0" collapsed="false">
      <c r="A5" s="2" t="s">
        <v>4</v>
      </c>
    </row>
    <row r="6" customFormat="false" ht="20.25" hidden="false" customHeight="false" outlineLevel="0" collapsed="false">
      <c r="A6" s="2" t="s">
        <v>5</v>
      </c>
    </row>
    <row r="7" customFormat="false" ht="20.25" hidden="false" customHeight="false" outlineLevel="0" collapsed="false">
      <c r="A7" s="2" t="s">
        <v>6</v>
      </c>
    </row>
    <row r="8" customFormat="false" ht="20.25" hidden="false" customHeight="false" outlineLevel="0" collapsed="false">
      <c r="A8" s="2"/>
    </row>
    <row r="9" customFormat="false" ht="20.25" hidden="false" customHeight="false" outlineLevel="0" collapsed="false">
      <c r="A9" s="2"/>
    </row>
    <row r="10" customFormat="false" ht="20.25" hidden="false" customHeight="false" outlineLevel="0" collapsed="false">
      <c r="A10" s="2"/>
    </row>
    <row r="11" customFormat="false" ht="20.25" hidden="false" customHeight="false" outlineLevel="0" collapsed="false">
      <c r="A11" s="2"/>
    </row>
    <row r="13" customFormat="false" ht="15.75" hidden="false" customHeight="false" outlineLevel="0" collapsed="false">
      <c r="A13" s="3" t="s">
        <v>7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</row>
    <row r="14" customFormat="false" ht="15.75" hidden="false" customHeight="false" outlineLevel="0" collapsed="false">
      <c r="A14" s="3" t="s">
        <v>8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</row>
    <row r="15" customFormat="false" ht="15.75" hidden="false" customHeight="false" outlineLevel="0" collapsed="false">
      <c r="A15" s="3" t="s">
        <v>9</v>
      </c>
      <c r="B15" s="3"/>
      <c r="C15" s="3"/>
      <c r="D15" s="3"/>
      <c r="E15" s="3"/>
      <c r="F15" s="3"/>
      <c r="G15" s="3"/>
      <c r="H15" s="3"/>
      <c r="I15" s="3"/>
      <c r="J15" s="4"/>
      <c r="K15" s="4"/>
      <c r="L15" s="4"/>
    </row>
    <row r="16" customFormat="false" ht="15.75" hidden="false" customHeight="false" outlineLevel="0" collapsed="false">
      <c r="A16" s="3" t="s">
        <v>10</v>
      </c>
      <c r="B16" s="3"/>
      <c r="C16" s="3"/>
      <c r="D16" s="3"/>
      <c r="E16" s="3"/>
      <c r="F16" s="3"/>
      <c r="G16" s="3"/>
      <c r="H16" s="3"/>
      <c r="I16" s="3"/>
      <c r="J16" s="4"/>
      <c r="K16" s="4"/>
      <c r="L16" s="4"/>
    </row>
    <row r="17" customFormat="false" ht="15.75" hidden="false" customHeight="false" outlineLevel="0" collapsed="false">
      <c r="A17" s="3" t="s">
        <v>11</v>
      </c>
      <c r="B17" s="3"/>
      <c r="C17" s="3"/>
      <c r="D17" s="3"/>
      <c r="E17" s="3"/>
      <c r="F17" s="3"/>
      <c r="G17" s="3"/>
      <c r="H17" s="3"/>
      <c r="I17" s="3"/>
      <c r="J17" s="4"/>
      <c r="K17" s="4"/>
      <c r="L17" s="4"/>
    </row>
    <row r="18" customFormat="false" ht="15.75" hidden="false" customHeight="false" outlineLevel="0" collapsed="false">
      <c r="A18" s="3" t="s">
        <v>12</v>
      </c>
      <c r="B18" s="3"/>
      <c r="C18" s="3"/>
      <c r="D18" s="3"/>
      <c r="E18" s="3"/>
      <c r="F18" s="3"/>
      <c r="G18" s="3"/>
      <c r="H18" s="3"/>
      <c r="I18" s="3"/>
      <c r="J18" s="4"/>
      <c r="K18" s="4"/>
      <c r="L18" s="4"/>
    </row>
    <row r="19" customFormat="false" ht="15.75" hidden="false" customHeight="fals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4"/>
      <c r="K19" s="4"/>
      <c r="L19" s="4"/>
    </row>
    <row r="20" customFormat="false" ht="15.75" hidden="false" customHeight="false" outlineLevel="0" collapsed="false">
      <c r="A20" s="3"/>
      <c r="B20" s="5" t="s">
        <v>13</v>
      </c>
      <c r="C20" s="6" t="s">
        <v>14</v>
      </c>
      <c r="D20" s="6" t="s">
        <v>15</v>
      </c>
      <c r="E20" s="6"/>
      <c r="F20" s="7"/>
      <c r="G20" s="3"/>
      <c r="H20" s="3"/>
      <c r="I20" s="3"/>
      <c r="J20" s="4"/>
      <c r="K20" s="4"/>
      <c r="L20" s="4"/>
    </row>
    <row r="21" customFormat="false" ht="15.75" hidden="false" customHeight="false" outlineLevel="0" collapsed="false">
      <c r="A21" s="3"/>
      <c r="B21" s="8" t="s">
        <v>16</v>
      </c>
      <c r="C21" s="9" t="s">
        <v>17</v>
      </c>
      <c r="D21" s="9" t="s">
        <v>18</v>
      </c>
      <c r="E21" s="9"/>
      <c r="F21" s="10"/>
      <c r="G21" s="3"/>
      <c r="H21" s="3"/>
      <c r="I21" s="3"/>
      <c r="J21" s="4"/>
      <c r="K21" s="4"/>
      <c r="L21" s="4"/>
    </row>
    <row r="22" customFormat="false" ht="15.75" hidden="false" customHeight="false" outlineLevel="0" collapsed="false">
      <c r="A22" s="3"/>
      <c r="B22" s="8" t="s">
        <v>19</v>
      </c>
      <c r="C22" s="9" t="s">
        <v>14</v>
      </c>
      <c r="D22" s="9" t="s">
        <v>20</v>
      </c>
      <c r="E22" s="9"/>
      <c r="F22" s="10"/>
      <c r="G22" s="3"/>
      <c r="H22" s="3"/>
      <c r="I22" s="3"/>
      <c r="J22" s="4"/>
      <c r="K22" s="4"/>
      <c r="L22" s="4"/>
    </row>
    <row r="23" customFormat="false" ht="15.75" hidden="false" customHeight="false" outlineLevel="0" collapsed="false">
      <c r="A23" s="3"/>
      <c r="B23" s="11" t="s">
        <v>21</v>
      </c>
      <c r="C23" s="12" t="s">
        <v>14</v>
      </c>
      <c r="D23" s="12" t="s">
        <v>22</v>
      </c>
      <c r="E23" s="12"/>
      <c r="F23" s="13"/>
      <c r="G23" s="3"/>
      <c r="H23" s="3"/>
      <c r="I23" s="3"/>
      <c r="J23" s="4"/>
      <c r="K23" s="4"/>
      <c r="L23" s="4"/>
    </row>
    <row r="24" customFormat="false" ht="15.75" hidden="false" customHeight="false" outlineLevel="0" collapsed="false">
      <c r="A24" s="3"/>
      <c r="B24" s="9"/>
      <c r="C24" s="9"/>
      <c r="D24" s="9"/>
      <c r="E24" s="9"/>
      <c r="F24" s="9"/>
      <c r="G24" s="3"/>
      <c r="H24" s="3"/>
      <c r="I24" s="3"/>
      <c r="J24" s="4"/>
      <c r="K24" s="4"/>
      <c r="L24" s="4"/>
    </row>
    <row r="25" customFormat="false" ht="15.75" hidden="false" customHeight="false" outlineLevel="0" collapsed="false">
      <c r="A25" s="3"/>
      <c r="B25" s="9"/>
      <c r="C25" s="9"/>
      <c r="D25" s="9"/>
      <c r="E25" s="9"/>
      <c r="F25" s="9"/>
      <c r="G25" s="3"/>
      <c r="H25" s="3"/>
      <c r="I25" s="3"/>
      <c r="J25" s="4"/>
      <c r="K25" s="4"/>
      <c r="L25" s="4"/>
    </row>
    <row r="26" customFormat="false" ht="18.75" hidden="false" customHeight="false" outlineLevel="0" collapsed="false">
      <c r="A26" s="14"/>
      <c r="B26" s="14"/>
      <c r="C26" s="14"/>
      <c r="D26" s="14"/>
      <c r="E26" s="14"/>
      <c r="F26" s="14"/>
      <c r="G26" s="14"/>
      <c r="H26" s="14"/>
      <c r="I26" s="14"/>
    </row>
    <row r="27" customFormat="false" ht="20.25" hidden="false" customHeight="false" outlineLevel="0" collapsed="false">
      <c r="A27" s="2" t="s">
        <v>23</v>
      </c>
      <c r="B27" s="15"/>
      <c r="C27" s="15"/>
      <c r="D27" s="15"/>
      <c r="E27" s="15"/>
    </row>
    <row r="28" customFormat="false" ht="15.75" hidden="false" customHeight="false" outlineLevel="0" collapsed="false">
      <c r="A28" s="16"/>
      <c r="B28" s="16"/>
      <c r="C28" s="16"/>
      <c r="D28" s="16"/>
      <c r="T28" s="4"/>
      <c r="U28" s="4"/>
    </row>
    <row r="29" customFormat="false" ht="15.75" hidden="false" customHeight="false" outlineLevel="0" collapsed="false">
      <c r="A29" s="17" t="s">
        <v>24</v>
      </c>
      <c r="B29" s="17"/>
      <c r="C29" s="17"/>
      <c r="D29" s="17"/>
      <c r="E29" s="3"/>
      <c r="F29" s="4"/>
      <c r="G29" s="4"/>
      <c r="H29" s="4"/>
      <c r="I29" s="4"/>
      <c r="J29" s="4"/>
      <c r="K29" s="4"/>
      <c r="L29" s="4"/>
      <c r="M29" s="4"/>
      <c r="N29" s="4"/>
      <c r="T29" s="4"/>
      <c r="U29" s="4"/>
      <c r="V29" s="4"/>
      <c r="W29" s="4"/>
      <c r="X29" s="4"/>
    </row>
    <row r="30" customFormat="false" ht="15.75" hidden="false" customHeight="false" outlineLevel="0" collapsed="false">
      <c r="A30" s="16" t="s">
        <v>25</v>
      </c>
      <c r="B30" s="17"/>
      <c r="C30" s="17"/>
      <c r="D30" s="17"/>
      <c r="E30" s="3"/>
      <c r="F30" s="4"/>
      <c r="G30" s="4"/>
      <c r="H30" s="4"/>
      <c r="I30" s="4"/>
      <c r="J30" s="4"/>
      <c r="K30" s="4"/>
      <c r="L30" s="4"/>
      <c r="M30" s="4"/>
      <c r="N30" s="4"/>
      <c r="T30" s="4"/>
      <c r="U30" s="4"/>
      <c r="V30" s="4"/>
      <c r="W30" s="4"/>
      <c r="X30" s="4"/>
    </row>
    <row r="31" customFormat="false" ht="15.75" hidden="false" customHeight="false" outlineLevel="0" collapsed="false">
      <c r="A31" s="17"/>
      <c r="B31" s="17"/>
      <c r="C31" s="17"/>
      <c r="D31" s="17"/>
      <c r="E31" s="3"/>
      <c r="F31" s="4"/>
      <c r="G31" s="4"/>
      <c r="H31" s="4"/>
      <c r="I31" s="4"/>
      <c r="J31" s="4"/>
      <c r="K31" s="4"/>
      <c r="L31" s="4"/>
      <c r="M31" s="4"/>
      <c r="N31" s="4"/>
      <c r="T31" s="4"/>
      <c r="U31" s="4"/>
      <c r="V31" s="4"/>
      <c r="W31" s="4"/>
      <c r="X31" s="4"/>
    </row>
    <row r="32" customFormat="false" ht="15.75" hidden="false" customHeight="false" outlineLevel="0" collapsed="false">
      <c r="A32" s="17" t="s">
        <v>26</v>
      </c>
      <c r="B32" s="17"/>
      <c r="C32" s="17"/>
      <c r="D32" s="17"/>
      <c r="E32" s="3"/>
      <c r="F32" s="4"/>
      <c r="G32" s="4"/>
      <c r="H32" s="4"/>
      <c r="I32" s="4"/>
      <c r="J32" s="4"/>
      <c r="K32" s="4"/>
      <c r="L32" s="4"/>
      <c r="M32" s="4"/>
      <c r="N32" s="4"/>
      <c r="T32" s="4"/>
      <c r="U32" s="4"/>
      <c r="V32" s="4"/>
      <c r="W32" s="4"/>
      <c r="X32" s="4"/>
    </row>
    <row r="33" customFormat="false" ht="15.75" hidden="false" customHeight="false" outlineLevel="0" collapsed="false">
      <c r="A33" s="17"/>
      <c r="B33" s="17"/>
      <c r="C33" s="17"/>
      <c r="D33" s="17"/>
      <c r="E33" s="3"/>
      <c r="F33" s="4"/>
      <c r="G33" s="4"/>
      <c r="H33" s="4"/>
      <c r="I33" s="4"/>
      <c r="J33" s="4"/>
      <c r="K33" s="4"/>
      <c r="L33" s="4"/>
      <c r="M33" s="4"/>
      <c r="N33" s="4"/>
      <c r="T33" s="4"/>
      <c r="U33" s="4"/>
      <c r="V33" s="4"/>
      <c r="W33" s="4"/>
      <c r="X33" s="4"/>
    </row>
    <row r="34" customFormat="false" ht="15.75" hidden="false" customHeight="false" outlineLevel="0" collapsed="false">
      <c r="A34" s="17" t="s">
        <v>27</v>
      </c>
      <c r="B34" s="17"/>
      <c r="C34" s="17"/>
      <c r="D34" s="17"/>
      <c r="E34" s="3"/>
      <c r="F34" s="4"/>
      <c r="G34" s="4"/>
      <c r="H34" s="4"/>
      <c r="I34" s="4"/>
      <c r="J34" s="4"/>
      <c r="K34" s="4"/>
      <c r="L34" s="4"/>
      <c r="M34" s="4"/>
      <c r="N34" s="4"/>
      <c r="T34" s="4"/>
      <c r="U34" s="4"/>
      <c r="V34" s="4"/>
      <c r="W34" s="4"/>
      <c r="X34" s="4"/>
    </row>
    <row r="35" customFormat="false" ht="15.75" hidden="false" customHeight="false" outlineLevel="0" collapsed="false">
      <c r="A35" s="17"/>
      <c r="B35" s="17"/>
      <c r="C35" s="17"/>
      <c r="D35" s="17"/>
      <c r="E35" s="3"/>
      <c r="F35" s="4"/>
      <c r="G35" s="4"/>
      <c r="H35" s="4"/>
      <c r="I35" s="4"/>
      <c r="J35" s="4"/>
      <c r="K35" s="4"/>
      <c r="L35" s="4"/>
      <c r="M35" s="4"/>
      <c r="N35" s="4"/>
      <c r="T35" s="4"/>
      <c r="U35" s="4"/>
      <c r="V35" s="4"/>
      <c r="W35" s="4"/>
      <c r="X35" s="4"/>
    </row>
    <row r="36" customFormat="false" ht="15.75" hidden="false" customHeight="false" outlineLevel="0" collapsed="false">
      <c r="A36" s="17" t="s">
        <v>28</v>
      </c>
      <c r="B36" s="17"/>
      <c r="C36" s="17"/>
      <c r="D36" s="17"/>
      <c r="E36" s="3"/>
      <c r="F36" s="4"/>
      <c r="G36" s="4"/>
      <c r="H36" s="4"/>
      <c r="I36" s="4"/>
      <c r="J36" s="4"/>
      <c r="K36" s="4"/>
      <c r="L36" s="4"/>
      <c r="M36" s="4"/>
      <c r="N36" s="4"/>
      <c r="T36" s="4"/>
      <c r="U36" s="4"/>
      <c r="V36" s="4"/>
      <c r="W36" s="4"/>
      <c r="X36" s="4"/>
    </row>
    <row r="37" customFormat="false" ht="15.75" hidden="true" customHeight="false" outlineLevel="0" collapsed="false">
      <c r="A37" s="18" t="s">
        <v>29</v>
      </c>
      <c r="B37" s="19"/>
      <c r="C37" s="20"/>
      <c r="D37" s="20"/>
      <c r="E37" s="20"/>
      <c r="F37" s="21"/>
      <c r="G37" s="4"/>
      <c r="H37" s="0"/>
      <c r="I37" s="0"/>
      <c r="J37" s="0"/>
      <c r="K37" s="0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</row>
    <row r="38" customFormat="false" ht="15.75" hidden="true" customHeight="false" outlineLevel="0" collapsed="false">
      <c r="A38" s="22"/>
      <c r="B38" s="23"/>
      <c r="C38" s="23"/>
      <c r="D38" s="23"/>
      <c r="E38" s="23"/>
      <c r="F38" s="24"/>
      <c r="G38" s="4"/>
      <c r="H38" s="0"/>
      <c r="I38" s="0"/>
      <c r="J38" s="0"/>
      <c r="K38" s="0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</row>
    <row r="39" customFormat="false" ht="15.75" hidden="true" customHeight="false" outlineLevel="0" collapsed="false">
      <c r="A39" s="25" t="s">
        <v>30</v>
      </c>
      <c r="B39" s="26" t="s">
        <v>31</v>
      </c>
      <c r="C39" s="26" t="s">
        <v>32</v>
      </c>
      <c r="D39" s="26" t="s">
        <v>27</v>
      </c>
      <c r="E39" s="26"/>
      <c r="F39" s="27" t="s">
        <v>33</v>
      </c>
      <c r="G39" s="4"/>
      <c r="H39" s="0"/>
      <c r="I39" s="0"/>
      <c r="J39" s="0"/>
      <c r="K39" s="0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</row>
    <row r="40" customFormat="false" ht="15.75" hidden="true" customHeight="false" outlineLevel="0" collapsed="false">
      <c r="A40" s="22"/>
      <c r="B40" s="23" t="n">
        <v>3</v>
      </c>
      <c r="C40" s="28" t="n">
        <v>1</v>
      </c>
      <c r="D40" s="23" t="n">
        <v>2</v>
      </c>
      <c r="E40" s="23"/>
      <c r="F40" s="24" t="n">
        <v>1</v>
      </c>
      <c r="G40" s="4"/>
      <c r="H40" s="0"/>
      <c r="I40" s="0"/>
      <c r="J40" s="0"/>
      <c r="K40" s="0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</row>
    <row r="41" customFormat="false" ht="15.75" hidden="true" customHeight="false" outlineLevel="0" collapsed="false">
      <c r="A41" s="22"/>
      <c r="B41" s="23"/>
      <c r="C41" s="28"/>
      <c r="D41" s="23"/>
      <c r="E41" s="23"/>
      <c r="F41" s="24"/>
      <c r="G41" s="4"/>
      <c r="H41" s="0"/>
      <c r="I41" s="0"/>
      <c r="J41" s="0"/>
      <c r="K41" s="0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</row>
    <row r="42" customFormat="false" ht="15.75" hidden="true" customHeight="false" outlineLevel="0" collapsed="false">
      <c r="A42" s="22" t="n">
        <v>1</v>
      </c>
      <c r="B42" s="29" t="n">
        <v>0</v>
      </c>
      <c r="C42" s="30" t="n">
        <v>1</v>
      </c>
      <c r="D42" s="23" t="n">
        <v>0</v>
      </c>
      <c r="E42" s="23"/>
      <c r="F42" s="31" t="s">
        <v>34</v>
      </c>
      <c r="G42" s="4"/>
      <c r="H42" s="0"/>
      <c r="I42" s="0"/>
      <c r="J42" s="0"/>
      <c r="K42" s="0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</row>
    <row r="43" customFormat="false" ht="15.75" hidden="true" customHeight="false" outlineLevel="0" collapsed="false">
      <c r="A43" s="22" t="n">
        <v>2</v>
      </c>
      <c r="B43" s="29" t="n">
        <v>0.015</v>
      </c>
      <c r="C43" s="30" t="n">
        <v>1.1</v>
      </c>
      <c r="D43" s="23" t="n">
        <v>120</v>
      </c>
      <c r="E43" s="23"/>
      <c r="F43" s="31" t="s">
        <v>35</v>
      </c>
      <c r="G43" s="4"/>
      <c r="H43" s="0"/>
      <c r="I43" s="0"/>
      <c r="J43" s="0"/>
      <c r="K43" s="0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</row>
    <row r="44" customFormat="false" ht="15.75" hidden="true" customHeight="false" outlineLevel="0" collapsed="false">
      <c r="A44" s="22" t="n">
        <v>3</v>
      </c>
      <c r="B44" s="29" t="n">
        <v>0.03</v>
      </c>
      <c r="C44" s="23"/>
      <c r="D44" s="23"/>
      <c r="E44" s="23"/>
      <c r="F44" s="31" t="s">
        <v>36</v>
      </c>
      <c r="G44" s="4"/>
      <c r="H44" s="0"/>
      <c r="I44" s="0"/>
      <c r="J44" s="0"/>
      <c r="K44" s="0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</row>
    <row r="45" customFormat="false" ht="15.75" hidden="true" customHeight="false" outlineLevel="0" collapsed="false">
      <c r="A45" s="22" t="n">
        <v>4</v>
      </c>
      <c r="B45" s="29" t="n">
        <v>0.045</v>
      </c>
      <c r="C45" s="23"/>
      <c r="D45" s="23"/>
      <c r="E45" s="23"/>
      <c r="F45" s="31"/>
      <c r="G45" s="4"/>
      <c r="H45" s="0"/>
      <c r="I45" s="0"/>
      <c r="J45" s="0"/>
      <c r="K45" s="0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</row>
    <row r="46" customFormat="false" ht="16.5" hidden="true" customHeight="false" outlineLevel="0" collapsed="false">
      <c r="A46" s="32" t="s">
        <v>37</v>
      </c>
      <c r="B46" s="33" t="n">
        <f aca="false">INDEX(B42:B45,B40)</f>
        <v>0.03</v>
      </c>
      <c r="C46" s="34" t="n">
        <f aca="false">INDEX(C42:C45,C40)</f>
        <v>1</v>
      </c>
      <c r="D46" s="35" t="n">
        <f aca="false">INDEX(D42:D45,D40)</f>
        <v>120</v>
      </c>
      <c r="E46" s="35"/>
      <c r="F46" s="36" t="str">
        <f aca="false">INDEX(F42:F45,F40)</f>
        <v>Base</v>
      </c>
      <c r="G46" s="4"/>
      <c r="H46" s="0"/>
      <c r="I46" s="0"/>
      <c r="J46" s="0"/>
      <c r="K46" s="0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</row>
    <row r="47" customFormat="false" ht="15.75" hidden="false" customHeight="false" outlineLevel="0" collapsed="false">
      <c r="A47" s="37"/>
      <c r="B47" s="37"/>
      <c r="C47" s="37"/>
      <c r="D47" s="37"/>
      <c r="E47" s="4"/>
      <c r="F47" s="4"/>
      <c r="G47" s="4"/>
      <c r="H47" s="4"/>
      <c r="I47" s="4"/>
      <c r="J47" s="4"/>
      <c r="K47" s="4"/>
      <c r="L47" s="4"/>
      <c r="M47" s="4"/>
      <c r="N47" s="4"/>
      <c r="T47" s="4"/>
      <c r="U47" s="4"/>
      <c r="V47" s="4"/>
      <c r="W47" s="4"/>
      <c r="X47" s="4"/>
    </row>
    <row r="48" customFormat="false" ht="15.75" hidden="false" customHeight="false" outlineLevel="0" collapsed="false">
      <c r="A48" s="37"/>
      <c r="B48" s="37"/>
      <c r="C48" s="37"/>
      <c r="D48" s="37"/>
      <c r="E48" s="4"/>
      <c r="F48" s="4"/>
      <c r="G48" s="4"/>
      <c r="H48" s="4"/>
      <c r="I48" s="4"/>
      <c r="J48" s="4"/>
      <c r="K48" s="4"/>
      <c r="L48" s="4"/>
      <c r="M48" s="4"/>
      <c r="N48" s="4"/>
      <c r="T48" s="4"/>
      <c r="U48" s="4"/>
      <c r="V48" s="4"/>
      <c r="W48" s="4"/>
      <c r="X48" s="4"/>
    </row>
    <row r="49" customFormat="false" ht="15.75" hidden="false" customHeight="false" outlineLevel="0" collapsed="false">
      <c r="A49" s="37"/>
      <c r="B49" s="37"/>
      <c r="C49" s="37"/>
      <c r="D49" s="37"/>
      <c r="E49" s="4"/>
      <c r="F49" s="4"/>
      <c r="G49" s="4"/>
      <c r="H49" s="4"/>
      <c r="I49" s="4"/>
      <c r="J49" s="4"/>
      <c r="K49" s="4"/>
      <c r="L49" s="4"/>
      <c r="M49" s="4"/>
      <c r="N49" s="4"/>
      <c r="T49" s="4"/>
      <c r="U49" s="4"/>
      <c r="V49" s="4"/>
      <c r="W49" s="4"/>
      <c r="X49" s="4"/>
    </row>
    <row r="50" customFormat="false" ht="16.5" hidden="false" customHeight="false" outlineLevel="0" collapsed="false">
      <c r="A50" s="37"/>
      <c r="B50" s="37"/>
      <c r="C50" s="37"/>
      <c r="D50" s="37"/>
      <c r="E50" s="4"/>
      <c r="F50" s="4"/>
      <c r="G50" s="4"/>
      <c r="H50" s="4"/>
      <c r="I50" s="4"/>
      <c r="J50" s="4"/>
      <c r="K50" s="4"/>
      <c r="L50" s="4"/>
      <c r="M50" s="4"/>
      <c r="N50" s="4"/>
      <c r="T50" s="4"/>
      <c r="U50" s="4"/>
      <c r="V50" s="4"/>
      <c r="W50" s="4"/>
      <c r="X50" s="4"/>
    </row>
    <row r="51" customFormat="false" ht="21" hidden="false" customHeight="false" outlineLevel="0" collapsed="false">
      <c r="A51" s="38"/>
      <c r="B51" s="39" t="s">
        <v>38</v>
      </c>
      <c r="C51" s="40" t="s">
        <v>39</v>
      </c>
      <c r="D51" s="40"/>
      <c r="E51" s="40"/>
      <c r="F51" s="40"/>
      <c r="G51" s="40"/>
      <c r="H51" s="0"/>
      <c r="I51" s="0"/>
      <c r="J51" s="0"/>
      <c r="K51" s="0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</row>
    <row r="52" customFormat="false" ht="16.5" hidden="false" customHeight="false" outlineLevel="0" collapsed="false">
      <c r="A52" s="22"/>
      <c r="B52" s="41" t="s">
        <v>40</v>
      </c>
      <c r="C52" s="42" t="s">
        <v>41</v>
      </c>
      <c r="D52" s="42"/>
      <c r="E52" s="42"/>
      <c r="F52" s="40" t="s">
        <v>42</v>
      </c>
      <c r="G52" s="40"/>
      <c r="H52" s="0"/>
      <c r="I52" s="0"/>
      <c r="J52" s="0"/>
      <c r="K52" s="0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</row>
    <row r="53" customFormat="false" ht="15.75" hidden="false" customHeight="false" outlineLevel="0" collapsed="false">
      <c r="A53" s="43"/>
      <c r="B53" s="44" t="s">
        <v>43</v>
      </c>
      <c r="C53" s="44" t="s">
        <v>44</v>
      </c>
      <c r="D53" s="44" t="s">
        <v>45</v>
      </c>
      <c r="E53" s="44"/>
      <c r="F53" s="44" t="s">
        <v>44</v>
      </c>
      <c r="G53" s="45" t="s">
        <v>46</v>
      </c>
      <c r="H53" s="0"/>
      <c r="I53" s="0"/>
      <c r="J53" s="0"/>
      <c r="K53" s="0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</row>
    <row r="54" customFormat="false" ht="15.75" hidden="false" customHeight="false" outlineLevel="0" collapsed="false">
      <c r="A54" s="46" t="s">
        <v>47</v>
      </c>
      <c r="B54" s="47" t="n">
        <f aca="false">IRR!D62</f>
        <v>0.131961152545628</v>
      </c>
      <c r="C54" s="48" t="n">
        <f aca="false">MIN(IRR!G28:L28)</f>
        <v>1.23718979369905</v>
      </c>
      <c r="D54" s="48" t="n">
        <f aca="false">AVERAGE(IRR!G28:L28)</f>
        <v>1.28507780336238</v>
      </c>
      <c r="E54" s="48"/>
      <c r="F54" s="48" t="n">
        <f aca="false">MIN(IRR!N28:AS28)</f>
        <v>2.09979805158188</v>
      </c>
      <c r="G54" s="49" t="n">
        <f aca="false">AVERAGE(IRR!M28:AS28)</f>
        <v>2.95770929044939</v>
      </c>
      <c r="H54" s="0" t="s">
        <v>48</v>
      </c>
      <c r="I54" s="0"/>
      <c r="J54" s="0"/>
      <c r="K54" s="0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</row>
    <row r="55" customFormat="false" ht="16.5" hidden="false" customHeight="false" outlineLevel="0" collapsed="false">
      <c r="A55" s="50" t="s">
        <v>49</v>
      </c>
      <c r="B55" s="51" t="n">
        <f aca="false">CF!D79</f>
        <v>0.136189376356812</v>
      </c>
      <c r="C55" s="52" t="n">
        <f aca="false">Debt!E119</f>
        <v>1.29734967872069</v>
      </c>
      <c r="D55" s="52" t="n">
        <f aca="false">Debt!E118</f>
        <v>1.40225817158631</v>
      </c>
      <c r="E55" s="52"/>
      <c r="F55" s="52" t="n">
        <f aca="false">Debt!J119</f>
        <v>2.24708594628305</v>
      </c>
      <c r="G55" s="53" t="n">
        <f aca="false">Debt!J118</f>
        <v>2.92482537953391</v>
      </c>
      <c r="H55" s="0"/>
      <c r="I55" s="0"/>
      <c r="J55" s="0"/>
      <c r="K55" s="0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</row>
    <row r="56" customFormat="false" ht="15.75" hidden="false" customHeight="false" outlineLevel="0" collapsed="false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</row>
    <row r="57" customFormat="false" ht="16.5" hidden="false" customHeight="false" outlineLevel="0" collapsed="false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</row>
    <row r="58" customFormat="false" ht="15.75" hidden="false" customHeight="false" outlineLevel="0" collapsed="false">
      <c r="A58" s="54" t="s">
        <v>50</v>
      </c>
      <c r="B58" s="55" t="n">
        <v>0.132329493324159</v>
      </c>
      <c r="C58" s="56" t="n">
        <v>1.24640123199357</v>
      </c>
      <c r="D58" s="56" t="n">
        <v>1.29405619393392</v>
      </c>
      <c r="E58" s="56"/>
      <c r="F58" s="56" t="n">
        <v>2.06460215596743</v>
      </c>
      <c r="G58" s="57" t="n">
        <v>2.87920584823046</v>
      </c>
      <c r="H58" s="0"/>
      <c r="I58" s="0"/>
      <c r="J58" s="0"/>
      <c r="K58" s="0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59" customFormat="false" ht="16.5" hidden="false" customHeight="false" outlineLevel="0" collapsed="false">
      <c r="A59" s="58" t="s">
        <v>51</v>
      </c>
      <c r="B59" s="59" t="n">
        <v>0.136583681012424</v>
      </c>
      <c r="C59" s="60" t="n">
        <v>1.30306567682554</v>
      </c>
      <c r="D59" s="60" t="n">
        <v>1.40684468441015</v>
      </c>
      <c r="E59" s="60"/>
      <c r="F59" s="60" t="n">
        <v>2.21814120025071</v>
      </c>
      <c r="G59" s="61" t="n">
        <v>2.89563881532973</v>
      </c>
      <c r="H59" s="0"/>
      <c r="I59" s="0"/>
      <c r="J59" s="0"/>
      <c r="K59" s="0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</row>
    <row r="60" customFormat="false" ht="15.75" hidden="false" customHeight="false" outlineLevel="0" collapsed="false">
      <c r="A60" s="54" t="s">
        <v>52</v>
      </c>
      <c r="B60" s="55" t="n">
        <v>0.132329493324159</v>
      </c>
      <c r="C60" s="56" t="n">
        <v>1.24640123199357</v>
      </c>
      <c r="D60" s="56" t="n">
        <v>1.29405619393392</v>
      </c>
      <c r="E60" s="56"/>
      <c r="F60" s="56" t="n">
        <v>2.06460215596743</v>
      </c>
      <c r="G60" s="57" t="n">
        <v>2.87920584823046</v>
      </c>
      <c r="H60" s="0"/>
      <c r="I60" s="0"/>
      <c r="J60" s="0"/>
      <c r="K60" s="0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</row>
    <row r="61" customFormat="false" ht="15.75" hidden="false" customHeight="false" outlineLevel="0" collapsed="false">
      <c r="A61" s="58" t="s">
        <v>53</v>
      </c>
      <c r="B61" s="59" t="n">
        <v>0.136583681012424</v>
      </c>
      <c r="C61" s="60" t="n">
        <v>1.30306567682554</v>
      </c>
      <c r="D61" s="60" t="n">
        <v>1.40684468441015</v>
      </c>
      <c r="E61" s="60"/>
      <c r="F61" s="60" t="n">
        <v>2.21814120025071</v>
      </c>
      <c r="G61" s="61" t="n">
        <v>2.89563881532973</v>
      </c>
      <c r="H61" s="0"/>
      <c r="I61" s="0"/>
      <c r="J61" s="0"/>
      <c r="K61" s="0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</row>
    <row r="62" customFormat="false" ht="15.75" hidden="false" customHeight="false" outlineLevel="0" collapsed="false">
      <c r="A62" s="62" t="s">
        <v>54</v>
      </c>
      <c r="B62" s="63" t="n">
        <v>0.132458180618602</v>
      </c>
      <c r="C62" s="64" t="n">
        <v>1.26045881698644</v>
      </c>
      <c r="D62" s="64" t="n">
        <v>1.29638527447654</v>
      </c>
      <c r="E62" s="64"/>
      <c r="F62" s="64" t="n">
        <v>2.06460215596743</v>
      </c>
      <c r="G62" s="65" t="n">
        <v>2.87920584823046</v>
      </c>
      <c r="H62" s="0"/>
      <c r="I62" s="0"/>
      <c r="J62" s="0"/>
      <c r="K62" s="0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</row>
    <row r="63" customFormat="false" ht="15.75" hidden="false" customHeight="false" outlineLevel="0" collapsed="false">
      <c r="A63" s="58" t="s">
        <v>55</v>
      </c>
      <c r="B63" s="59" t="n">
        <v>0.136719746133469</v>
      </c>
      <c r="C63" s="60" t="n">
        <v>1.30306567682554</v>
      </c>
      <c r="D63" s="60" t="n">
        <v>1.41200758014464</v>
      </c>
      <c r="E63" s="60"/>
      <c r="F63" s="60" t="n">
        <v>2.21814120025071</v>
      </c>
      <c r="G63" s="61" t="n">
        <v>2.89563881532973</v>
      </c>
      <c r="H63" s="0"/>
      <c r="I63" s="0"/>
      <c r="J63" s="0"/>
      <c r="K63" s="0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</row>
    <row r="64" customFormat="false" ht="15.75" hidden="false" customHeight="false" outlineLevel="0" collapsed="false">
      <c r="A64" s="62" t="s">
        <v>56</v>
      </c>
      <c r="B64" s="63" t="n">
        <v>0.132024578729334</v>
      </c>
      <c r="C64" s="64" t="n">
        <v>1.23550944278796</v>
      </c>
      <c r="D64" s="64" t="n">
        <v>1.2859543564626</v>
      </c>
      <c r="E64" s="64"/>
      <c r="F64" s="64" t="n">
        <v>2.06460215596743</v>
      </c>
      <c r="G64" s="65" t="n">
        <v>2.87920584823046</v>
      </c>
      <c r="H64" s="0"/>
      <c r="I64" s="0"/>
      <c r="J64" s="0"/>
      <c r="K64" s="0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</row>
    <row r="65" customFormat="false" ht="15.75" hidden="false" customHeight="false" outlineLevel="0" collapsed="false">
      <c r="A65" s="58" t="s">
        <v>57</v>
      </c>
      <c r="B65" s="59" t="n">
        <v>0.136310154141926</v>
      </c>
      <c r="C65" s="60" t="n">
        <v>1.30306567682554</v>
      </c>
      <c r="D65" s="60" t="n">
        <v>1.39741047873259</v>
      </c>
      <c r="E65" s="60"/>
      <c r="F65" s="60" t="n">
        <v>2.21814120025071</v>
      </c>
      <c r="G65" s="61" t="n">
        <v>2.89563881532973</v>
      </c>
      <c r="H65" s="0"/>
      <c r="I65" s="0"/>
      <c r="J65" s="0"/>
      <c r="K65" s="0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</row>
    <row r="66" customFormat="false" ht="15.75" hidden="false" customHeight="false" outlineLevel="0" collapsed="false">
      <c r="A66" s="62" t="s">
        <v>58</v>
      </c>
      <c r="B66" s="63" t="n">
        <v>0.131723109147536</v>
      </c>
      <c r="C66" s="64" t="n">
        <v>1.25643730555394</v>
      </c>
      <c r="D66" s="64" t="n">
        <v>1.3069745790148</v>
      </c>
      <c r="E66" s="64"/>
      <c r="F66" s="64" t="n">
        <v>2.08981019591773</v>
      </c>
      <c r="G66" s="65" t="n">
        <v>3.02705840565286</v>
      </c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</row>
    <row r="67" customFormat="false" ht="15.75" hidden="false" customHeight="false" outlineLevel="0" collapsed="false">
      <c r="A67" s="58" t="s">
        <v>59</v>
      </c>
      <c r="B67" s="59" t="n">
        <v>0.135655645070562</v>
      </c>
      <c r="C67" s="60" t="n">
        <v>1.31396516069362</v>
      </c>
      <c r="D67" s="60" t="n">
        <v>1.41335744158437</v>
      </c>
      <c r="E67" s="60"/>
      <c r="F67" s="60" t="n">
        <v>2.24645477180068</v>
      </c>
      <c r="G67" s="61" t="n">
        <v>3.04071161670009</v>
      </c>
      <c r="H67" s="0"/>
      <c r="I67" s="0"/>
      <c r="J67" s="0"/>
      <c r="K67" s="0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</row>
    <row r="68" customFormat="false" ht="15.75" hidden="false" customHeight="false" outlineLevel="0" collapsed="false">
      <c r="A68" s="62" t="s">
        <v>60</v>
      </c>
      <c r="B68" s="63" t="n">
        <v>0.13584019855896</v>
      </c>
      <c r="C68" s="64" t="n">
        <v>1.24087587313392</v>
      </c>
      <c r="D68" s="64" t="n">
        <v>1.29909661252514</v>
      </c>
      <c r="E68" s="64"/>
      <c r="F68" s="64" t="n">
        <v>2.37627874331971</v>
      </c>
      <c r="G68" s="65" t="n">
        <v>3.27493943147188</v>
      </c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</row>
    <row r="69" customFormat="false" ht="15.75" hidden="false" customHeight="false" outlineLevel="0" collapsed="false">
      <c r="A69" s="58" t="s">
        <v>61</v>
      </c>
      <c r="B69" s="59" t="n">
        <v>0.13959337757556</v>
      </c>
      <c r="C69" s="60" t="n">
        <v>1.31034797294688</v>
      </c>
      <c r="D69" s="60" t="n">
        <v>1.40495176241499</v>
      </c>
      <c r="E69" s="60"/>
      <c r="F69" s="60" t="n">
        <v>2.44572188779971</v>
      </c>
      <c r="G69" s="61" t="n">
        <v>3.29249675046664</v>
      </c>
      <c r="H69" s="0"/>
      <c r="I69" s="0"/>
      <c r="J69" s="0"/>
      <c r="K69" s="0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</row>
    <row r="70" customFormat="false" ht="15.75" hidden="false" customHeight="false" outlineLevel="0" collapsed="false">
      <c r="A70" s="62" t="s">
        <v>62</v>
      </c>
      <c r="B70" s="63" t="n">
        <v>0.13584019855896</v>
      </c>
      <c r="C70" s="64" t="n">
        <v>1.24087587313392</v>
      </c>
      <c r="D70" s="64" t="n">
        <v>1.29909661252514</v>
      </c>
      <c r="E70" s="64"/>
      <c r="F70" s="64" t="n">
        <v>2.37627874331971</v>
      </c>
      <c r="G70" s="65" t="n">
        <v>3.27493943147188</v>
      </c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</row>
    <row r="71" customFormat="false" ht="15.75" hidden="false" customHeight="false" outlineLevel="0" collapsed="false">
      <c r="A71" s="58" t="s">
        <v>63</v>
      </c>
      <c r="B71" s="59" t="n">
        <v>0.13959337757556</v>
      </c>
      <c r="C71" s="60" t="n">
        <v>1.31034797294688</v>
      </c>
      <c r="D71" s="60" t="n">
        <v>1.40495176241499</v>
      </c>
      <c r="E71" s="60"/>
      <c r="F71" s="60" t="n">
        <v>2.44572188779971</v>
      </c>
      <c r="G71" s="61" t="n">
        <v>3.29249675046664</v>
      </c>
      <c r="H71" s="0"/>
      <c r="I71" s="0"/>
      <c r="J71" s="0"/>
      <c r="K71" s="0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</row>
    <row r="72" customFormat="false" ht="15.75" hidden="false" customHeight="false" outlineLevel="0" collapsed="false">
      <c r="A72" s="62" t="s">
        <v>64</v>
      </c>
      <c r="B72" s="63" t="n">
        <v>0.135881058382896</v>
      </c>
      <c r="C72" s="64" t="n">
        <v>1.20662328601269</v>
      </c>
      <c r="D72" s="64" t="n">
        <v>1.30510275334457</v>
      </c>
      <c r="E72" s="64"/>
      <c r="F72" s="64" t="n">
        <v>2.37627874331971</v>
      </c>
      <c r="G72" s="65" t="n">
        <v>3.27493943147188</v>
      </c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</row>
    <row r="73" customFormat="false" ht="15.75" hidden="false" customHeight="false" outlineLevel="0" collapsed="false">
      <c r="A73" s="58" t="s">
        <v>65</v>
      </c>
      <c r="B73" s="59" t="n">
        <v>0.139529082480926</v>
      </c>
      <c r="C73" s="60" t="n">
        <v>1.31034797294688</v>
      </c>
      <c r="D73" s="60" t="n">
        <v>1.40496716846196</v>
      </c>
      <c r="E73" s="60"/>
      <c r="F73" s="60" t="n">
        <v>2.44572188779971</v>
      </c>
      <c r="G73" s="61" t="n">
        <v>3.29249675046664</v>
      </c>
      <c r="H73" s="0"/>
      <c r="I73" s="0"/>
      <c r="J73" s="0"/>
      <c r="K73" s="0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</row>
    <row r="74" customFormat="false" ht="15.75" hidden="false" customHeight="false" outlineLevel="0" collapsed="false">
      <c r="A74" s="62" t="s">
        <v>66</v>
      </c>
      <c r="B74" s="63" t="n">
        <v>0.135881058382896</v>
      </c>
      <c r="C74" s="64" t="n">
        <v>1.20662328601269</v>
      </c>
      <c r="D74" s="64" t="n">
        <v>1.30510275334457</v>
      </c>
      <c r="E74" s="64"/>
      <c r="F74" s="64" t="n">
        <v>2.37627874331971</v>
      </c>
      <c r="G74" s="65" t="n">
        <v>3.27493943147188</v>
      </c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</row>
    <row r="75" customFormat="false" ht="15.75" hidden="false" customHeight="false" outlineLevel="0" collapsed="false">
      <c r="A75" s="58" t="s">
        <v>67</v>
      </c>
      <c r="B75" s="59" t="n">
        <v>0.139529082480926</v>
      </c>
      <c r="C75" s="60" t="n">
        <v>1.31034797294688</v>
      </c>
      <c r="D75" s="60" t="n">
        <v>1.40496716846196</v>
      </c>
      <c r="E75" s="60"/>
      <c r="F75" s="60" t="n">
        <v>2.44572188779971</v>
      </c>
      <c r="G75" s="61" t="n">
        <v>3.29249675046664</v>
      </c>
      <c r="H75" s="0"/>
      <c r="I75" s="0"/>
      <c r="J75" s="0"/>
      <c r="K75" s="0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</row>
    <row r="76" customFormat="false" ht="15.75" hidden="false" customHeight="false" outlineLevel="0" collapsed="false">
      <c r="A76" s="62" t="s">
        <v>68</v>
      </c>
      <c r="B76" s="63" t="n">
        <v>0.135571712333445</v>
      </c>
      <c r="C76" s="64" t="n">
        <v>1.20662328601269</v>
      </c>
      <c r="D76" s="64" t="n">
        <v>1.29099919248194</v>
      </c>
      <c r="E76" s="64"/>
      <c r="F76" s="64" t="n">
        <v>2.37627874331971</v>
      </c>
      <c r="G76" s="65" t="n">
        <v>3.27493943147188</v>
      </c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</row>
    <row r="77" customFormat="false" ht="15.75" hidden="false" customHeight="false" outlineLevel="0" collapsed="false">
      <c r="A77" s="58" t="s">
        <v>69</v>
      </c>
      <c r="B77" s="59" t="n">
        <v>0.139218198409943</v>
      </c>
      <c r="C77" s="60" t="n">
        <v>1.31034797294688</v>
      </c>
      <c r="D77" s="60" t="n">
        <v>1.37568394811229</v>
      </c>
      <c r="E77" s="60"/>
      <c r="F77" s="60" t="n">
        <v>2.44572188779971</v>
      </c>
      <c r="G77" s="61" t="n">
        <v>3.29249675046664</v>
      </c>
      <c r="H77" s="0"/>
      <c r="I77" s="0"/>
      <c r="J77" s="0"/>
      <c r="K77" s="0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</row>
    <row r="78" customFormat="false" ht="15.75" hidden="false" customHeight="false" outlineLevel="0" collapsed="false">
      <c r="A78" s="62" t="s">
        <v>70</v>
      </c>
      <c r="B78" s="63" t="n">
        <v>0.136492517185947</v>
      </c>
      <c r="C78" s="64" t="n">
        <v>1.29643656437424</v>
      </c>
      <c r="D78" s="64" t="n">
        <v>1.31553434194082</v>
      </c>
      <c r="E78" s="64"/>
      <c r="F78" s="64" t="n">
        <v>2.37792942425168</v>
      </c>
      <c r="G78" s="65" t="n">
        <v>3.27503695152799</v>
      </c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</row>
    <row r="79" customFormat="false" ht="15.75" hidden="false" customHeight="false" outlineLevel="0" collapsed="false">
      <c r="A79" s="58" t="s">
        <v>71</v>
      </c>
      <c r="B79" s="59" t="n">
        <v>0.140211366704504</v>
      </c>
      <c r="C79" s="60" t="n">
        <v>1.31034797294688</v>
      </c>
      <c r="D79" s="60" t="n">
        <v>1.40940781374782</v>
      </c>
      <c r="E79" s="60"/>
      <c r="F79" s="60" t="n">
        <v>2.44572188779971</v>
      </c>
      <c r="G79" s="61" t="n">
        <v>3.29268021137792</v>
      </c>
      <c r="H79" s="0"/>
      <c r="I79" s="0"/>
      <c r="J79" s="0"/>
      <c r="K79" s="0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</row>
    <row r="80" customFormat="false" ht="15.75" hidden="false" customHeight="false" outlineLevel="0" collapsed="false">
      <c r="A80" s="62" t="s">
        <v>72</v>
      </c>
      <c r="B80" s="63" t="n">
        <v>0.138091582453248</v>
      </c>
      <c r="C80" s="64" t="n">
        <v>1.29643656437424</v>
      </c>
      <c r="D80" s="64" t="n">
        <v>1.31553434194082</v>
      </c>
      <c r="E80" s="64"/>
      <c r="F80" s="64" t="n">
        <v>2.37792942425168</v>
      </c>
      <c r="G80" s="65" t="n">
        <v>3.27503695152799</v>
      </c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</row>
    <row r="81" customFormat="false" ht="15.75" hidden="false" customHeight="false" outlineLevel="0" collapsed="false">
      <c r="A81" s="58" t="s">
        <v>73</v>
      </c>
      <c r="B81" s="59" t="n">
        <v>0.141864382207875</v>
      </c>
      <c r="C81" s="60" t="n">
        <v>1.31034797294688</v>
      </c>
      <c r="D81" s="60" t="n">
        <v>1.40940781374782</v>
      </c>
      <c r="E81" s="60"/>
      <c r="F81" s="60" t="n">
        <v>2.44572188779971</v>
      </c>
      <c r="G81" s="61" t="n">
        <v>3.29268021137792</v>
      </c>
      <c r="H81" s="0"/>
      <c r="I81" s="0"/>
      <c r="J81" s="0"/>
      <c r="K81" s="0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</row>
    <row r="82" customFormat="false" ht="15.75" hidden="false" customHeight="false" outlineLevel="0" collapsed="false">
      <c r="A82" s="62" t="s">
        <v>72</v>
      </c>
      <c r="B82" s="63" t="n">
        <v>0.139312598338814</v>
      </c>
      <c r="C82" s="64" t="n">
        <v>1.29643656437424</v>
      </c>
      <c r="D82" s="64" t="n">
        <v>1.31553434194082</v>
      </c>
      <c r="E82" s="64"/>
      <c r="F82" s="64" t="n">
        <v>2.37792942425168</v>
      </c>
      <c r="G82" s="65" t="n">
        <v>3.27503695152799</v>
      </c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</row>
    <row r="83" customFormat="false" ht="15.75" hidden="false" customHeight="false" outlineLevel="0" collapsed="false">
      <c r="A83" s="58" t="s">
        <v>73</v>
      </c>
      <c r="B83" s="59" t="n">
        <v>0.143152660058461</v>
      </c>
      <c r="C83" s="60" t="n">
        <v>1.31034797294688</v>
      </c>
      <c r="D83" s="60" t="n">
        <v>1.40940505094072</v>
      </c>
      <c r="E83" s="60"/>
      <c r="F83" s="60" t="n">
        <v>2.44572188779971</v>
      </c>
      <c r="G83" s="61" t="n">
        <v>3.29268021137792</v>
      </c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</row>
    <row r="84" customFormat="false" ht="15.75" hidden="false" customHeight="false" outlineLevel="0" collapsed="false">
      <c r="A84" s="62" t="s">
        <v>74</v>
      </c>
      <c r="B84" s="63" t="n">
        <v>0.138088835314026</v>
      </c>
      <c r="C84" s="64" t="n">
        <v>1.29643656437424</v>
      </c>
      <c r="D84" s="64" t="n">
        <v>1.31553434194082</v>
      </c>
      <c r="E84" s="64"/>
      <c r="F84" s="64" t="n">
        <v>2.37792942425168</v>
      </c>
      <c r="G84" s="65" t="n">
        <v>3.27503695152799</v>
      </c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</row>
    <row r="85" customFormat="false" ht="15.75" hidden="false" customHeight="false" outlineLevel="0" collapsed="false">
      <c r="A85" s="58" t="s">
        <v>75</v>
      </c>
      <c r="B85" s="59" t="n">
        <v>0.142657853852031</v>
      </c>
      <c r="C85" s="60" t="n">
        <v>1.31034797294688</v>
      </c>
      <c r="D85" s="60" t="n">
        <v>1.37058864042933</v>
      </c>
      <c r="E85" s="60"/>
      <c r="F85" s="60" t="n">
        <v>2.44572188779971</v>
      </c>
      <c r="G85" s="61" t="n">
        <v>3.29268021137792</v>
      </c>
      <c r="H85" s="0"/>
      <c r="I85" s="0"/>
      <c r="J85" s="0"/>
      <c r="K85" s="0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</row>
    <row r="86" customFormat="false" ht="15.75" hidden="false" customHeight="false" outlineLevel="0" collapsed="false">
      <c r="A86" s="62" t="s">
        <v>76</v>
      </c>
      <c r="B86" s="63" t="n">
        <v>0.15000614543248</v>
      </c>
      <c r="C86" s="64" t="n">
        <v>1.30137429087139</v>
      </c>
      <c r="D86" s="64" t="n">
        <v>1.32115050255832</v>
      </c>
      <c r="E86" s="64"/>
      <c r="F86" s="64" t="n">
        <v>2.08560634486741</v>
      </c>
      <c r="G86" s="65" t="n">
        <v>3.01435378173391</v>
      </c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</row>
    <row r="87" customFormat="false" ht="15.75" hidden="false" customHeight="false" outlineLevel="0" collapsed="false">
      <c r="A87" s="58" t="s">
        <v>77</v>
      </c>
      <c r="B87" s="59" t="n">
        <v>0.155605932502559</v>
      </c>
      <c r="C87" s="60" t="n">
        <v>1.3139652878569</v>
      </c>
      <c r="D87" s="60" t="n">
        <v>1.41299467717193</v>
      </c>
      <c r="E87" s="60"/>
      <c r="F87" s="60" t="n">
        <v>2.23808139878465</v>
      </c>
      <c r="G87" s="61" t="n">
        <v>3.02787103746894</v>
      </c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</row>
    <row r="88" customFormat="false" ht="15.75" hidden="false" customHeight="false" outlineLevel="0" collapsed="false">
      <c r="A88" s="62" t="s">
        <v>78</v>
      </c>
      <c r="B88" s="63" t="n">
        <v>0.15000614543248</v>
      </c>
      <c r="C88" s="64" t="n">
        <v>1.30137429087139</v>
      </c>
      <c r="D88" s="64" t="n">
        <v>1.32115050255832</v>
      </c>
      <c r="E88" s="64"/>
      <c r="F88" s="64" t="n">
        <v>2.08560634486741</v>
      </c>
      <c r="G88" s="65" t="n">
        <v>3.01435378173391</v>
      </c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</row>
    <row r="89" customFormat="false" ht="15.75" hidden="false" customHeight="false" outlineLevel="0" collapsed="false">
      <c r="A89" s="58" t="s">
        <v>79</v>
      </c>
      <c r="B89" s="59" t="n">
        <v>0.155605932502559</v>
      </c>
      <c r="C89" s="60" t="n">
        <v>1.3139652878569</v>
      </c>
      <c r="D89" s="60" t="n">
        <v>1.41299467717193</v>
      </c>
      <c r="E89" s="60"/>
      <c r="F89" s="60" t="n">
        <v>2.23808139878465</v>
      </c>
      <c r="G89" s="61" t="n">
        <v>3.02787103746894</v>
      </c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</row>
    <row r="90" customFormat="false" ht="15.75" hidden="false" customHeight="false" outlineLevel="0" collapsed="false">
      <c r="A90" s="62" t="s">
        <v>80</v>
      </c>
      <c r="B90" s="63" t="n">
        <v>0.149105221033096</v>
      </c>
      <c r="C90" s="64" t="n">
        <v>1.3035793610927</v>
      </c>
      <c r="D90" s="64" t="n">
        <v>1.32177295735958</v>
      </c>
      <c r="E90" s="64"/>
      <c r="F90" s="64" t="n">
        <v>1.64578329620029</v>
      </c>
      <c r="G90" s="65" t="n">
        <v>3.01658133368234</v>
      </c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</row>
    <row r="91" customFormat="false" ht="15.75" hidden="false" customHeight="false" outlineLevel="0" collapsed="false">
      <c r="A91" s="58" t="s">
        <v>81</v>
      </c>
      <c r="B91" s="59" t="n">
        <v>0.155032067778884</v>
      </c>
      <c r="C91" s="60" t="n">
        <v>1.31395582252194</v>
      </c>
      <c r="D91" s="60" t="n">
        <v>1.41381022881301</v>
      </c>
      <c r="E91" s="60"/>
      <c r="F91" s="60" t="n">
        <v>2.23972756889541</v>
      </c>
      <c r="G91" s="61" t="n">
        <v>3.03009173863493</v>
      </c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</row>
    <row r="92" customFormat="false" ht="15.75" hidden="false" customHeight="false" outlineLevel="0" collapsed="false">
      <c r="A92" s="62" t="s">
        <v>78</v>
      </c>
      <c r="B92" s="63" t="n">
        <v>0.149979299306869</v>
      </c>
      <c r="C92" s="64" t="n">
        <v>1.3035793610927</v>
      </c>
      <c r="D92" s="64" t="n">
        <v>1.32194758770193</v>
      </c>
      <c r="E92" s="64"/>
      <c r="F92" s="64" t="n">
        <v>1.65192708386111</v>
      </c>
      <c r="G92" s="65" t="n">
        <v>3.03326383011051</v>
      </c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</row>
    <row r="93" customFormat="false" ht="15.75" hidden="false" customHeight="false" outlineLevel="0" collapsed="false">
      <c r="A93" s="58" t="s">
        <v>79</v>
      </c>
      <c r="B93" s="59" t="n">
        <v>0.155900386924619</v>
      </c>
      <c r="C93" s="60" t="n">
        <v>1.31395582252194</v>
      </c>
      <c r="D93" s="60" t="n">
        <v>1.41381022881301</v>
      </c>
      <c r="E93" s="60"/>
      <c r="F93" s="60" t="n">
        <v>2.25061408713164</v>
      </c>
      <c r="G93" s="61" t="n">
        <v>3.04700038457354</v>
      </c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</row>
    <row r="94" customFormat="false" ht="15.75" hidden="false" customHeight="false" outlineLevel="0" collapsed="false">
      <c r="A94" s="62" t="s">
        <v>82</v>
      </c>
      <c r="B94" s="63" t="n">
        <v>0.15011939406395</v>
      </c>
      <c r="C94" s="64" t="n">
        <v>1.30261703132233</v>
      </c>
      <c r="D94" s="64" t="n">
        <v>1.32096766669678</v>
      </c>
      <c r="E94" s="64"/>
      <c r="F94" s="64" t="n">
        <v>1.64868435155594</v>
      </c>
      <c r="G94" s="65" t="n">
        <v>3.03206821998524</v>
      </c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</row>
    <row r="95" customFormat="false" ht="15.75" hidden="false" customHeight="false" outlineLevel="0" collapsed="false">
      <c r="A95" s="58" t="s">
        <v>83</v>
      </c>
      <c r="B95" s="59" t="n">
        <v>0.156052612704283</v>
      </c>
      <c r="C95" s="60" t="n">
        <v>1.31298330977185</v>
      </c>
      <c r="D95" s="60" t="n">
        <v>1.41323621414971</v>
      </c>
      <c r="E95" s="60"/>
      <c r="F95" s="60" t="n">
        <v>2.24661849345863</v>
      </c>
      <c r="G95" s="61" t="n">
        <v>3.04545230677183</v>
      </c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</row>
    <row r="96" customFormat="false" ht="15.75" hidden="false" customHeight="false" outlineLevel="0" collapsed="false">
      <c r="A96" s="62" t="s">
        <v>84</v>
      </c>
      <c r="B96" s="63" t="n">
        <v>0.150104302167892</v>
      </c>
      <c r="C96" s="64" t="n">
        <v>1.3035793610927</v>
      </c>
      <c r="D96" s="64" t="n">
        <v>1.32194758770193</v>
      </c>
      <c r="E96" s="64"/>
      <c r="F96" s="64" t="n">
        <v>1.65192708386111</v>
      </c>
      <c r="G96" s="65" t="n">
        <v>3.03361429181993</v>
      </c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</row>
    <row r="97" customFormat="false" ht="15.75" hidden="false" customHeight="false" outlineLevel="0" collapsed="false">
      <c r="A97" s="58" t="s">
        <v>85</v>
      </c>
      <c r="B97" s="59" t="n">
        <v>0.156062110887816</v>
      </c>
      <c r="C97" s="60" t="n">
        <v>1.31395582252194</v>
      </c>
      <c r="D97" s="60" t="n">
        <v>1.41381022881301</v>
      </c>
      <c r="E97" s="60"/>
      <c r="F97" s="60" t="n">
        <v>2.25061408713164</v>
      </c>
      <c r="G97" s="61" t="n">
        <v>3.04714109155205</v>
      </c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</row>
    <row r="98" customFormat="false" ht="15.75" hidden="false" customHeight="false" outlineLevel="0" collapsed="false">
      <c r="A98" s="62" t="s">
        <v>86</v>
      </c>
      <c r="B98" s="63" t="n">
        <v>0.149993962049484</v>
      </c>
      <c r="C98" s="64" t="n">
        <v>1.30261703132233</v>
      </c>
      <c r="D98" s="64" t="n">
        <v>1.32096766669678</v>
      </c>
      <c r="E98" s="64"/>
      <c r="F98" s="64" t="n">
        <v>1.64868435155594</v>
      </c>
      <c r="G98" s="65" t="n">
        <v>3.03206821998524</v>
      </c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</row>
    <row r="99" customFormat="false" ht="15.75" hidden="false" customHeight="false" outlineLevel="0" collapsed="false">
      <c r="A99" s="58" t="s">
        <v>87</v>
      </c>
      <c r="B99" s="59" t="n">
        <v>0.155951710307308</v>
      </c>
      <c r="C99" s="60" t="n">
        <v>1.31298330977185</v>
      </c>
      <c r="D99" s="60" t="n">
        <v>1.41323621414971</v>
      </c>
      <c r="E99" s="60"/>
      <c r="F99" s="60" t="n">
        <v>2.24661849345863</v>
      </c>
      <c r="G99" s="61" t="n">
        <v>3.04545230677183</v>
      </c>
    </row>
    <row r="100" customFormat="false" ht="15.75" hidden="false" customHeight="false" outlineLevel="0" collapsed="false">
      <c r="A100" s="62" t="s">
        <v>88</v>
      </c>
      <c r="B100" s="63" t="n">
        <v>0.132963305711746</v>
      </c>
      <c r="C100" s="64" t="n">
        <v>1.30261703132233</v>
      </c>
      <c r="D100" s="64" t="n">
        <v>1.32096766669678</v>
      </c>
      <c r="E100" s="64"/>
      <c r="F100" s="64" t="n">
        <v>1.64868435155594</v>
      </c>
      <c r="G100" s="65" t="n">
        <v>3.03206821998524</v>
      </c>
    </row>
    <row r="101" customFormat="false" ht="15.75" hidden="false" customHeight="false" outlineLevel="0" collapsed="false">
      <c r="A101" s="58" t="s">
        <v>89</v>
      </c>
      <c r="B101" s="59" t="n">
        <v>0.13755844843472</v>
      </c>
      <c r="C101" s="60" t="n">
        <v>1.31298330977185</v>
      </c>
      <c r="D101" s="60" t="n">
        <v>1.41281392246441</v>
      </c>
      <c r="E101" s="60"/>
      <c r="F101" s="60" t="n">
        <v>2.24661849345863</v>
      </c>
      <c r="G101" s="61" t="n">
        <v>3.04545230677183</v>
      </c>
    </row>
    <row r="102" customFormat="false" ht="15.75" hidden="false" customHeight="false" outlineLevel="0" collapsed="false">
      <c r="A102" s="62" t="s">
        <v>90</v>
      </c>
      <c r="B102" s="63" t="n">
        <v>0.120104211568832</v>
      </c>
      <c r="C102" s="64" t="n">
        <v>1.30261703132233</v>
      </c>
      <c r="D102" s="64" t="n">
        <v>1.32096766669678</v>
      </c>
      <c r="E102" s="64"/>
      <c r="F102" s="64" t="n">
        <v>1.64868435155594</v>
      </c>
      <c r="G102" s="65" t="n">
        <v>3.02826960076019</v>
      </c>
    </row>
    <row r="103" customFormat="false" ht="15.75" hidden="false" customHeight="false" outlineLevel="0" collapsed="false">
      <c r="A103" s="58" t="s">
        <v>91</v>
      </c>
      <c r="B103" s="59" t="n">
        <v>0.123788464509079</v>
      </c>
      <c r="C103" s="60" t="n">
        <v>1.31298330977185</v>
      </c>
      <c r="D103" s="60" t="n">
        <v>1.41323621414971</v>
      </c>
      <c r="E103" s="60"/>
      <c r="F103" s="60" t="n">
        <v>2.25554670411858</v>
      </c>
      <c r="G103" s="61" t="n">
        <v>3.04176967992335</v>
      </c>
    </row>
    <row r="104" customFormat="false" ht="15.75" hidden="false" customHeight="false" outlineLevel="0" collapsed="false">
      <c r="A104" s="62" t="s">
        <v>92</v>
      </c>
      <c r="B104" s="63" t="n">
        <v>0.119673591852188</v>
      </c>
      <c r="C104" s="64" t="n">
        <v>1.30012398525534</v>
      </c>
      <c r="D104" s="64" t="n">
        <v>1.31842908684577</v>
      </c>
      <c r="E104" s="64"/>
      <c r="F104" s="64" t="n">
        <v>1.64032060249933</v>
      </c>
      <c r="G104" s="65" t="n">
        <v>3.02869285017134</v>
      </c>
    </row>
    <row r="105" customFormat="false" ht="15.75" hidden="false" customHeight="false" outlineLevel="0" collapsed="false">
      <c r="A105" s="58" t="s">
        <v>93</v>
      </c>
      <c r="B105" s="59" t="n">
        <v>0.123404134313802</v>
      </c>
      <c r="C105" s="60" t="n">
        <v>1.06240990725662</v>
      </c>
      <c r="D105" s="60" t="n">
        <v>1.32327041147551</v>
      </c>
      <c r="E105" s="60"/>
      <c r="F105" s="60" t="n">
        <v>2.24920144231049</v>
      </c>
      <c r="G105" s="61" t="n">
        <v>3.09119575375221</v>
      </c>
    </row>
    <row r="106" customFormat="false" ht="15.75" hidden="false" customHeight="false" outlineLevel="0" collapsed="false">
      <c r="A106" s="62" t="s">
        <v>94</v>
      </c>
      <c r="B106" s="63" t="n">
        <v>0.120801120996475</v>
      </c>
      <c r="C106" s="64" t="n">
        <v>1.30012398525534</v>
      </c>
      <c r="D106" s="64" t="n">
        <v>1.31842908684577</v>
      </c>
      <c r="E106" s="64"/>
      <c r="F106" s="64" t="n">
        <v>1.64032060249933</v>
      </c>
      <c r="G106" s="65" t="n">
        <v>3.02869285017134</v>
      </c>
    </row>
    <row r="107" customFormat="false" ht="16.5" hidden="false" customHeight="false" outlineLevel="0" collapsed="false">
      <c r="A107" s="66" t="s">
        <v>95</v>
      </c>
      <c r="B107" s="67" t="n">
        <v>0.124543098295868</v>
      </c>
      <c r="C107" s="68" t="n">
        <v>1.06240990725662</v>
      </c>
      <c r="D107" s="68" t="n">
        <v>1.32327041147551</v>
      </c>
      <c r="E107" s="68"/>
      <c r="F107" s="68" t="n">
        <v>2.24920144231049</v>
      </c>
      <c r="G107" s="69" t="n">
        <v>3.09119575375221</v>
      </c>
    </row>
    <row r="108" customFormat="false" ht="15.75" hidden="false" customHeight="false" outlineLevel="0" collapsed="false">
      <c r="A108" s="62" t="s">
        <v>96</v>
      </c>
      <c r="B108" s="47"/>
      <c r="C108" s="48"/>
      <c r="D108" s="48"/>
      <c r="E108" s="48"/>
      <c r="F108" s="48"/>
      <c r="G108" s="49"/>
    </row>
    <row r="109" customFormat="false" ht="15.75" hidden="false" customHeight="false" outlineLevel="0" collapsed="false">
      <c r="A109" s="62" t="s">
        <v>97</v>
      </c>
      <c r="B109" s="47"/>
      <c r="C109" s="48"/>
      <c r="D109" s="48"/>
      <c r="E109" s="48"/>
      <c r="F109" s="48"/>
      <c r="G109" s="49"/>
    </row>
    <row r="110" customFormat="false" ht="15.75" hidden="false" customHeight="false" outlineLevel="0" collapsed="false">
      <c r="A110" s="62" t="s">
        <v>98</v>
      </c>
      <c r="B110" s="47"/>
      <c r="C110" s="48"/>
      <c r="D110" s="48"/>
      <c r="E110" s="48"/>
      <c r="F110" s="48"/>
      <c r="G110" s="49"/>
    </row>
    <row r="111" customFormat="false" ht="15.75" hidden="false" customHeight="false" outlineLevel="0" collapsed="false">
      <c r="A111" s="62" t="s">
        <v>99</v>
      </c>
      <c r="B111" s="70"/>
      <c r="C111" s="70"/>
      <c r="D111" s="70"/>
      <c r="E111" s="70"/>
      <c r="F111" s="70"/>
      <c r="G111" s="71"/>
    </row>
    <row r="112" customFormat="false" ht="15.75" hidden="false" customHeight="false" outlineLevel="0" collapsed="false">
      <c r="A112" s="62" t="s">
        <v>100</v>
      </c>
      <c r="B112" s="63"/>
      <c r="C112" s="64"/>
      <c r="D112" s="70"/>
      <c r="E112" s="70"/>
      <c r="F112" s="70"/>
      <c r="G112" s="71"/>
    </row>
    <row r="113" customFormat="false" ht="15.75" hidden="false" customHeight="false" outlineLevel="0" collapsed="false">
      <c r="A113" s="62" t="s">
        <v>101</v>
      </c>
      <c r="B113" s="63" t="n">
        <v>0.158548219558425</v>
      </c>
      <c r="C113" s="64" t="n">
        <v>1.03596445672587</v>
      </c>
      <c r="D113" s="64" t="n">
        <v>1.31993104077825</v>
      </c>
      <c r="E113" s="64"/>
      <c r="F113" s="64" t="n">
        <v>2.47528077994285</v>
      </c>
      <c r="G113" s="65" t="n">
        <v>3.39728143772724</v>
      </c>
    </row>
    <row r="114" customFormat="false" ht="15.75" hidden="false" customHeight="false" outlineLevel="0" collapsed="false">
      <c r="A114" s="62" t="s">
        <v>102</v>
      </c>
      <c r="B114" s="63" t="n">
        <v>0.13281783747181</v>
      </c>
      <c r="C114" s="64" t="n">
        <v>1.25125513541128</v>
      </c>
      <c r="D114" s="64" t="n">
        <v>1.30711317682906</v>
      </c>
      <c r="E114" s="64"/>
      <c r="F114" s="64" t="n">
        <v>2.48403583002668</v>
      </c>
      <c r="G114" s="65" t="n">
        <v>3.4062056382964</v>
      </c>
    </row>
    <row r="115" customFormat="false" ht="15.75" hidden="false" customHeight="false" outlineLevel="0" collapsed="false">
      <c r="A115" s="62" t="s">
        <v>103</v>
      </c>
      <c r="B115" s="63" t="n">
        <v>0.132718200973988</v>
      </c>
      <c r="C115" s="64" t="n">
        <v>1.25125513541128</v>
      </c>
      <c r="D115" s="64" t="n">
        <v>1.30711317682906</v>
      </c>
      <c r="E115" s="64"/>
      <c r="F115" s="64" t="n">
        <v>2.48403583002668</v>
      </c>
      <c r="G115" s="65" t="n">
        <v>3.4062056382964</v>
      </c>
    </row>
    <row r="116" customFormat="false" ht="15.75" hidden="false" customHeight="false" outlineLevel="0" collapsed="false">
      <c r="A116" s="62" t="s">
        <v>104</v>
      </c>
      <c r="B116" s="63" t="n">
        <v>0.118862325728101</v>
      </c>
      <c r="C116" s="64" t="n">
        <v>1.25125513541128</v>
      </c>
      <c r="D116" s="64" t="n">
        <v>1.30709766408131</v>
      </c>
      <c r="E116" s="64"/>
      <c r="F116" s="64" t="n">
        <v>2.25850366750258</v>
      </c>
      <c r="G116" s="65" t="n">
        <v>3.09346052040391</v>
      </c>
    </row>
    <row r="117" customFormat="false" ht="15.75" hidden="false" customHeight="false" outlineLevel="0" collapsed="false">
      <c r="A117" s="62" t="s">
        <v>105</v>
      </c>
      <c r="B117" s="63" t="n">
        <v>0.118664576962693</v>
      </c>
      <c r="C117" s="64" t="n">
        <v>1.24527524400077</v>
      </c>
      <c r="D117" s="64" t="n">
        <v>1.30261624665427</v>
      </c>
      <c r="E117" s="64"/>
      <c r="F117" s="64" t="n">
        <v>2.25850366750258</v>
      </c>
      <c r="G117" s="65" t="n">
        <v>3.09346052040391</v>
      </c>
    </row>
    <row r="118" customFormat="false" ht="15.75" hidden="false" customHeight="false" outlineLevel="0" collapsed="false">
      <c r="A118" s="46" t="s">
        <v>106</v>
      </c>
      <c r="B118" s="47" t="n">
        <v>0.117663150188655</v>
      </c>
      <c r="C118" s="48" t="n">
        <v>1.24527524400077</v>
      </c>
      <c r="D118" s="48" t="n">
        <v>1.30261624665427</v>
      </c>
      <c r="E118" s="48"/>
      <c r="F118" s="48" t="n">
        <v>2.25850366750258</v>
      </c>
      <c r="G118" s="49" t="n">
        <v>3.09346052040391</v>
      </c>
    </row>
    <row r="119" customFormat="false" ht="15.75" hidden="false" customHeight="false" outlineLevel="0" collapsed="false">
      <c r="A119" s="62" t="s">
        <v>107</v>
      </c>
      <c r="B119" s="72" t="s">
        <v>108</v>
      </c>
      <c r="C119" s="73"/>
      <c r="D119" s="70"/>
      <c r="E119" s="70"/>
      <c r="F119" s="70"/>
      <c r="G119" s="71"/>
    </row>
    <row r="120" customFormat="false" ht="15.75" hidden="false" customHeight="false" outlineLevel="0" collapsed="false">
      <c r="A120" s="62" t="s">
        <v>109</v>
      </c>
      <c r="B120" s="72" t="s">
        <v>108</v>
      </c>
      <c r="C120" s="73"/>
      <c r="D120" s="70"/>
      <c r="E120" s="70"/>
      <c r="F120" s="70"/>
      <c r="G120" s="71"/>
    </row>
    <row r="121" customFormat="false" ht="15.75" hidden="false" customHeight="false" outlineLevel="0" collapsed="false">
      <c r="A121" s="62" t="s">
        <v>110</v>
      </c>
      <c r="B121" s="72" t="s">
        <v>108</v>
      </c>
      <c r="C121" s="73"/>
      <c r="D121" s="70"/>
      <c r="E121" s="70"/>
      <c r="F121" s="70"/>
      <c r="G121" s="71"/>
    </row>
    <row r="122" customFormat="false" ht="15.75" hidden="false" customHeight="false" outlineLevel="0" collapsed="false">
      <c r="A122" s="62" t="s">
        <v>111</v>
      </c>
      <c r="B122" s="63" t="n">
        <v>0.117670711012662</v>
      </c>
      <c r="C122" s="70"/>
      <c r="D122" s="70"/>
      <c r="E122" s="70"/>
      <c r="F122" s="70"/>
      <c r="G122" s="71"/>
    </row>
    <row r="123" customFormat="false" ht="15.75" hidden="false" customHeight="false" outlineLevel="0" collapsed="false">
      <c r="A123" s="62" t="s">
        <v>112</v>
      </c>
      <c r="B123" s="63" t="n">
        <v>0.118623459898117</v>
      </c>
      <c r="C123" s="70"/>
      <c r="D123" s="70"/>
      <c r="E123" s="70"/>
      <c r="F123" s="70"/>
      <c r="G123" s="71"/>
    </row>
    <row r="124" customFormat="false" ht="15.75" hidden="false" customHeight="false" outlineLevel="0" collapsed="false">
      <c r="A124" s="62" t="s">
        <v>113</v>
      </c>
      <c r="B124" s="63" t="n">
        <v>0.12191575624055</v>
      </c>
      <c r="C124" s="73"/>
      <c r="D124" s="70"/>
      <c r="E124" s="70"/>
      <c r="F124" s="70"/>
      <c r="G124" s="71"/>
    </row>
    <row r="125" customFormat="false" ht="15.75" hidden="false" customHeight="false" outlineLevel="0" collapsed="false">
      <c r="A125" s="74" t="s">
        <v>114</v>
      </c>
      <c r="B125" s="63" t="n">
        <v>0.121128456216045</v>
      </c>
      <c r="C125" s="73"/>
      <c r="D125" s="73"/>
      <c r="E125" s="73"/>
      <c r="F125" s="70"/>
      <c r="G125" s="71"/>
    </row>
    <row r="126" customFormat="false" ht="16.5" hidden="false" customHeight="false" outlineLevel="0" collapsed="false">
      <c r="A126" s="50" t="s">
        <v>115</v>
      </c>
      <c r="B126" s="51" t="n">
        <v>0.1208</v>
      </c>
      <c r="C126" s="52" t="n">
        <v>1.30267597888463</v>
      </c>
      <c r="D126" s="52" t="n">
        <v>1.31054357556276</v>
      </c>
      <c r="E126" s="52"/>
      <c r="F126" s="52" t="n">
        <v>2.24920144231049</v>
      </c>
      <c r="G126" s="53" t="n">
        <v>3.08840574159226</v>
      </c>
    </row>
  </sheetData>
  <mergeCells count="3">
    <mergeCell ref="C51:G51"/>
    <mergeCell ref="C52:E52"/>
    <mergeCell ref="F52:G52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&amp;L&amp;T, &amp;D&amp;C&amp;F&amp;RPage &amp;P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7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26" activeCellId="0" sqref="I26"/>
    </sheetView>
  </sheetViews>
  <sheetFormatPr defaultColWidth="9.13671875" defaultRowHeight="12.75" customHeight="true" zeroHeight="false" outlineLevelRow="1" outlineLevelCol="1"/>
  <cols>
    <col collapsed="false" customWidth="true" hidden="false" outlineLevel="0" max="1" min="1" style="78" width="53.41"/>
    <col collapsed="false" customWidth="true" hidden="false" outlineLevel="0" max="4" min="2" style="78" width="8.41"/>
    <col collapsed="false" customWidth="true" hidden="false" outlineLevel="1" max="5" min="5" style="78" width="9.28"/>
    <col collapsed="false" customWidth="true" hidden="false" outlineLevel="1" max="6" min="6" style="78" width="10.13"/>
    <col collapsed="false" customWidth="true" hidden="false" outlineLevel="1" max="8" min="7" style="78" width="10.71"/>
    <col collapsed="false" customWidth="true" hidden="false" outlineLevel="0" max="26" min="9" style="78" width="10.71"/>
    <col collapsed="false" customWidth="false" hidden="false" outlineLevel="0" max="257" min="27" style="70" width="9.14"/>
  </cols>
  <sheetData>
    <row r="1" customFormat="false" ht="12.75" hidden="false" customHeight="false" outlineLevel="0" collapsed="false">
      <c r="F1" s="78" t="n">
        <v>12</v>
      </c>
    </row>
    <row r="2" customFormat="false" ht="18.75" hidden="false" customHeight="false" outlineLevel="0" collapsed="false">
      <c r="A2" s="317" t="s">
        <v>452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</row>
    <row r="3" customFormat="false" ht="12.75" hidden="false" customHeight="false" outlineLevel="0" collapsed="false">
      <c r="A3" s="323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</row>
    <row r="4" customFormat="false" ht="12.75" hidden="false" customHeight="false" outlineLevel="0" collapsed="false">
      <c r="A4" s="323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</row>
    <row r="5" customFormat="false" ht="13.5" hidden="false" customHeight="false" outlineLevel="0" collapsed="false">
      <c r="A5" s="319" t="s">
        <v>269</v>
      </c>
      <c r="B5" s="320"/>
      <c r="C5" s="320"/>
      <c r="D5" s="320"/>
      <c r="E5" s="320" t="n">
        <v>1999</v>
      </c>
      <c r="F5" s="320" t="n">
        <f aca="false">E5+1</f>
        <v>2000</v>
      </c>
      <c r="G5" s="320" t="n">
        <f aca="false">F5+1</f>
        <v>2001</v>
      </c>
      <c r="H5" s="320" t="n">
        <f aca="false">G5+1</f>
        <v>2002</v>
      </c>
      <c r="I5" s="320" t="n">
        <f aca="false">H5+1</f>
        <v>2003</v>
      </c>
      <c r="J5" s="320" t="n">
        <f aca="false">I5+1</f>
        <v>2004</v>
      </c>
      <c r="K5" s="320" t="n">
        <f aca="false">J5+1</f>
        <v>2005</v>
      </c>
      <c r="L5" s="320" t="n">
        <f aca="false">K5+1</f>
        <v>2006</v>
      </c>
      <c r="M5" s="320" t="n">
        <f aca="false">L5+1</f>
        <v>2007</v>
      </c>
      <c r="N5" s="320" t="n">
        <f aca="false">M5+1</f>
        <v>2008</v>
      </c>
      <c r="O5" s="320" t="n">
        <f aca="false">N5+1</f>
        <v>2009</v>
      </c>
      <c r="P5" s="320" t="n">
        <f aca="false">O5+1</f>
        <v>2010</v>
      </c>
      <c r="Q5" s="320" t="n">
        <f aca="false">P5+1</f>
        <v>2011</v>
      </c>
      <c r="R5" s="320" t="n">
        <f aca="false">Q5+1</f>
        <v>2012</v>
      </c>
      <c r="S5" s="320" t="n">
        <f aca="false">R5+1</f>
        <v>2013</v>
      </c>
      <c r="T5" s="320" t="n">
        <f aca="false">S5+1</f>
        <v>2014</v>
      </c>
      <c r="U5" s="320" t="n">
        <f aca="false">T5+1</f>
        <v>2015</v>
      </c>
      <c r="V5" s="320" t="n">
        <f aca="false">U5+1</f>
        <v>2016</v>
      </c>
      <c r="W5" s="320" t="n">
        <f aca="false">V5+1</f>
        <v>2017</v>
      </c>
      <c r="X5" s="320" t="n">
        <f aca="false">W5+1</f>
        <v>2018</v>
      </c>
      <c r="Y5" s="320" t="n">
        <f aca="false">X5+1</f>
        <v>2019</v>
      </c>
      <c r="Z5" s="320" t="n">
        <f aca="false">Y5+1</f>
        <v>2020</v>
      </c>
    </row>
    <row r="6" customFormat="false" ht="12.75" hidden="false" customHeight="false" outlineLevel="0" collapsed="false">
      <c r="A6" s="322"/>
      <c r="B6" s="321"/>
      <c r="C6" s="321"/>
      <c r="D6" s="321"/>
      <c r="E6" s="321"/>
      <c r="F6" s="321"/>
      <c r="G6" s="321"/>
      <c r="H6" s="321"/>
      <c r="I6" s="650"/>
      <c r="J6" s="650"/>
      <c r="K6" s="650"/>
      <c r="L6" s="650"/>
      <c r="M6" s="650"/>
      <c r="N6" s="650"/>
      <c r="O6" s="650"/>
      <c r="P6" s="650"/>
      <c r="Q6" s="650"/>
      <c r="R6" s="650"/>
      <c r="S6" s="650"/>
      <c r="T6" s="650"/>
      <c r="U6" s="650"/>
      <c r="V6" s="650"/>
      <c r="W6" s="650"/>
      <c r="X6" s="650"/>
      <c r="Y6" s="650"/>
      <c r="Z6" s="650"/>
    </row>
    <row r="7" customFormat="false" ht="12.75" hidden="false" customHeight="false" outlineLevel="0" collapsed="false">
      <c r="A7" s="322"/>
      <c r="B7" s="318"/>
      <c r="C7" s="318"/>
      <c r="D7" s="354"/>
      <c r="E7" s="354"/>
      <c r="F7" s="354"/>
      <c r="G7" s="354"/>
      <c r="H7" s="354"/>
      <c r="I7" s="354"/>
      <c r="J7" s="354"/>
      <c r="K7" s="354"/>
      <c r="L7" s="354"/>
      <c r="M7" s="354"/>
      <c r="N7" s="354"/>
      <c r="O7" s="354"/>
      <c r="P7" s="354"/>
      <c r="Q7" s="354"/>
      <c r="R7" s="354"/>
      <c r="S7" s="354"/>
      <c r="T7" s="354"/>
      <c r="U7" s="354"/>
      <c r="V7" s="354"/>
      <c r="W7" s="354"/>
      <c r="X7" s="354"/>
      <c r="Y7" s="354"/>
      <c r="Z7" s="354"/>
    </row>
    <row r="8" customFormat="false" ht="12.75" hidden="false" customHeight="false" outlineLevel="0" collapsed="false">
      <c r="A8" s="323" t="s">
        <v>270</v>
      </c>
      <c r="B8" s="321"/>
      <c r="C8" s="321"/>
      <c r="D8" s="650"/>
      <c r="E8" s="650"/>
      <c r="F8" s="650"/>
      <c r="G8" s="650"/>
      <c r="H8" s="650"/>
      <c r="I8" s="650"/>
      <c r="J8" s="650"/>
      <c r="K8" s="650"/>
      <c r="L8" s="650"/>
      <c r="M8" s="650"/>
      <c r="N8" s="650"/>
      <c r="O8" s="650"/>
      <c r="P8" s="650"/>
      <c r="Q8" s="650"/>
      <c r="R8" s="650"/>
      <c r="S8" s="650"/>
      <c r="T8" s="650"/>
      <c r="U8" s="650"/>
      <c r="V8" s="650"/>
      <c r="W8" s="650"/>
      <c r="X8" s="650"/>
      <c r="Y8" s="650"/>
      <c r="Z8" s="650"/>
      <c r="AA8" s="651"/>
      <c r="AB8" s="651"/>
      <c r="AC8" s="651"/>
    </row>
    <row r="9" customFormat="false" ht="12.75" hidden="false" customHeight="false" outlineLevel="0" collapsed="false">
      <c r="A9" s="326" t="s">
        <v>271</v>
      </c>
      <c r="B9" s="321"/>
      <c r="C9" s="321"/>
      <c r="D9" s="321"/>
      <c r="E9" s="321"/>
      <c r="F9" s="321"/>
      <c r="H9" s="70"/>
      <c r="I9" s="652"/>
      <c r="J9" s="652"/>
      <c r="K9" s="652"/>
      <c r="L9" s="652"/>
      <c r="M9" s="652"/>
      <c r="N9" s="652"/>
      <c r="O9" s="652"/>
      <c r="P9" s="652"/>
      <c r="Q9" s="652"/>
      <c r="R9" s="652"/>
      <c r="S9" s="652"/>
      <c r="T9" s="652"/>
      <c r="U9" s="652"/>
      <c r="V9" s="652"/>
      <c r="W9" s="652"/>
      <c r="X9" s="652"/>
      <c r="Y9" s="652"/>
      <c r="Z9" s="652"/>
      <c r="AA9" s="651"/>
      <c r="AB9" s="651"/>
      <c r="AC9" s="651"/>
    </row>
    <row r="10" customFormat="false" ht="12.75" hidden="false" customHeight="false" outlineLevel="0" collapsed="false">
      <c r="A10" s="327" t="s">
        <v>272</v>
      </c>
      <c r="B10" s="321"/>
      <c r="C10" s="321"/>
      <c r="D10" s="115"/>
      <c r="E10" s="115" t="n">
        <f aca="false">Assumptions!$L$29*Assumptions!L53*'Power Price Assumption'!E23</f>
        <v>0</v>
      </c>
      <c r="F10" s="115" t="n">
        <f aca="false">Assumptions!$L$30*12*'Power Price Assumption'!F23*$F$1/12</f>
        <v>21984</v>
      </c>
      <c r="G10" s="115" t="n">
        <f aca="false">Assumptions!$L$30*12*'Power Price Assumption'!G23</f>
        <v>21984</v>
      </c>
      <c r="H10" s="115" t="n">
        <f aca="false">Assumptions!$L$30*12*'Power Price Assumption'!H23</f>
        <v>21984</v>
      </c>
      <c r="I10" s="115" t="n">
        <v>0</v>
      </c>
      <c r="J10" s="115" t="n">
        <f aca="false">Assumptions!$L$30*12*'Power Price Assumption'!J23</f>
        <v>0</v>
      </c>
      <c r="K10" s="115" t="n">
        <f aca="false">Assumptions!$L$30*12*'Power Price Assumption'!K23</f>
        <v>0</v>
      </c>
      <c r="L10" s="115" t="n">
        <f aca="false">Assumptions!$L$30*12*'Power Price Assumption'!L23</f>
        <v>0</v>
      </c>
      <c r="M10" s="115" t="n">
        <f aca="false">Assumptions!$L$30*12*'Power Price Assumption'!M23</f>
        <v>0</v>
      </c>
      <c r="N10" s="115" t="n">
        <f aca="false">Assumptions!$L$30*12*'Power Price Assumption'!N23</f>
        <v>0</v>
      </c>
      <c r="O10" s="115" t="n">
        <f aca="false">Assumptions!$L$30*12*'Power Price Assumption'!O23</f>
        <v>0</v>
      </c>
      <c r="P10" s="115" t="n">
        <f aca="false">Assumptions!$L$30*12*'Power Price Assumption'!P23</f>
        <v>0</v>
      </c>
      <c r="Q10" s="115" t="n">
        <f aca="false">Assumptions!$L$30*12*'Power Price Assumption'!Q23</f>
        <v>0</v>
      </c>
      <c r="R10" s="115" t="n">
        <f aca="false">Assumptions!$L$30*12*'Power Price Assumption'!R23</f>
        <v>0</v>
      </c>
      <c r="S10" s="115" t="n">
        <f aca="false">Assumptions!$L$30*12*'Power Price Assumption'!S23</f>
        <v>0</v>
      </c>
      <c r="T10" s="115" t="n">
        <f aca="false">Assumptions!$L$30*12*'Power Price Assumption'!T23</f>
        <v>0</v>
      </c>
      <c r="U10" s="115" t="n">
        <f aca="false">Assumptions!$L$30*12*'Power Price Assumption'!U23</f>
        <v>0</v>
      </c>
      <c r="V10" s="115" t="n">
        <f aca="false">Assumptions!$L$30*12*'Power Price Assumption'!V23</f>
        <v>0</v>
      </c>
      <c r="W10" s="115" t="n">
        <f aca="false">Assumptions!$L$30*12*'Power Price Assumption'!W23</f>
        <v>0</v>
      </c>
      <c r="X10" s="115" t="n">
        <f aca="false">Assumptions!$L$30*12*'Power Price Assumption'!X23</f>
        <v>0</v>
      </c>
      <c r="Y10" s="115" t="n">
        <f aca="false">Assumptions!$L$30*12*'Power Price Assumption'!Y23</f>
        <v>0</v>
      </c>
      <c r="Z10" s="115" t="n">
        <f aca="false">Assumptions!$L$30*12*'Power Price Assumption'!Z23</f>
        <v>0</v>
      </c>
      <c r="AA10" s="651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</row>
    <row r="11" customFormat="false" ht="12.75" hidden="false" customHeight="false" outlineLevel="0" collapsed="false">
      <c r="A11" s="327" t="s">
        <v>273</v>
      </c>
      <c r="B11" s="321"/>
      <c r="C11" s="321"/>
      <c r="D11" s="115"/>
      <c r="E11" s="115" t="n">
        <f aca="false">Assumptions!L$26*Assumptions!L$30*Assumptions!L$14/1000*Assumptions!L$53/12</f>
        <v>0</v>
      </c>
      <c r="F11" s="115" t="n">
        <f aca="false">Assumptions!L$26*Assumptions!L$30*Assumptions!L$14/1000*(1+Assumptions!$L$39)*$F$1/12</f>
        <v>797.47544</v>
      </c>
      <c r="G11" s="115" t="n">
        <f aca="false">F11*(1+Assumptions!$L$39)</f>
        <v>821.3997032</v>
      </c>
      <c r="H11" s="115" t="n">
        <f aca="false">G11*(1+Assumptions!$L$39)</f>
        <v>846.041694296</v>
      </c>
      <c r="I11" s="115" t="n">
        <v>0</v>
      </c>
      <c r="J11" s="115" t="n">
        <v>0</v>
      </c>
      <c r="K11" s="115" t="n">
        <v>0</v>
      </c>
      <c r="L11" s="115" t="n">
        <v>0</v>
      </c>
      <c r="M11" s="115" t="n">
        <v>0</v>
      </c>
      <c r="N11" s="115" t="n">
        <v>0</v>
      </c>
      <c r="O11" s="115" t="n">
        <v>0</v>
      </c>
      <c r="P11" s="115" t="n">
        <v>0</v>
      </c>
      <c r="Q11" s="115" t="n">
        <v>0</v>
      </c>
      <c r="R11" s="115" t="n">
        <v>0</v>
      </c>
      <c r="S11" s="115" t="n">
        <v>0</v>
      </c>
      <c r="T11" s="115" t="n">
        <v>0</v>
      </c>
      <c r="U11" s="115" t="n">
        <v>0</v>
      </c>
      <c r="V11" s="115" t="n">
        <v>0</v>
      </c>
      <c r="W11" s="115" t="n">
        <v>0</v>
      </c>
      <c r="X11" s="115" t="n">
        <v>0</v>
      </c>
      <c r="Y11" s="115" t="n">
        <v>0</v>
      </c>
      <c r="Z11" s="115" t="n">
        <v>0</v>
      </c>
      <c r="AA11" s="651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</row>
    <row r="12" customFormat="false" ht="12.75" hidden="false" customHeight="false" outlineLevel="0" collapsed="false">
      <c r="A12" s="327" t="s">
        <v>274</v>
      </c>
      <c r="B12" s="321"/>
      <c r="C12" s="321"/>
      <c r="D12" s="115"/>
      <c r="E12" s="115" t="n">
        <f aca="false">VLOOKUP(Assumptions!$L$19,'EGC Start Charge Matrix'!$A$10:$S$35,14)*Assumptions!L$53/12</f>
        <v>0</v>
      </c>
      <c r="F12" s="115" t="n">
        <f aca="false">VLOOKUP(Assumptions!$L$19,'EGC Start Charge Matrix'!$A$10:$S$35,14)*(1+Assumptions!$L$39)*$F$1/12</f>
        <v>2032.4784</v>
      </c>
      <c r="G12" s="115" t="n">
        <f aca="false">F12*(1+Assumptions!$L$39)</f>
        <v>2093.452752</v>
      </c>
      <c r="H12" s="115" t="n">
        <f aca="false">G12*(1+Assumptions!$L$39)</f>
        <v>2156.25633456</v>
      </c>
      <c r="I12" s="115" t="n">
        <v>0</v>
      </c>
      <c r="J12" s="115" t="n">
        <v>0</v>
      </c>
      <c r="K12" s="115" t="n">
        <v>0</v>
      </c>
      <c r="L12" s="115" t="n">
        <v>0</v>
      </c>
      <c r="M12" s="115" t="n">
        <v>0</v>
      </c>
      <c r="N12" s="115" t="n">
        <v>0</v>
      </c>
      <c r="O12" s="115" t="n">
        <v>0</v>
      </c>
      <c r="P12" s="115" t="n">
        <v>0</v>
      </c>
      <c r="Q12" s="115" t="n">
        <v>0</v>
      </c>
      <c r="R12" s="115" t="n">
        <v>0</v>
      </c>
      <c r="S12" s="115" t="n">
        <v>0</v>
      </c>
      <c r="T12" s="115" t="n">
        <v>0</v>
      </c>
      <c r="U12" s="115" t="n">
        <v>0</v>
      </c>
      <c r="V12" s="115" t="n">
        <v>0</v>
      </c>
      <c r="W12" s="115" t="n">
        <v>0</v>
      </c>
      <c r="X12" s="115" t="n">
        <v>0</v>
      </c>
      <c r="Y12" s="115" t="n">
        <v>0</v>
      </c>
      <c r="Z12" s="115" t="n">
        <v>0</v>
      </c>
      <c r="AA12" s="651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</row>
    <row r="13" customFormat="false" ht="12.75" hidden="false" customHeight="false" outlineLevel="0" collapsed="false">
      <c r="A13" s="70"/>
      <c r="B13" s="321"/>
      <c r="C13" s="321"/>
      <c r="D13" s="321"/>
      <c r="E13" s="321"/>
      <c r="F13" s="321"/>
      <c r="H13" s="70"/>
      <c r="AA13" s="651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</row>
    <row r="14" customFormat="false" ht="12.75" hidden="false" customHeight="false" outlineLevel="0" collapsed="false">
      <c r="A14" s="326" t="s">
        <v>275</v>
      </c>
      <c r="B14" s="321"/>
      <c r="C14" s="321"/>
      <c r="D14" s="321"/>
      <c r="E14" s="321"/>
      <c r="F14" s="321"/>
      <c r="H14" s="70"/>
      <c r="AA14" s="651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</row>
    <row r="15" customFormat="false" ht="12.75" hidden="false" customHeight="false" outlineLevel="0" collapsed="false">
      <c r="A15" s="327" t="s">
        <v>272</v>
      </c>
      <c r="B15" s="321"/>
      <c r="C15" s="321"/>
      <c r="D15" s="115"/>
      <c r="E15" s="115" t="n">
        <v>0</v>
      </c>
      <c r="F15" s="115" t="n">
        <v>0</v>
      </c>
      <c r="G15" s="115" t="n">
        <v>0</v>
      </c>
      <c r="H15" s="115" t="n">
        <v>0</v>
      </c>
      <c r="I15" s="115" t="n">
        <f aca="false">IF(Assumptions!$L$19=120,Assumptions!$L$33*(1-Assumptions!$L$35)*'Power Price Assumption'!I25*(12),Assumptions!$L$33*(1-Assumptions!$L$35)*'Power Price Assumption'!I25*(12)-2/3*VLOOKUP(120,'EGC Start Charge Matrix'!$U$10:$AK$35,14)*(1+Assumptions!$L$39)^(Brownsville!I5-Brownsville!$E$5))</f>
        <v>32673.5307479178</v>
      </c>
      <c r="J15" s="115" t="n">
        <f aca="false">IF(Assumptions!$L$19=120,Assumptions!$L$33*(1-Assumptions!$L$35)*'Power Price Assumption'!J25*(12),Assumptions!$L$33*(1-Assumptions!$L$35)*'Power Price Assumption'!J25*(12)-2/3*VLOOKUP(120,'EGC Start Charge Matrix'!$U$10:$AK$35,14)*(1+Assumptions!$L$39)^(Brownsville!J5-Brownsville!$E$5))</f>
        <v>33083.3343539087</v>
      </c>
      <c r="K15" s="115" t="n">
        <f aca="false">IF(Assumptions!$L$19=120,Assumptions!$L$33*(1-Assumptions!$L$35)*'Power Price Assumption'!K25*(12),Assumptions!$L$33*(1-Assumptions!$L$35)*'Power Price Assumption'!K25*(12)-2/3*VLOOKUP(120,'EGC Start Charge Matrix'!$U$10:$AK$35,14)*(1+Assumptions!$L$39)^(Brownsville!K5-Brownsville!$E$5))</f>
        <v>33488.3199985858</v>
      </c>
      <c r="L15" s="115" t="n">
        <f aca="false">IF(Assumptions!$L$19=120,Assumptions!$L$33*(1-Assumptions!$L$35)*'Power Price Assumption'!L25*(12),Assumptions!$L$33*(1-Assumptions!$L$35)*'Power Price Assumption'!L25*(12)-2/3*VLOOKUP(120,'EGC Start Charge Matrix'!$U$10:$AK$35,14)*(1+Assumptions!$L$39)^(Brownsville!L5-Brownsville!$E$5))</f>
        <v>33887.8297810251</v>
      </c>
      <c r="M15" s="115" t="n">
        <f aca="false">IF(Assumptions!$L$19=120,Assumptions!$L$33*(1-Assumptions!$L$35)*'Power Price Assumption'!M25*(12),Assumptions!$L$33*(1-Assumptions!$L$35)*'Power Price Assumption'!M25*(12)-2/3*VLOOKUP(120,'EGC Start Charge Matrix'!$U$10:$AK$35,14)*(1+Assumptions!$L$39)^(Brownsville!M5-Brownsville!$E$5))</f>
        <v>34904.4646744559</v>
      </c>
      <c r="N15" s="115" t="n">
        <f aca="false">IF(Assumptions!$L$19=120,Assumptions!$L$33*(1-Assumptions!$L$35)*'Power Price Assumption'!N25*(12),Assumptions!$L$33*(1-Assumptions!$L$35)*'Power Price Assumption'!N25*(12)-2/3*VLOOKUP(120,'EGC Start Charge Matrix'!$U$10:$AK$35,14)*(1+Assumptions!$L$39)^(Brownsville!N5-Brownsville!$E$5))</f>
        <v>35309.6057822844</v>
      </c>
      <c r="O15" s="115" t="n">
        <f aca="false">IF(Assumptions!$L$19=120,Assumptions!$L$33*(1-Assumptions!$L$35)*'Power Price Assumption'!O25*(12),Assumptions!$L$33*(1-Assumptions!$L$35)*'Power Price Assumption'!O25*(12)-2/3*VLOOKUP(120,'EGC Start Charge Matrix'!$U$10:$AK$35,14)*(1+Assumptions!$L$39)^(Brownsville!O5-Brownsville!$E$5))</f>
        <v>36368.8939557529</v>
      </c>
      <c r="P15" s="115" t="n">
        <f aca="false">IF(Assumptions!$L$19=120,Assumptions!$L$33*(1-Assumptions!$L$35)*'Power Price Assumption'!P25*(12),Assumptions!$L$33*(1-Assumptions!$L$35)*'Power Price Assumption'!P25*(12)-2/3*VLOOKUP(120,'EGC Start Charge Matrix'!$U$10:$AK$35,14)*(1+Assumptions!$L$39)^(Brownsville!P5-Brownsville!$E$5))</f>
        <v>36778.8705785268</v>
      </c>
      <c r="Q15" s="115" t="n">
        <f aca="false">IF(Assumptions!$L$19=120,Assumptions!$L$33*(1-Assumptions!$L$35)*'Power Price Assumption'!Q25*(12),Assumptions!$L$33*(1-Assumptions!$L$35)*'Power Price Assumption'!Q25*(12)-2/3*VLOOKUP(120,'EGC Start Charge Matrix'!$U$10:$AK$35,14)*(1+Assumptions!$L$39)^(Brownsville!Q5-Brownsville!$E$5))</f>
        <v>37882.2366958826</v>
      </c>
      <c r="R15" s="115" t="n">
        <f aca="false">IF(Assumptions!$L$19=120,Assumptions!$L$33*(1-Assumptions!$L$35)*'Power Price Assumption'!R25*(12),Assumptions!$L$33*(1-Assumptions!$L$35)*'Power Price Assumption'!R25*(12)-2/3*VLOOKUP(120,'EGC Start Charge Matrix'!$U$10:$AK$35,14)*(1+Assumptions!$L$39)^(Brownsville!R5-Brownsville!$E$5))</f>
        <v>38296.1352079302</v>
      </c>
      <c r="S15" s="115" t="n">
        <f aca="false">IF(Assumptions!$L$19=120,Assumptions!$L$33*(1-Assumptions!$L$35)*'Power Price Assumption'!S25*(12),Assumptions!$L$33*(1-Assumptions!$L$35)*'Power Price Assumption'!S25*(12)-2/3*VLOOKUP(120,'EGC Start Charge Matrix'!$U$10:$AK$35,14)*(1+Assumptions!$L$39)^(Brownsville!S5-Brownsville!$E$5))</f>
        <v>38700.7736176744</v>
      </c>
      <c r="T15" s="115" t="n">
        <f aca="false">IF(Assumptions!$L$19=120,Assumptions!$L$33*(1-Assumptions!$L$35)*'Power Price Assumption'!T25*(12),Assumptions!$L$33*(1-Assumptions!$L$35)*'Power Price Assumption'!T25*(12)-2/3*VLOOKUP(120,'EGC Start Charge Matrix'!$U$10:$AK$35,14)*(1+Assumptions!$L$39)^(Brownsville!T5-Brownsville!$E$5))</f>
        <v>39095.2238103161</v>
      </c>
      <c r="U15" s="115" t="n">
        <f aca="false">IF(Assumptions!$L$19=120,Assumptions!$L$33*(1-Assumptions!$L$35)*'Power Price Assumption'!U25*(12),Assumptions!$L$33*(1-Assumptions!$L$35)*'Power Price Assumption'!U25*(12)-2/3*VLOOKUP(120,'EGC Start Charge Matrix'!$U$10:$AK$35,14)*(1+Assumptions!$L$39)^(Brownsville!U5-Brownsville!$E$5))</f>
        <v>39478.5103182604</v>
      </c>
      <c r="V15" s="115" t="n">
        <f aca="false">IF(Assumptions!$L$19=120,Assumptions!$L$33*(1-Assumptions!$L$35)*'Power Price Assumption'!V25*(12),Assumptions!$L$33*(1-Assumptions!$L$35)*'Power Price Assumption'!V25*(12)-2/3*VLOOKUP(120,'EGC Start Charge Matrix'!$U$10:$AK$35,14)*(1+Assumptions!$L$39)^(Brownsville!V5-Brownsville!$E$5))</f>
        <v>39849.608315252</v>
      </c>
      <c r="W15" s="115" t="n">
        <f aca="false">IF(Assumptions!$L$19=120,Assumptions!$L$33*(1-Assumptions!$L$35)*'Power Price Assumption'!W25*(12),Assumptions!$L$33*(1-Assumptions!$L$35)*'Power Price Assumption'!W25*(12)-2/3*VLOOKUP(120,'EGC Start Charge Matrix'!$U$10:$AK$35,14)*(1+Assumptions!$L$39)^(Brownsville!W5-Brownsville!$E$5))</f>
        <v>40207.4415327767</v>
      </c>
      <c r="X15" s="115" t="n">
        <f aca="false">IF(Assumptions!$L$19=120,Assumptions!$L$33*(1-Assumptions!$L$35)*'Power Price Assumption'!X25*(12),Assumptions!$L$33*(1-Assumptions!$L$35)*'Power Price Assumption'!X25*(12)-2/3*VLOOKUP(120,'EGC Start Charge Matrix'!$U$10:$AK$35,14)*(1+Assumptions!$L$39)^(Brownsville!X5-Brownsville!$E$5))</f>
        <v>40550.8800958692</v>
      </c>
      <c r="Y15" s="115" t="n">
        <f aca="false">IF(Assumptions!$L$19=120,Assumptions!$L$33*(1-Assumptions!$L$35)*'Power Price Assumption'!Y25*(12),Assumptions!$L$33*(1-Assumptions!$L$35)*'Power Price Assumption'!Y25*(12)-2/3*VLOOKUP(120,'EGC Start Charge Matrix'!$U$10:$AK$35,14)*(1+Assumptions!$L$39)^(Brownsville!Y5-Brownsville!$E$5))</f>
        <v>40878.7382753677</v>
      </c>
      <c r="Z15" s="115" t="n">
        <f aca="false">IF(Assumptions!$L$19=120,Assumptions!$L$33*(1-Assumptions!$L$35)*'Power Price Assumption'!Z25*(12),Assumptions!$L$33*(1-Assumptions!$L$35)*'Power Price Assumption'!Z25*(12)-2/3*VLOOKUP(120,'EGC Start Charge Matrix'!$U$10:$AK$35,14)*(1+Assumptions!$L$39)^(Brownsville!Z5-Brownsville!$E$5))</f>
        <v>41189.7721535499</v>
      </c>
      <c r="AA15" s="651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</row>
    <row r="16" customFormat="false" ht="12.75" hidden="false" customHeight="false" outlineLevel="0" collapsed="false">
      <c r="A16" s="327" t="s">
        <v>276</v>
      </c>
      <c r="B16" s="321"/>
      <c r="C16" s="321"/>
      <c r="D16" s="115"/>
      <c r="E16" s="115" t="n">
        <v>0</v>
      </c>
      <c r="F16" s="115" t="n">
        <v>0</v>
      </c>
      <c r="G16" s="115" t="n">
        <v>0</v>
      </c>
      <c r="H16" s="115" t="n">
        <v>0</v>
      </c>
      <c r="I16" s="115" t="n">
        <f aca="false">(Assumptions!$L$26*Assumptions!$L$34/1000)*(1+Assumptions!$L$39)^(I5-$E$5)+$F$12*(1+Assumptions!$L$39)^(I5-$F$5)*1/3</f>
        <v>1667.77506230449</v>
      </c>
      <c r="J16" s="115" t="n">
        <f aca="false">(Assumptions!$L$26*Assumptions!$L$34/1000)*(1+Assumptions!$L$39)^(J5-$E$5)+$F$12*(1+Assumptions!$L$39)^(J5-$F$5)*1/3</f>
        <v>1717.80831417363</v>
      </c>
      <c r="K16" s="115" t="n">
        <f aca="false">J16*(1+Assumptions!$L$39)</f>
        <v>1769.34256359884</v>
      </c>
      <c r="L16" s="115" t="n">
        <f aca="false">K16*(1+Assumptions!$L$39)</f>
        <v>1822.4228405068</v>
      </c>
      <c r="M16" s="115" t="n">
        <f aca="false">L16*(1+Assumptions!$L$39)</f>
        <v>1877.09552572201</v>
      </c>
      <c r="N16" s="115" t="n">
        <f aca="false">M16*(1+Assumptions!$L$39)</f>
        <v>1933.40839149367</v>
      </c>
      <c r="O16" s="115" t="n">
        <f aca="false">N16*(1+Assumptions!$L$39)</f>
        <v>1991.41064323848</v>
      </c>
      <c r="P16" s="115" t="n">
        <f aca="false">O16*(1+Assumptions!$L$39)</f>
        <v>2051.15296253563</v>
      </c>
      <c r="Q16" s="115" t="n">
        <f aca="false">P16*(1+Assumptions!$L$39)</f>
        <v>2112.6875514117</v>
      </c>
      <c r="R16" s="115" t="n">
        <f aca="false">Q16*(1+Assumptions!$L$39)</f>
        <v>2176.06817795405</v>
      </c>
      <c r="S16" s="115" t="n">
        <f aca="false">R16*(1+Assumptions!$L$39)</f>
        <v>2241.35022329267</v>
      </c>
      <c r="T16" s="115" t="n">
        <f aca="false">S16*(1+Assumptions!$L$39)</f>
        <v>2308.59072999145</v>
      </c>
      <c r="U16" s="115" t="n">
        <f aca="false">T16*(1+Assumptions!$L$39)</f>
        <v>2377.8484518912</v>
      </c>
      <c r="V16" s="115" t="n">
        <f aca="false">U16*(1+Assumptions!$L$39)</f>
        <v>2449.18390544793</v>
      </c>
      <c r="W16" s="115" t="n">
        <f aca="false">V16*(1+Assumptions!$L$39)</f>
        <v>2522.65942261137</v>
      </c>
      <c r="X16" s="115" t="n">
        <f aca="false">W16*(1+Assumptions!$L$39)</f>
        <v>2598.33920528971</v>
      </c>
      <c r="Y16" s="115" t="n">
        <f aca="false">X16*(1+Assumptions!$L$39)</f>
        <v>2676.2893814484</v>
      </c>
      <c r="Z16" s="115" t="n">
        <f aca="false">Y16*(1+Assumptions!$L$39)</f>
        <v>2756.57806289185</v>
      </c>
      <c r="AA16" s="651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</row>
    <row r="17" customFormat="false" ht="12.75" hidden="false" customHeight="false" outlineLevel="0" collapsed="false">
      <c r="A17" s="327" t="s">
        <v>277</v>
      </c>
      <c r="B17" s="321"/>
      <c r="C17" s="321"/>
      <c r="D17" s="115"/>
      <c r="E17" s="115" t="n">
        <v>0</v>
      </c>
      <c r="F17" s="115" t="n">
        <v>0</v>
      </c>
      <c r="G17" s="115" t="n">
        <v>0</v>
      </c>
      <c r="H17" s="115" t="n">
        <v>0</v>
      </c>
      <c r="I17" s="115" t="n">
        <f aca="false">Assumptions!$L$33*Assumptions!$L$35*Assumptions!$L$36/1000*Assumptions!$L$14</f>
        <v>11.698848</v>
      </c>
      <c r="J17" s="115" t="n">
        <f aca="false">Assumptions!$L$33*Assumptions!$L$35*Assumptions!$L$36/1000*Assumptions!$L$14</f>
        <v>11.698848</v>
      </c>
      <c r="K17" s="115" t="n">
        <f aca="false">Assumptions!$L$33*Assumptions!$L$35*Assumptions!$L$36/1000*Assumptions!$L$14</f>
        <v>11.698848</v>
      </c>
      <c r="L17" s="115" t="n">
        <f aca="false">Assumptions!$L$33*Assumptions!$L$35*Assumptions!$L$36/1000*Assumptions!$L$14</f>
        <v>11.698848</v>
      </c>
      <c r="M17" s="115" t="n">
        <f aca="false">Assumptions!$L$33*Assumptions!$L$35*Assumptions!$L$36/1000*Assumptions!$L$14</f>
        <v>11.698848</v>
      </c>
      <c r="N17" s="115" t="n">
        <f aca="false">Assumptions!$L$33*Assumptions!$L$35*Assumptions!$L$36/1000*Assumptions!$L$14</f>
        <v>11.698848</v>
      </c>
      <c r="O17" s="115" t="n">
        <f aca="false">Assumptions!$L$33*Assumptions!$L$35*Assumptions!$L$36/1000*Assumptions!$L$14</f>
        <v>11.698848</v>
      </c>
      <c r="P17" s="115" t="n">
        <f aca="false">Assumptions!$L$33*Assumptions!$L$35*Assumptions!$L$36/1000*Assumptions!$L$14</f>
        <v>11.698848</v>
      </c>
      <c r="Q17" s="115" t="n">
        <f aca="false">Assumptions!$L$33*Assumptions!$L$35*Assumptions!$L$36/1000*Assumptions!$L$14</f>
        <v>11.698848</v>
      </c>
      <c r="R17" s="115" t="n">
        <f aca="false">Assumptions!$L$33*Assumptions!$L$35*Assumptions!$L$36/1000*Assumptions!$L$14</f>
        <v>11.698848</v>
      </c>
      <c r="S17" s="115" t="n">
        <f aca="false">Assumptions!$L$33*Assumptions!$L$35*Assumptions!$L$36/1000*Assumptions!$L$14</f>
        <v>11.698848</v>
      </c>
      <c r="T17" s="115" t="n">
        <f aca="false">Assumptions!$L$33*Assumptions!$L$35*Assumptions!$L$36/1000*Assumptions!$L$14</f>
        <v>11.698848</v>
      </c>
      <c r="U17" s="115" t="n">
        <f aca="false">Assumptions!$L$33*Assumptions!$L$35*Assumptions!$L$36/1000*Assumptions!$L$14</f>
        <v>11.698848</v>
      </c>
      <c r="V17" s="115" t="n">
        <f aca="false">Assumptions!$L$33*Assumptions!$L$35*Assumptions!$L$36/1000*Assumptions!$L$14</f>
        <v>11.698848</v>
      </c>
      <c r="W17" s="115" t="n">
        <f aca="false">Assumptions!$L$33*Assumptions!$L$35*Assumptions!$L$36/1000*Assumptions!$L$14</f>
        <v>11.698848</v>
      </c>
      <c r="X17" s="115" t="n">
        <f aca="false">Assumptions!$L$33*Assumptions!$L$35*Assumptions!$L$36/1000*Assumptions!$L$14</f>
        <v>11.698848</v>
      </c>
      <c r="Y17" s="115" t="n">
        <f aca="false">Assumptions!$L$33*Assumptions!$L$35*Assumptions!$L$36/1000*Assumptions!$L$14</f>
        <v>11.698848</v>
      </c>
      <c r="Z17" s="115" t="n">
        <f aca="false">Assumptions!$L$33*Assumptions!$L$35*Assumptions!$L$36/1000*Assumptions!$L$14</f>
        <v>11.698848</v>
      </c>
      <c r="AA17" s="651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</row>
    <row r="18" customFormat="false" ht="12.75" hidden="false" customHeight="false" outlineLevel="0" collapsed="false">
      <c r="A18" s="70"/>
      <c r="B18" s="321"/>
      <c r="C18" s="321"/>
      <c r="D18" s="321"/>
      <c r="E18" s="428"/>
      <c r="F18" s="321"/>
      <c r="H18" s="70"/>
      <c r="AA18" s="651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</row>
    <row r="19" customFormat="false" ht="12.75" hidden="false" customHeight="false" outlineLevel="0" collapsed="false">
      <c r="A19" s="327" t="s">
        <v>453</v>
      </c>
      <c r="B19" s="321"/>
      <c r="C19" s="321"/>
      <c r="D19" s="0"/>
      <c r="E19" s="375" t="n">
        <f aca="false">(SUM(E10:E17)-SUM(E25:E35))*Assumptions!$B$34/4*$F$1/12</f>
        <v>0</v>
      </c>
      <c r="F19" s="375" t="n">
        <f aca="false">(SUM(F10:F17)-SUM(F25:F35))*Assumptions!$B$34/4*$F$1/12</f>
        <v>242.037737818184</v>
      </c>
      <c r="G19" s="375" t="n">
        <f aca="false">(SUM(G10:G17)-SUM(G25:G35))*Assumptions!$B$34/4</f>
        <v>241.540232805682</v>
      </c>
      <c r="H19" s="375" t="n">
        <f aca="false">(SUM(H10:H17)-SUM(H25:H35))*Assumptions!$B$34/4</f>
        <v>240.074443552024</v>
      </c>
      <c r="I19" s="375" t="n">
        <f aca="false">(SUM(I10:I17)-SUM(I25:I35))*Assumptions!$B$34/4</f>
        <v>349.113228750664</v>
      </c>
      <c r="J19" s="375" t="n">
        <f aca="false">(SUM(J10:J17)-SUM(J25:J35))*Assumptions!$B$34/4</f>
        <v>352.926617180463</v>
      </c>
      <c r="K19" s="375" t="n">
        <f aca="false">(SUM(K10:K17)-SUM(K25:K35))*Assumptions!$B$34/4</f>
        <v>356.628293867632</v>
      </c>
      <c r="L19" s="375" t="n">
        <f aca="false">(SUM(L10:L17)-SUM(L25:L35))*Assumptions!$B$34/4</f>
        <v>360.217194126957</v>
      </c>
      <c r="M19" s="375" t="n">
        <f aca="false">(SUM(M10:M17)-SUM(M25:M35))*Assumptions!$B$34/4</f>
        <v>371.474500279309</v>
      </c>
      <c r="N19" s="375" t="n">
        <f aca="false">(SUM(N10:N17)-SUM(N25:N35))*Assumptions!$B$34/4</f>
        <v>375.041106377437</v>
      </c>
      <c r="O19" s="375" t="n">
        <f aca="false">(SUM(O10:O17)-SUM(O25:O35))*Assumptions!$B$34/4</f>
        <v>386.736112229841</v>
      </c>
      <c r="P19" s="375" t="n">
        <f aca="false">(SUM(P10:P17)-SUM(P25:P35))*Assumptions!$B$34/4</f>
        <v>390.724201324128</v>
      </c>
      <c r="Q19" s="375" t="n">
        <f aca="false">(SUM(Q10:Q17)-SUM(Q25:Q35))*Assumptions!$B$34/4</f>
        <v>403.008348007713</v>
      </c>
      <c r="R19" s="375" t="n">
        <f aca="false">(SUM(R10:R17)-SUM(R25:R35))*Assumptions!$B$34/4</f>
        <v>406.489358604695</v>
      </c>
      <c r="S19" s="375" t="n">
        <f aca="false">(SUM(S10:S17)-SUM(S25:S35))*Assumptions!$B$34/4</f>
        <v>409.854362024844</v>
      </c>
      <c r="T19" s="375" t="n">
        <f aca="false">(SUM(T10:T17)-SUM(T25:T35))*Assumptions!$B$34/4</f>
        <v>409.382123576753</v>
      </c>
      <c r="U19" s="375" t="n">
        <f aca="false">(SUM(U10:U17)-SUM(U25:U35))*Assumptions!$B$34/4</f>
        <v>412.798854833181</v>
      </c>
      <c r="V19" s="375" t="n">
        <f aca="false">(SUM(V10:V17)-SUM(V25:V35))*Assumptions!$B$34/4</f>
        <v>416.138864737651</v>
      </c>
      <c r="W19" s="375" t="n">
        <f aca="false">(SUM(W10:W17)-SUM(W25:W35))*Assumptions!$B$34/4</f>
        <v>419.337043786871</v>
      </c>
      <c r="X19" s="375" t="n">
        <f aca="false">(SUM(X10:X17)-SUM(X25:X35))*Assumptions!$B$34/4</f>
        <v>422.464884577351</v>
      </c>
      <c r="Y19" s="375" t="n">
        <f aca="false">(SUM(Y10:Y17)-SUM(Y25:Y35))*Assumptions!$B$34/4</f>
        <v>425.32114483224</v>
      </c>
      <c r="Z19" s="375" t="n">
        <f aca="false">(SUM(Z10:Z17)-SUM(Z25:Z35))*Assumptions!$B$34/4</f>
        <v>434.408870882792</v>
      </c>
      <c r="AA19" s="651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</row>
    <row r="20" customFormat="false" ht="12.75" hidden="false" customHeight="false" outlineLevel="0" collapsed="false">
      <c r="A20" s="327" t="s">
        <v>280</v>
      </c>
      <c r="B20" s="321"/>
      <c r="C20" s="321"/>
      <c r="D20" s="0"/>
      <c r="E20" s="115" t="n">
        <f aca="false">SUM(E10:E19)</f>
        <v>0</v>
      </c>
      <c r="F20" s="115" t="n">
        <f aca="false">SUM(F10:F19)</f>
        <v>25055.9915778182</v>
      </c>
      <c r="G20" s="115" t="n">
        <f aca="false">SUM(G10:G19)</f>
        <v>25140.3926880057</v>
      </c>
      <c r="H20" s="115" t="n">
        <f aca="false">SUM(H10:H19)</f>
        <v>25226.372472408</v>
      </c>
      <c r="I20" s="115" t="n">
        <f aca="false">SUM(I10:I19)</f>
        <v>34702.117886973</v>
      </c>
      <c r="J20" s="115" t="n">
        <f aca="false">SUM(J10:J19)</f>
        <v>35165.7681332628</v>
      </c>
      <c r="K20" s="115" t="n">
        <f aca="false">SUM(K10:K19)</f>
        <v>35625.9897040523</v>
      </c>
      <c r="L20" s="115" t="n">
        <f aca="false">SUM(L10:L19)</f>
        <v>36082.1686636589</v>
      </c>
      <c r="M20" s="115" t="n">
        <f aca="false">SUM(M10:M19)</f>
        <v>37164.7335484572</v>
      </c>
      <c r="N20" s="115" t="n">
        <f aca="false">SUM(N10:N19)</f>
        <v>37629.7541281555</v>
      </c>
      <c r="O20" s="115" t="n">
        <f aca="false">SUM(O10:O19)</f>
        <v>38758.7395592212</v>
      </c>
      <c r="P20" s="115" t="n">
        <f aca="false">SUM(P10:P19)</f>
        <v>39232.4465903866</v>
      </c>
      <c r="Q20" s="115" t="n">
        <f aca="false">SUM(Q10:Q19)</f>
        <v>40409.631443302</v>
      </c>
      <c r="R20" s="115" t="n">
        <f aca="false">SUM(R10:R19)</f>
        <v>40890.391592489</v>
      </c>
      <c r="S20" s="115" t="n">
        <f aca="false">SUM(S10:S19)</f>
        <v>41363.6770509919</v>
      </c>
      <c r="T20" s="115" t="n">
        <f aca="false">SUM(T10:T19)</f>
        <v>41824.8955118843</v>
      </c>
      <c r="U20" s="115" t="n">
        <f aca="false">SUM(U10:U19)</f>
        <v>42280.8564729847</v>
      </c>
      <c r="V20" s="115" t="n">
        <f aca="false">SUM(V10:V19)</f>
        <v>42726.6299334376</v>
      </c>
      <c r="W20" s="115" t="n">
        <f aca="false">SUM(W10:W19)</f>
        <v>43161.136847175</v>
      </c>
      <c r="X20" s="115" t="n">
        <f aca="false">SUM(X10:X19)</f>
        <v>43583.3830337363</v>
      </c>
      <c r="Y20" s="115" t="n">
        <f aca="false">SUM(Y10:Y19)</f>
        <v>43992.0476496484</v>
      </c>
      <c r="Z20" s="115" t="n">
        <f aca="false">SUM(Z10:Z19)</f>
        <v>44392.4579353245</v>
      </c>
      <c r="AA20" s="651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</row>
    <row r="21" customFormat="false" ht="12.75" hidden="false" customHeight="false" outlineLevel="0" collapsed="false">
      <c r="A21" s="327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</row>
    <row r="22" customFormat="false" ht="12" hidden="false" customHeight="true" outlineLevel="0" collapsed="false">
      <c r="A22" s="331"/>
      <c r="B22" s="331"/>
      <c r="C22" s="331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653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653"/>
      <c r="BJ22" s="653"/>
      <c r="BK22" s="653"/>
      <c r="BL22" s="653"/>
      <c r="BM22" s="653"/>
      <c r="BN22" s="653"/>
      <c r="BO22" s="653"/>
      <c r="BP22" s="653"/>
      <c r="BQ22" s="653"/>
      <c r="BR22" s="653"/>
      <c r="BS22" s="653"/>
      <c r="BT22" s="653"/>
      <c r="BU22" s="653"/>
      <c r="BV22" s="653"/>
      <c r="BW22" s="653"/>
      <c r="BX22" s="653"/>
      <c r="BY22" s="653"/>
      <c r="BZ22" s="653"/>
      <c r="CA22" s="653"/>
      <c r="CB22" s="653"/>
      <c r="CC22" s="653"/>
      <c r="CD22" s="653"/>
      <c r="CE22" s="653"/>
      <c r="CF22" s="653"/>
      <c r="CG22" s="653"/>
      <c r="CH22" s="653"/>
      <c r="CI22" s="653"/>
      <c r="CJ22" s="653"/>
      <c r="CK22" s="653"/>
      <c r="CL22" s="653"/>
      <c r="CM22" s="653"/>
      <c r="CN22" s="653"/>
      <c r="CO22" s="653"/>
      <c r="CP22" s="653"/>
      <c r="CQ22" s="653"/>
      <c r="CR22" s="653"/>
      <c r="CS22" s="653"/>
      <c r="CT22" s="653"/>
      <c r="CU22" s="653"/>
      <c r="CV22" s="653"/>
      <c r="CW22" s="653"/>
      <c r="CX22" s="653"/>
      <c r="CY22" s="653"/>
      <c r="CZ22" s="653"/>
      <c r="DA22" s="653"/>
      <c r="DB22" s="653"/>
      <c r="DC22" s="653"/>
      <c r="DD22" s="653"/>
      <c r="DE22" s="653"/>
      <c r="DF22" s="653"/>
      <c r="DG22" s="653"/>
      <c r="DH22" s="653"/>
      <c r="DI22" s="653"/>
      <c r="DJ22" s="653"/>
      <c r="DK22" s="653"/>
      <c r="DL22" s="653"/>
      <c r="DM22" s="653"/>
      <c r="DN22" s="653"/>
      <c r="DO22" s="653"/>
      <c r="DP22" s="653"/>
      <c r="DQ22" s="653"/>
      <c r="DR22" s="653"/>
      <c r="DS22" s="653"/>
      <c r="DT22" s="653"/>
      <c r="DU22" s="653"/>
      <c r="DV22" s="653"/>
      <c r="DW22" s="653"/>
      <c r="DX22" s="653"/>
      <c r="DY22" s="653"/>
      <c r="DZ22" s="653"/>
      <c r="EA22" s="653"/>
      <c r="EB22" s="653"/>
      <c r="EC22" s="653"/>
      <c r="ED22" s="653"/>
      <c r="EE22" s="653"/>
      <c r="EF22" s="653"/>
      <c r="EG22" s="653"/>
      <c r="EH22" s="653"/>
      <c r="EI22" s="653"/>
      <c r="EJ22" s="653"/>
      <c r="EK22" s="653"/>
      <c r="EL22" s="653"/>
      <c r="EM22" s="653"/>
      <c r="EN22" s="653"/>
      <c r="EO22" s="653"/>
      <c r="EP22" s="653"/>
      <c r="EQ22" s="653"/>
      <c r="ER22" s="653"/>
      <c r="ES22" s="653"/>
      <c r="ET22" s="653"/>
      <c r="EU22" s="653"/>
      <c r="EV22" s="653"/>
      <c r="EW22" s="653"/>
      <c r="EX22" s="653"/>
      <c r="EY22" s="653"/>
      <c r="EZ22" s="653"/>
      <c r="FA22" s="653"/>
      <c r="FB22" s="653"/>
      <c r="FC22" s="653"/>
      <c r="FD22" s="653"/>
      <c r="FE22" s="653"/>
      <c r="FF22" s="653"/>
      <c r="FG22" s="653"/>
      <c r="FH22" s="653"/>
      <c r="FI22" s="653"/>
      <c r="FJ22" s="653"/>
      <c r="FK22" s="653"/>
      <c r="FL22" s="653"/>
      <c r="FM22" s="653"/>
      <c r="FN22" s="653"/>
      <c r="FO22" s="653"/>
      <c r="FP22" s="653"/>
      <c r="FQ22" s="653"/>
      <c r="FR22" s="653"/>
      <c r="FS22" s="653"/>
      <c r="FT22" s="653"/>
      <c r="FU22" s="653"/>
      <c r="FV22" s="653"/>
      <c r="FW22" s="653"/>
      <c r="FX22" s="653"/>
      <c r="FY22" s="653"/>
      <c r="FZ22" s="653"/>
      <c r="GA22" s="653"/>
      <c r="GB22" s="653"/>
      <c r="GC22" s="653"/>
      <c r="GD22" s="653"/>
      <c r="GE22" s="653"/>
      <c r="GF22" s="653"/>
      <c r="GG22" s="653"/>
      <c r="GH22" s="653"/>
      <c r="GI22" s="653"/>
      <c r="GJ22" s="653"/>
      <c r="GK22" s="653"/>
      <c r="GL22" s="653"/>
      <c r="GM22" s="653"/>
      <c r="GN22" s="653"/>
      <c r="GO22" s="653"/>
      <c r="GP22" s="653"/>
      <c r="GQ22" s="653"/>
      <c r="GR22" s="653"/>
      <c r="GS22" s="653"/>
      <c r="GT22" s="653"/>
      <c r="GU22" s="653"/>
      <c r="GV22" s="653"/>
      <c r="GW22" s="653"/>
      <c r="GX22" s="653"/>
      <c r="GY22" s="653"/>
      <c r="GZ22" s="653"/>
      <c r="HA22" s="653"/>
      <c r="HB22" s="653"/>
      <c r="HC22" s="653"/>
      <c r="HD22" s="653"/>
      <c r="HE22" s="653"/>
      <c r="HF22" s="653"/>
      <c r="HG22" s="653"/>
      <c r="HH22" s="653"/>
      <c r="HI22" s="653"/>
      <c r="HJ22" s="653"/>
      <c r="HK22" s="653"/>
      <c r="HL22" s="653"/>
      <c r="HM22" s="653"/>
      <c r="HN22" s="653"/>
      <c r="HO22" s="653"/>
      <c r="HP22" s="653"/>
      <c r="HQ22" s="653"/>
      <c r="HR22" s="653"/>
      <c r="HS22" s="653"/>
      <c r="HT22" s="653"/>
      <c r="HU22" s="653"/>
      <c r="HV22" s="653"/>
      <c r="HW22" s="653"/>
      <c r="HX22" s="653"/>
      <c r="HY22" s="653"/>
      <c r="HZ22" s="653"/>
      <c r="IA22" s="653"/>
      <c r="IB22" s="653"/>
      <c r="IC22" s="653"/>
      <c r="ID22" s="653"/>
      <c r="IE22" s="653"/>
      <c r="IF22" s="653"/>
      <c r="IG22" s="653"/>
      <c r="IH22" s="653"/>
      <c r="II22" s="653"/>
      <c r="IJ22" s="653"/>
      <c r="IK22" s="653"/>
      <c r="IL22" s="653"/>
      <c r="IM22" s="653"/>
      <c r="IN22" s="653"/>
      <c r="IO22" s="653"/>
      <c r="IP22" s="653"/>
      <c r="IQ22" s="653"/>
      <c r="IR22" s="653"/>
      <c r="IS22" s="653"/>
      <c r="IT22" s="653"/>
      <c r="IU22" s="653"/>
      <c r="IV22" s="653"/>
      <c r="IW22" s="653"/>
    </row>
    <row r="23" customFormat="false" ht="12.75" hidden="false" customHeight="false" outlineLevel="0" collapsed="false">
      <c r="A23" s="323" t="s">
        <v>281</v>
      </c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</row>
    <row r="24" customFormat="false" ht="12.75" hidden="false" customHeight="false" outlineLevel="0" collapsed="false">
      <c r="A24" s="327" t="s">
        <v>282</v>
      </c>
      <c r="D24" s="0"/>
      <c r="E24" s="115" t="n">
        <v>0</v>
      </c>
      <c r="F24" s="115" t="n">
        <v>0</v>
      </c>
      <c r="G24" s="115" t="n">
        <v>0</v>
      </c>
      <c r="H24" s="417" t="n">
        <v>0</v>
      </c>
      <c r="I24" s="115" t="n">
        <v>0</v>
      </c>
      <c r="J24" s="115" t="n">
        <v>0</v>
      </c>
      <c r="K24" s="115" t="n">
        <v>0</v>
      </c>
      <c r="L24" s="115" t="n">
        <v>0</v>
      </c>
      <c r="M24" s="115" t="n">
        <v>0</v>
      </c>
      <c r="N24" s="115" t="n">
        <v>0</v>
      </c>
      <c r="O24" s="115" t="n">
        <v>0</v>
      </c>
      <c r="P24" s="115" t="n">
        <v>0</v>
      </c>
      <c r="Q24" s="115" t="n">
        <v>0</v>
      </c>
      <c r="R24" s="115" t="n">
        <v>0</v>
      </c>
      <c r="S24" s="115" t="n">
        <v>0</v>
      </c>
      <c r="T24" s="115" t="n">
        <v>0</v>
      </c>
      <c r="U24" s="115" t="n">
        <v>0</v>
      </c>
      <c r="V24" s="115" t="n">
        <v>0</v>
      </c>
      <c r="W24" s="115" t="n">
        <v>0</v>
      </c>
      <c r="X24" s="115" t="n">
        <v>0</v>
      </c>
      <c r="Y24" s="115" t="n">
        <v>0</v>
      </c>
      <c r="Z24" s="115" t="n">
        <v>0</v>
      </c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</row>
    <row r="25" customFormat="false" ht="12.75" hidden="false" customHeight="false" outlineLevel="0" collapsed="false">
      <c r="A25" s="327" t="s">
        <v>217</v>
      </c>
      <c r="D25" s="0"/>
      <c r="E25" s="115" t="n">
        <f aca="false">Assumptions!L53/12*Assumptions!L56</f>
        <v>0</v>
      </c>
      <c r="F25" s="115" t="n">
        <f aca="false">Assumptions!L56*(1+Assumptions!$L$52)*$F$1/12</f>
        <v>722.4935</v>
      </c>
      <c r="G25" s="115" t="n">
        <f aca="false">F25*(1+Assumptions!$L$52)</f>
        <v>744.168305</v>
      </c>
      <c r="H25" s="417" t="n">
        <f aca="false">G25*(1+Assumptions!$L$52)</f>
        <v>766.49335415</v>
      </c>
      <c r="I25" s="115" t="n">
        <f aca="false">H25*(1+Assumptions!$L$52)</f>
        <v>789.4881547745</v>
      </c>
      <c r="J25" s="115" t="n">
        <f aca="false">I25*(1+Assumptions!$L$52)</f>
        <v>813.172799417735</v>
      </c>
      <c r="K25" s="115" t="n">
        <f aca="false">J25*(1+Assumptions!$L$52)</f>
        <v>837.567983400267</v>
      </c>
      <c r="L25" s="115" t="n">
        <f aca="false">K25*(1+Assumptions!$L$52)</f>
        <v>862.695022902275</v>
      </c>
      <c r="M25" s="115" t="n">
        <f aca="false">L25*(1+Assumptions!$L$52)</f>
        <v>888.575873589344</v>
      </c>
      <c r="N25" s="115" t="n">
        <f aca="false">M25*(1+Assumptions!$L$52)</f>
        <v>915.233149797024</v>
      </c>
      <c r="O25" s="115" t="n">
        <f aca="false">N25*(1+Assumptions!$L$52)</f>
        <v>942.690144290935</v>
      </c>
      <c r="P25" s="115" t="n">
        <f aca="false">O25*(1+Assumptions!$L$52)</f>
        <v>970.970848619663</v>
      </c>
      <c r="Q25" s="115" t="n">
        <f aca="false">P25*(1+Assumptions!$L$52)</f>
        <v>1000.09997407825</v>
      </c>
      <c r="R25" s="115" t="n">
        <f aca="false">Q25*(1+Assumptions!$L$52)</f>
        <v>1030.1029733006</v>
      </c>
      <c r="S25" s="115" t="n">
        <f aca="false">R25*(1+Assumptions!$L$52)</f>
        <v>1061.00606249962</v>
      </c>
      <c r="T25" s="115" t="n">
        <f aca="false">S25*(1+Assumptions!$L$52)</f>
        <v>1092.83624437461</v>
      </c>
      <c r="U25" s="115" t="n">
        <f aca="false">T25*(1+Assumptions!$L$52)</f>
        <v>1125.62133170585</v>
      </c>
      <c r="V25" s="115" t="n">
        <f aca="false">U25*(1+Assumptions!$L$52)</f>
        <v>1159.38997165702</v>
      </c>
      <c r="W25" s="115" t="n">
        <f aca="false">V25*(1+Assumptions!$L$52)</f>
        <v>1194.17167080673</v>
      </c>
      <c r="X25" s="115" t="n">
        <f aca="false">W25*(1+Assumptions!$L$52)</f>
        <v>1229.99682093093</v>
      </c>
      <c r="Y25" s="115" t="n">
        <f aca="false">X25*(1+Assumptions!$L$52)</f>
        <v>1266.89672555886</v>
      </c>
      <c r="Z25" s="115" t="n">
        <f aca="false">Y25*(1+Assumptions!$L$52)</f>
        <v>1304.90362732563</v>
      </c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</row>
    <row r="26" customFormat="false" ht="12.75" hidden="false" customHeight="false" outlineLevel="0" collapsed="false">
      <c r="A26" s="327" t="s">
        <v>283</v>
      </c>
      <c r="D26" s="0"/>
      <c r="E26" s="115" t="n">
        <f aca="false">Assumptions!L59*Assumptions!L$53/12</f>
        <v>0</v>
      </c>
      <c r="F26" s="115" t="n">
        <f aca="false">Assumptions!L59*(1+Assumptions!$L$52)*$F$1/12</f>
        <v>797.47544</v>
      </c>
      <c r="G26" s="115" t="n">
        <f aca="false">F26*(1+Assumptions!$L$52)</f>
        <v>821.3997032</v>
      </c>
      <c r="H26" s="417" t="n">
        <f aca="false">G26*(1+Assumptions!$L$52)</f>
        <v>846.041694296</v>
      </c>
      <c r="I26" s="115" t="n">
        <f aca="false">Assumptions!$L$60*(1+Assumptions!$L$52)^(I5-$E$5)</f>
        <v>927.460387438893</v>
      </c>
      <c r="J26" s="115" t="n">
        <f aca="false">Assumptions!$L$60*(1+Assumptions!$L$52)^(J5-$E$5)</f>
        <v>955.28419906206</v>
      </c>
      <c r="K26" s="115" t="n">
        <f aca="false">J26*(1+Assumptions!$L$52)</f>
        <v>983.942725033922</v>
      </c>
      <c r="L26" s="115" t="n">
        <f aca="false">K26*(1+Assumptions!$L$52)</f>
        <v>1013.46100678494</v>
      </c>
      <c r="M26" s="115" t="n">
        <f aca="false">L26*(1+Assumptions!$L$52)</f>
        <v>1043.86483698849</v>
      </c>
      <c r="N26" s="115" t="n">
        <f aca="false">M26*(1+Assumptions!$L$52)</f>
        <v>1075.18078209814</v>
      </c>
      <c r="O26" s="115" t="n">
        <f aca="false">N26*(1+Assumptions!$L$52)</f>
        <v>1107.43620556109</v>
      </c>
      <c r="P26" s="115" t="n">
        <f aca="false">O26*(1+Assumptions!$L$52)</f>
        <v>1140.65929172792</v>
      </c>
      <c r="Q26" s="115" t="n">
        <f aca="false">P26*(1+Assumptions!$L$52)</f>
        <v>1174.87907047976</v>
      </c>
      <c r="R26" s="115" t="n">
        <f aca="false">Q26*(1+Assumptions!$L$52)</f>
        <v>1210.12544259415</v>
      </c>
      <c r="S26" s="115" t="n">
        <f aca="false">R26*(1+Assumptions!$L$52)</f>
        <v>1246.42920587197</v>
      </c>
      <c r="T26" s="115" t="n">
        <f aca="false">S26*(1+Assumptions!$L$52)</f>
        <v>1283.82208204813</v>
      </c>
      <c r="U26" s="115" t="n">
        <f aca="false">T26*(1+Assumptions!$L$52)</f>
        <v>1322.33674450958</v>
      </c>
      <c r="V26" s="115" t="n">
        <f aca="false">U26*(1+Assumptions!$L$52)</f>
        <v>1362.00684684486</v>
      </c>
      <c r="W26" s="115" t="n">
        <f aca="false">V26*(1+Assumptions!$L$52)</f>
        <v>1402.86705225021</v>
      </c>
      <c r="X26" s="115" t="n">
        <f aca="false">W26*(1+Assumptions!$L$52)</f>
        <v>1444.95306381772</v>
      </c>
      <c r="Y26" s="115" t="n">
        <f aca="false">X26*(1+Assumptions!$L$52)</f>
        <v>1488.30165573225</v>
      </c>
      <c r="Z26" s="115" t="n">
        <f aca="false">Y26*(1+Assumptions!$L$52)</f>
        <v>1532.95070540422</v>
      </c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</row>
    <row r="27" customFormat="false" ht="12.75" hidden="false" customHeight="false" outlineLevel="0" collapsed="false">
      <c r="A27" s="327" t="s">
        <v>222</v>
      </c>
      <c r="D27" s="0"/>
      <c r="E27" s="115" t="n">
        <f aca="false">VLOOKUP(Assumptions!L19,'EGC Start Charge Matrix'!$U$10:$AM$35,14)*Assumptions!L$53/12</f>
        <v>0</v>
      </c>
      <c r="F27" s="115" t="n">
        <f aca="false">VLOOKUP(Assumptions!L19,'EGC Start Charge Matrix'!$U$10:$AM$35,14)*(1+Assumptions!$L$52)*$F$1/12</f>
        <v>2032.4784</v>
      </c>
      <c r="G27" s="115" t="n">
        <f aca="false">F27*(1+Assumptions!$L$52)</f>
        <v>2093.452752</v>
      </c>
      <c r="H27" s="115" t="n">
        <f aca="false">G27*(1+Assumptions!$L$52)</f>
        <v>2156.25633456</v>
      </c>
      <c r="I27" s="115" t="n">
        <f aca="false">H27*(1+Assumptions!$L$52)</f>
        <v>2220.9440245968</v>
      </c>
      <c r="J27" s="115" t="n">
        <f aca="false">I27*(1+Assumptions!$L$52)</f>
        <v>2287.5723453347</v>
      </c>
      <c r="K27" s="115" t="n">
        <f aca="false">J27*(1+Assumptions!$L$52)</f>
        <v>2356.19951569475</v>
      </c>
      <c r="L27" s="115" t="n">
        <f aca="false">K27*(1+Assumptions!$L$52)</f>
        <v>2426.88550116559</v>
      </c>
      <c r="M27" s="115" t="n">
        <f aca="false">L27*(1+Assumptions!$L$52)</f>
        <v>2499.69206620056</v>
      </c>
      <c r="N27" s="115" t="n">
        <f aca="false">M27*(1+Assumptions!$L$52)</f>
        <v>2574.68282818657</v>
      </c>
      <c r="O27" s="115" t="n">
        <f aca="false">N27*(1+Assumptions!$L$52)</f>
        <v>2651.92331303217</v>
      </c>
      <c r="P27" s="115" t="n">
        <f aca="false">O27*(1+Assumptions!$L$52)</f>
        <v>2731.48101242314</v>
      </c>
      <c r="Q27" s="115" t="n">
        <f aca="false">P27*(1+Assumptions!$L$52)</f>
        <v>2813.42544279583</v>
      </c>
      <c r="R27" s="115" t="n">
        <f aca="false">Q27*(1+Assumptions!$L$52)</f>
        <v>2897.8282060797</v>
      </c>
      <c r="S27" s="115" t="n">
        <f aca="false">R27*(1+Assumptions!$L$52)</f>
        <v>2984.7630522621</v>
      </c>
      <c r="T27" s="115" t="n">
        <f aca="false">S27*(1+Assumptions!$L$52)</f>
        <v>3074.30594382996</v>
      </c>
      <c r="U27" s="115" t="n">
        <f aca="false">T27*(1+Assumptions!$L$52)</f>
        <v>3166.53512214486</v>
      </c>
      <c r="V27" s="115" t="n">
        <f aca="false">U27*(1+Assumptions!$L$52)</f>
        <v>3261.5311758092</v>
      </c>
      <c r="W27" s="115" t="n">
        <f aca="false">V27*(1+Assumptions!$L$52)</f>
        <v>3359.37711108348</v>
      </c>
      <c r="X27" s="115" t="n">
        <f aca="false">W27*(1+Assumptions!$L$52)</f>
        <v>3460.15842441598</v>
      </c>
      <c r="Y27" s="115" t="n">
        <f aca="false">X27*(1+Assumptions!$L$52)</f>
        <v>3563.96317714846</v>
      </c>
      <c r="Z27" s="115" t="n">
        <f aca="false">Y27*(1+Assumptions!$L$52)</f>
        <v>3670.88207246292</v>
      </c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</row>
    <row r="28" customFormat="false" ht="12.75" hidden="false" customHeight="false" outlineLevel="0" collapsed="false">
      <c r="A28" s="327" t="s">
        <v>224</v>
      </c>
      <c r="D28" s="0"/>
      <c r="E28" s="115" t="n">
        <f aca="false">Assumptions!L53/12*Assumptions!L62</f>
        <v>0</v>
      </c>
      <c r="F28" s="115" t="n">
        <f aca="false">Assumptions!L62*(1+Assumptions!$L$52)*$F$1/12</f>
        <v>230.4728</v>
      </c>
      <c r="G28" s="115" t="n">
        <f aca="false">F28*(1+Assumptions!$L$52)</f>
        <v>237.386984</v>
      </c>
      <c r="H28" s="417" t="n">
        <f aca="false">G28*(1+Assumptions!$L$52)</f>
        <v>244.50859352</v>
      </c>
      <c r="I28" s="115" t="n">
        <f aca="false">H28*(1+Assumptions!$L$52)</f>
        <v>251.8438513256</v>
      </c>
      <c r="J28" s="115" t="n">
        <f aca="false">I28*(1+Assumptions!$L$52)</f>
        <v>259.399166865368</v>
      </c>
      <c r="K28" s="115" t="n">
        <f aca="false">J28*(1+Assumptions!$L$52)</f>
        <v>267.181141871329</v>
      </c>
      <c r="L28" s="115" t="n">
        <f aca="false">K28*(1+Assumptions!$L$52)</f>
        <v>275.196576127469</v>
      </c>
      <c r="M28" s="115" t="n">
        <f aca="false">L28*(1+Assumptions!$L$52)</f>
        <v>283.452473411293</v>
      </c>
      <c r="N28" s="115" t="n">
        <f aca="false">M28*(1+Assumptions!$L$52)</f>
        <v>291.956047613632</v>
      </c>
      <c r="O28" s="115" t="n">
        <f aca="false">N28*(1+Assumptions!$L$52)</f>
        <v>300.714729042041</v>
      </c>
      <c r="P28" s="115" t="n">
        <f aca="false">O28*(1+Assumptions!$L$52)</f>
        <v>309.736170913302</v>
      </c>
      <c r="Q28" s="115" t="n">
        <f aca="false">P28*(1+Assumptions!$L$52)</f>
        <v>319.028256040701</v>
      </c>
      <c r="R28" s="115" t="n">
        <f aca="false">Q28*(1+Assumptions!$L$52)</f>
        <v>328.599103721922</v>
      </c>
      <c r="S28" s="115" t="n">
        <f aca="false">R28*(1+Assumptions!$L$52)</f>
        <v>338.45707683358</v>
      </c>
      <c r="T28" s="115" t="n">
        <f aca="false">S28*(1+Assumptions!$L$52)</f>
        <v>348.610789138587</v>
      </c>
      <c r="U28" s="115" t="n">
        <f aca="false">T28*(1+Assumptions!$L$52)</f>
        <v>359.069112812745</v>
      </c>
      <c r="V28" s="115" t="n">
        <f aca="false">U28*(1+Assumptions!$L$52)</f>
        <v>369.841186197127</v>
      </c>
      <c r="W28" s="115" t="n">
        <f aca="false">V28*(1+Assumptions!$L$52)</f>
        <v>380.936421783041</v>
      </c>
      <c r="X28" s="115" t="n">
        <f aca="false">W28*(1+Assumptions!$L$52)</f>
        <v>392.364514436532</v>
      </c>
      <c r="Y28" s="115" t="n">
        <f aca="false">X28*(1+Assumptions!$L$52)</f>
        <v>404.135449869628</v>
      </c>
      <c r="Z28" s="115" t="n">
        <f aca="false">Y28*(1+Assumptions!$L$52)</f>
        <v>416.259513365717</v>
      </c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</row>
    <row r="29" customFormat="false" ht="12.75" hidden="false" customHeight="false" outlineLevel="0" collapsed="false">
      <c r="A29" s="327" t="s">
        <v>226</v>
      </c>
      <c r="D29" s="0"/>
      <c r="E29" s="115" t="n">
        <f aca="false">Assumptions!L53/12*Assumptions!L63</f>
        <v>0</v>
      </c>
      <c r="F29" s="115" t="n">
        <f aca="false">Assumptions!L63*(1+Assumptions!$L$52)*$F$1/12</f>
        <v>353.24468</v>
      </c>
      <c r="G29" s="115" t="n">
        <f aca="false">F29*(1+Assumptions!$L$52)</f>
        <v>363.8420204</v>
      </c>
      <c r="H29" s="417" t="n">
        <f aca="false">G29*(1+Assumptions!$L$52)</f>
        <v>374.757281012</v>
      </c>
      <c r="I29" s="115" t="n">
        <f aca="false">H29*(1+Assumptions!$L$52)</f>
        <v>385.99999944236</v>
      </c>
      <c r="J29" s="115" t="n">
        <f aca="false">I29*(1+Assumptions!$L$52)</f>
        <v>397.579999425631</v>
      </c>
      <c r="K29" s="115" t="n">
        <f aca="false">J29*(1+Assumptions!$L$52)</f>
        <v>409.5073994084</v>
      </c>
      <c r="L29" s="115" t="n">
        <f aca="false">K29*(1+Assumptions!$L$52)</f>
        <v>421.792621390652</v>
      </c>
      <c r="M29" s="115" t="n">
        <f aca="false">L29*(1+Assumptions!$L$52)</f>
        <v>434.446400032371</v>
      </c>
      <c r="N29" s="115" t="n">
        <f aca="false">M29*(1+Assumptions!$L$52)</f>
        <v>447.479792033342</v>
      </c>
      <c r="O29" s="115" t="n">
        <f aca="false">N29*(1+Assumptions!$L$52)</f>
        <v>460.904185794343</v>
      </c>
      <c r="P29" s="115" t="n">
        <f aca="false">O29*(1+Assumptions!$L$52)</f>
        <v>474.731311368173</v>
      </c>
      <c r="Q29" s="115" t="n">
        <f aca="false">P29*(1+Assumptions!$L$52)</f>
        <v>488.973250709218</v>
      </c>
      <c r="R29" s="115" t="n">
        <f aca="false">Q29*(1+Assumptions!$L$52)</f>
        <v>503.642448230495</v>
      </c>
      <c r="S29" s="115" t="n">
        <f aca="false">R29*(1+Assumptions!$L$52)</f>
        <v>518.75172167741</v>
      </c>
      <c r="T29" s="115" t="n">
        <f aca="false">S29*(1+Assumptions!$L$52)</f>
        <v>534.314273327732</v>
      </c>
      <c r="U29" s="115" t="n">
        <f aca="false">T29*(1+Assumptions!$L$52)</f>
        <v>550.343701527564</v>
      </c>
      <c r="V29" s="115" t="n">
        <f aca="false">U29*(1+Assumptions!$L$52)</f>
        <v>566.854012573391</v>
      </c>
      <c r="W29" s="115" t="n">
        <f aca="false">V29*(1+Assumptions!$L$52)</f>
        <v>583.859632950593</v>
      </c>
      <c r="X29" s="115" t="n">
        <f aca="false">W29*(1+Assumptions!$L$52)</f>
        <v>601.37542193911</v>
      </c>
      <c r="Y29" s="115" t="n">
        <f aca="false">X29*(1+Assumptions!$L$52)</f>
        <v>619.416684597284</v>
      </c>
      <c r="Z29" s="115" t="n">
        <f aca="false">Y29*(1+Assumptions!$L$52)</f>
        <v>637.999185135202</v>
      </c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</row>
    <row r="30" customFormat="false" ht="12.75" hidden="false" customHeight="false" outlineLevel="0" collapsed="false">
      <c r="A30" s="327" t="s">
        <v>454</v>
      </c>
      <c r="D30" s="0"/>
      <c r="E30" s="115" t="n">
        <f aca="false">+Assumptions!L64*Assumptions!L53/12</f>
        <v>0</v>
      </c>
      <c r="F30" s="115" t="n">
        <f aca="false">+Assumptions!L64*(1+Assumptions!$L$52)*$F$1/12</f>
        <v>95.74571</v>
      </c>
      <c r="G30" s="115" t="n">
        <f aca="false">F30*(1+Assumptions!$L$52)</f>
        <v>98.6180813</v>
      </c>
      <c r="H30" s="115" t="n">
        <f aca="false">G30*(1+Assumptions!$L$52)</f>
        <v>101.576623739</v>
      </c>
      <c r="I30" s="115" t="n">
        <f aca="false">H30*(1+Assumptions!$L$52)</f>
        <v>104.62392245117</v>
      </c>
      <c r="J30" s="115" t="n">
        <f aca="false">I30*(1+Assumptions!$L$52)</f>
        <v>107.762640124705</v>
      </c>
      <c r="K30" s="115" t="n">
        <f aca="false">J30*(1+Assumptions!$L$52)</f>
        <v>110.995519328446</v>
      </c>
      <c r="L30" s="115" t="n">
        <f aca="false">K30*(1+Assumptions!$L$52)</f>
        <v>114.3253849083</v>
      </c>
      <c r="M30" s="115" t="n">
        <f aca="false">L30*(1+Assumptions!$L$52)</f>
        <v>117.755146455549</v>
      </c>
      <c r="N30" s="115" t="n">
        <f aca="false">M30*(1+Assumptions!$L$52)</f>
        <v>121.287800849215</v>
      </c>
      <c r="O30" s="115" t="n">
        <f aca="false">N30*(1+Assumptions!$L$52)</f>
        <v>124.926434874692</v>
      </c>
      <c r="P30" s="115" t="n">
        <f aca="false">O30*(1+Assumptions!$L$52)</f>
        <v>128.674227920932</v>
      </c>
      <c r="Q30" s="115" t="n">
        <f aca="false">P30*(1+Assumptions!$L$52)</f>
        <v>132.53445475856</v>
      </c>
      <c r="R30" s="115" t="n">
        <f aca="false">Q30*(1+Assumptions!$L$52)</f>
        <v>136.510488401317</v>
      </c>
      <c r="S30" s="115" t="n">
        <f aca="false">R30*(1+Assumptions!$L$52)</f>
        <v>140.605803053357</v>
      </c>
      <c r="T30" s="115" t="n">
        <f aca="false">S30*(1+Assumptions!$L$52)</f>
        <v>144.823977144957</v>
      </c>
      <c r="U30" s="115" t="n">
        <f aca="false">T30*(1+Assumptions!$L$52)</f>
        <v>149.168696459306</v>
      </c>
      <c r="V30" s="115" t="n">
        <f aca="false">U30*(1+Assumptions!$L$52)</f>
        <v>153.643757353085</v>
      </c>
      <c r="W30" s="115" t="n">
        <f aca="false">V30*(1+Assumptions!$L$52)</f>
        <v>158.253070073678</v>
      </c>
      <c r="X30" s="115" t="n">
        <f aca="false">W30*(1+Assumptions!$L$52)</f>
        <v>163.000662175888</v>
      </c>
      <c r="Y30" s="115" t="n">
        <f aca="false">X30*(1+Assumptions!$L$52)</f>
        <v>167.890682041165</v>
      </c>
      <c r="Z30" s="115" t="n">
        <f aca="false">Y30*(1+Assumptions!$L$52)</f>
        <v>172.9274025024</v>
      </c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</row>
    <row r="31" customFormat="false" ht="12.75" hidden="false" customHeight="false" outlineLevel="0" collapsed="false">
      <c r="A31" s="327" t="s">
        <v>455</v>
      </c>
      <c r="D31" s="0"/>
      <c r="E31" s="115" t="n">
        <f aca="false">0.5*312.773898109074*Assumptions!L$53/12</f>
        <v>0</v>
      </c>
      <c r="F31" s="115" t="n">
        <v>401.071840075</v>
      </c>
      <c r="G31" s="115" t="n">
        <v>540.362920125</v>
      </c>
      <c r="H31" s="417" t="n">
        <v>604.654000175</v>
      </c>
      <c r="I31" s="115" t="n">
        <v>643.945080225</v>
      </c>
      <c r="J31" s="115" t="n">
        <v>633.912175275</v>
      </c>
      <c r="K31" s="115" t="n">
        <v>624.555285325</v>
      </c>
      <c r="L31" s="115" t="n">
        <v>615.198395375</v>
      </c>
      <c r="M31" s="115" t="n">
        <v>605.841505425</v>
      </c>
      <c r="N31" s="115" t="n">
        <v>596.484615475</v>
      </c>
      <c r="O31" s="115" t="n">
        <v>587.127725525</v>
      </c>
      <c r="P31" s="115" t="n">
        <v>577.770835575</v>
      </c>
      <c r="Q31" s="115" t="n">
        <v>568.413945625</v>
      </c>
      <c r="R31" s="115" t="n">
        <v>559.057055675</v>
      </c>
      <c r="S31" s="115" t="n">
        <v>549.700165725</v>
      </c>
      <c r="T31" s="115" t="n">
        <v>832.679736349231</v>
      </c>
      <c r="U31" s="115" t="n">
        <v>786.162187795068</v>
      </c>
      <c r="V31" s="115" t="n">
        <v>739.644639240906</v>
      </c>
      <c r="W31" s="115" t="n">
        <v>693.127090686743</v>
      </c>
      <c r="X31" s="115" t="n">
        <v>646.609542132581</v>
      </c>
      <c r="Y31" s="115" t="n">
        <v>600.149040890918</v>
      </c>
      <c r="Z31" s="115" t="n">
        <v>0</v>
      </c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</row>
    <row r="32" customFormat="false" ht="12.75" hidden="false" customHeight="false" outlineLevel="0" collapsed="false">
      <c r="A32" s="327" t="s">
        <v>456</v>
      </c>
      <c r="D32" s="0"/>
      <c r="E32" s="115" t="n">
        <v>0</v>
      </c>
      <c r="F32" s="115" t="n">
        <f aca="false">Allocation!$I$7*IS!E31*7/12+Allocation!$K$7*IS!E31*5/12</f>
        <v>448.72061056025</v>
      </c>
      <c r="G32" s="115" t="n">
        <f aca="false">Allocation!$I$7*IS!F31</f>
        <v>296.094275793119</v>
      </c>
      <c r="H32" s="115" t="n">
        <f aca="false">Allocation!$I$7*IS!G31</f>
        <v>294.336610646956</v>
      </c>
      <c r="I32" s="115" t="n">
        <f aca="false">Allocation!$I$7*IS!H31</f>
        <v>286.711663741875</v>
      </c>
      <c r="J32" s="115" t="n">
        <f aca="false">Allocation!$I$7*IS!I31</f>
        <v>286.711663741875</v>
      </c>
      <c r="K32" s="115" t="n">
        <f aca="false">Allocation!$I$7*IS!J31</f>
        <v>286.711663741875</v>
      </c>
      <c r="L32" s="115" t="n">
        <f aca="false">Allocation!$I$7*IS!K31</f>
        <v>286.711663741875</v>
      </c>
      <c r="M32" s="115" t="n">
        <f aca="false">Allocation!$I$7*IS!L31</f>
        <v>286.711663741875</v>
      </c>
      <c r="N32" s="115" t="n">
        <f aca="false">Allocation!$I$7*IS!M31</f>
        <v>286.711663741875</v>
      </c>
      <c r="O32" s="115" t="n">
        <f aca="false">Allocation!$I$7*IS!N31</f>
        <v>286.711663741875</v>
      </c>
      <c r="P32" s="115" t="n">
        <f aca="false">Allocation!$I$7*IS!O31</f>
        <v>249.962115839938</v>
      </c>
      <c r="Q32" s="115" t="n">
        <f aca="false">Allocation!$I$7*IS!P31</f>
        <v>238.806377383477</v>
      </c>
      <c r="R32" s="115" t="n">
        <f aca="false">Allocation!$I$7*IS!Q31</f>
        <v>238.199510214805</v>
      </c>
      <c r="S32" s="115" t="n">
        <f aca="false">Allocation!$I$7*IS!R31</f>
        <v>233.251672247072</v>
      </c>
      <c r="T32" s="115" t="n">
        <f aca="false">Allocation!$I$7*IS!S31</f>
        <v>228.266220140394</v>
      </c>
      <c r="U32" s="115" t="n">
        <f aca="false">Allocation!$I$7*IS!T31</f>
        <v>225.869571653989</v>
      </c>
      <c r="V32" s="115" t="n">
        <f aca="false">Allocation!$I$7*IS!U31</f>
        <v>212.656254237501</v>
      </c>
      <c r="W32" s="115" t="n">
        <f aca="false">Allocation!$I$7*IS!V31</f>
        <v>192.615783655933</v>
      </c>
      <c r="X32" s="115" t="n">
        <f aca="false">Allocation!$I$7*IS!W31</f>
        <v>158.751611959656</v>
      </c>
      <c r="Y32" s="115" t="n">
        <f aca="false">Allocation!$I$7*IS!X31</f>
        <v>125.768661601026</v>
      </c>
      <c r="Z32" s="115" t="n">
        <f aca="false">Allocation!$I$7*IS!Y31</f>
        <v>125.768661601026</v>
      </c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</row>
    <row r="33" customFormat="false" ht="12.75" hidden="false" customHeight="false" outlineLevel="0" collapsed="false">
      <c r="A33" s="327" t="s">
        <v>114</v>
      </c>
      <c r="D33" s="0"/>
      <c r="E33" s="115" t="n">
        <v>0</v>
      </c>
      <c r="F33" s="115" t="n">
        <v>0</v>
      </c>
      <c r="G33" s="115" t="n">
        <v>0</v>
      </c>
      <c r="H33" s="115" t="n">
        <v>0</v>
      </c>
      <c r="I33" s="102" t="n">
        <f aca="false">Assumptions!$L$50*Assumptions!$L$33*12</f>
        <v>409.45968</v>
      </c>
      <c r="J33" s="102" t="n">
        <f aca="false">Assumptions!$L$50*Assumptions!$L$33*12*(1+Assumptions!L52)</f>
        <v>421.7434704</v>
      </c>
      <c r="K33" s="102" t="n">
        <f aca="false">J33*(1+Assumptions!$L$52)</f>
        <v>434.395774512</v>
      </c>
      <c r="L33" s="102" t="n">
        <f aca="false">K33*(1+Assumptions!$L$52)</f>
        <v>447.42764774736</v>
      </c>
      <c r="M33" s="102" t="n">
        <f aca="false">L33*(1+Assumptions!$L$52)</f>
        <v>460.850477179781</v>
      </c>
      <c r="N33" s="102" t="n">
        <f aca="false">M33*(1+Assumptions!$L$52)</f>
        <v>474.675991495174</v>
      </c>
      <c r="O33" s="102" t="n">
        <f aca="false">N33*(1+Assumptions!$L$52)</f>
        <v>488.91627124003</v>
      </c>
      <c r="P33" s="102" t="n">
        <f aca="false">O33*(1+Assumptions!$L$52)</f>
        <v>503.58375937723</v>
      </c>
      <c r="Q33" s="102" t="n">
        <f aca="false">P33*(1+Assumptions!$L$52)</f>
        <v>518.691272158547</v>
      </c>
      <c r="R33" s="102" t="n">
        <f aca="false">Q33*(1+Assumptions!$L$52)</f>
        <v>534.252010323304</v>
      </c>
      <c r="S33" s="102" t="n">
        <f aca="false">R33*(1+Assumptions!$L$52)</f>
        <v>550.279570633003</v>
      </c>
      <c r="T33" s="102" t="n">
        <f aca="false">S33*(1+Assumptions!$L$52)</f>
        <v>566.787957751993</v>
      </c>
      <c r="U33" s="102" t="n">
        <f aca="false">T33*(1+Assumptions!$L$52)</f>
        <v>583.791596484553</v>
      </c>
      <c r="V33" s="102" t="n">
        <f aca="false">U33*(1+Assumptions!$L$52)</f>
        <v>601.305344379089</v>
      </c>
      <c r="W33" s="102" t="n">
        <f aca="false">V33*(1+Assumptions!$L$52)</f>
        <v>619.344504710462</v>
      </c>
      <c r="X33" s="102" t="n">
        <f aca="false">W33*(1+Assumptions!$L$52)</f>
        <v>637.924839851776</v>
      </c>
      <c r="Y33" s="102" t="n">
        <f aca="false">X33*(1+Assumptions!$L$52)</f>
        <v>657.062585047329</v>
      </c>
      <c r="Z33" s="102" t="n">
        <f aca="false">Y33*(1+Assumptions!$L$52)</f>
        <v>676.774462598749</v>
      </c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</row>
    <row r="34" customFormat="false" ht="12.75" hidden="false" customHeight="false" outlineLevel="0" collapsed="false">
      <c r="A34" s="327" t="s">
        <v>286</v>
      </c>
      <c r="D34" s="0"/>
      <c r="E34" s="115" t="n">
        <f aca="false">Assumptions!L53/12*Assumptions!L65</f>
        <v>0</v>
      </c>
      <c r="F34" s="115" t="n">
        <f aca="false">Assumptions!L65*(1+Assumptions!$L$52)*$F$1/12</f>
        <v>163.231833910035</v>
      </c>
      <c r="G34" s="115" t="n">
        <f aca="false">F34*(1+Assumptions!$L$52)</f>
        <v>168.128788927336</v>
      </c>
      <c r="H34" s="417" t="n">
        <f aca="false">G34*(1+Assumptions!$L$52)</f>
        <v>173.172652595156</v>
      </c>
      <c r="I34" s="115" t="n">
        <f aca="false">H34*(1+Assumptions!$L$52)</f>
        <v>178.36783217301</v>
      </c>
      <c r="J34" s="115" t="n">
        <f aca="false">I34*(1+Assumptions!$L$52)</f>
        <v>183.718867138201</v>
      </c>
      <c r="K34" s="115" t="n">
        <f aca="false">J34*(1+Assumptions!$L$52)</f>
        <v>189.230433152347</v>
      </c>
      <c r="L34" s="115" t="n">
        <f aca="false">K34*(1+Assumptions!$L$52)</f>
        <v>194.907346146917</v>
      </c>
      <c r="M34" s="115" t="n">
        <f aca="false">L34*(1+Assumptions!$L$52)</f>
        <v>200.754566531325</v>
      </c>
      <c r="N34" s="115" t="n">
        <f aca="false">M34*(1+Assumptions!$L$52)</f>
        <v>206.777203527264</v>
      </c>
      <c r="O34" s="115" t="n">
        <f aca="false">N34*(1+Assumptions!$L$52)</f>
        <v>212.980519633082</v>
      </c>
      <c r="P34" s="115" t="n">
        <f aca="false">O34*(1+Assumptions!$L$52)</f>
        <v>219.369935222075</v>
      </c>
      <c r="Q34" s="115" t="n">
        <f aca="false">P34*(1+Assumptions!$L$52)</f>
        <v>225.951033278737</v>
      </c>
      <c r="R34" s="115" t="n">
        <f aca="false">Q34*(1+Assumptions!$L$52)</f>
        <v>232.729564277099</v>
      </c>
      <c r="S34" s="115" t="n">
        <f aca="false">R34*(1+Assumptions!$L$52)</f>
        <v>239.711451205412</v>
      </c>
      <c r="T34" s="115" t="n">
        <f aca="false">S34*(1+Assumptions!$L$52)</f>
        <v>246.902794741575</v>
      </c>
      <c r="U34" s="115" t="n">
        <f aca="false">T34*(1+Assumptions!$L$52)</f>
        <v>254.309878583822</v>
      </c>
      <c r="V34" s="115" t="n">
        <f aca="false">U34*(1+Assumptions!$L$52)</f>
        <v>261.939174941336</v>
      </c>
      <c r="W34" s="115" t="n">
        <f aca="false">V34*(1+Assumptions!$L$52)</f>
        <v>269.797350189577</v>
      </c>
      <c r="X34" s="115" t="n">
        <f aca="false">W34*(1+Assumptions!$L$52)</f>
        <v>277.891270695264</v>
      </c>
      <c r="Y34" s="115" t="n">
        <f aca="false">X34*(1+Assumptions!$L$52)</f>
        <v>286.228008816122</v>
      </c>
      <c r="Z34" s="115" t="n">
        <f aca="false">Y34*(1+Assumptions!$L$52)</f>
        <v>294.814849080606</v>
      </c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</row>
    <row r="35" customFormat="false" ht="12.75" hidden="false" customHeight="false" outlineLevel="0" collapsed="false">
      <c r="A35" s="327" t="s">
        <v>287</v>
      </c>
      <c r="B35" s="70"/>
      <c r="C35" s="70"/>
      <c r="D35" s="0"/>
      <c r="E35" s="375" t="n">
        <f aca="false">Assumptions!L53/12*Assumptions!L66</f>
        <v>0</v>
      </c>
      <c r="F35" s="375" t="n">
        <f aca="false">Assumptions!L66*(1+Assumptions!$L$52)*$F$1/12</f>
        <v>206</v>
      </c>
      <c r="G35" s="375" t="n">
        <f aca="false">F35*(1+Assumptions!$L$52)</f>
        <v>212.18</v>
      </c>
      <c r="H35" s="375" t="n">
        <f aca="false">G35*(1+Assumptions!$L$52)</f>
        <v>218.5454</v>
      </c>
      <c r="I35" s="375" t="n">
        <f aca="false">H35*(1+Assumptions!$L$52)</f>
        <v>225.101762</v>
      </c>
      <c r="J35" s="375" t="n">
        <f aca="false">I35*(1+Assumptions!$L$52)</f>
        <v>231.85481486</v>
      </c>
      <c r="K35" s="375" t="n">
        <f aca="false">J35*(1+Assumptions!$L$52)</f>
        <v>238.8104593058</v>
      </c>
      <c r="L35" s="375" t="n">
        <f aca="false">K35*(1+Assumptions!$L$52)</f>
        <v>245.974773084974</v>
      </c>
      <c r="M35" s="375" t="n">
        <f aca="false">L35*(1+Assumptions!$L$52)</f>
        <v>253.354016277523</v>
      </c>
      <c r="N35" s="375" t="n">
        <f aca="false">M35*(1+Assumptions!$L$52)</f>
        <v>260.954636765849</v>
      </c>
      <c r="O35" s="375" t="n">
        <f aca="false">N35*(1+Assumptions!$L$52)</f>
        <v>268.783275868824</v>
      </c>
      <c r="P35" s="375" t="n">
        <f aca="false">O35*(1+Assumptions!$L$52)</f>
        <v>276.846774144889</v>
      </c>
      <c r="Q35" s="375" t="n">
        <f aca="false">P35*(1+Assumptions!$L$52)</f>
        <v>285.152177369236</v>
      </c>
      <c r="R35" s="375" t="n">
        <f aca="false">Q35*(1+Assumptions!$L$52)</f>
        <v>293.706742690313</v>
      </c>
      <c r="S35" s="375" t="n">
        <f aca="false">R35*(1+Assumptions!$L$52)</f>
        <v>302.517944971022</v>
      </c>
      <c r="T35" s="375" t="n">
        <f aca="false">S35*(1+Assumptions!$L$52)</f>
        <v>311.593483320153</v>
      </c>
      <c r="U35" s="375" t="n">
        <f aca="false">T35*(1+Assumptions!$L$52)</f>
        <v>320.941287819758</v>
      </c>
      <c r="V35" s="375" t="n">
        <f aca="false">U35*(1+Assumptions!$L$52)</f>
        <v>330.56952645435</v>
      </c>
      <c r="W35" s="375" t="n">
        <f aca="false">V35*(1+Assumptions!$L$52)</f>
        <v>340.486612247981</v>
      </c>
      <c r="X35" s="375" t="n">
        <f aca="false">W35*(1+Assumptions!$L$52)</f>
        <v>350.70121061542</v>
      </c>
      <c r="Y35" s="375" t="n">
        <f aca="false">X35*(1+Assumptions!$L$52)</f>
        <v>361.222246933883</v>
      </c>
      <c r="Z35" s="375" t="n">
        <f aca="false">Y35*(1+Assumptions!$L$52)</f>
        <v>372.058914341899</v>
      </c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</row>
    <row r="36" customFormat="false" ht="12.75" hidden="false" customHeight="false" outlineLevel="0" collapsed="false">
      <c r="A36" s="327" t="s">
        <v>288</v>
      </c>
      <c r="B36" s="70"/>
      <c r="C36" s="70"/>
      <c r="D36" s="115"/>
      <c r="E36" s="115" t="n">
        <f aca="false">SUM(E24:E35)</f>
        <v>0</v>
      </c>
      <c r="F36" s="115" t="n">
        <f aca="false">SUM(F24:F35)</f>
        <v>5450.93481454528</v>
      </c>
      <c r="G36" s="115" t="n">
        <f aca="false">SUM(G24:G35)</f>
        <v>5575.63383074546</v>
      </c>
      <c r="H36" s="417" t="n">
        <f aca="false">SUM(H24:H35)</f>
        <v>5780.34254469411</v>
      </c>
      <c r="I36" s="115" t="n">
        <f aca="false">SUM(I24:I35)</f>
        <v>6423.94635816921</v>
      </c>
      <c r="J36" s="115" t="n">
        <f aca="false">SUM(J24:J35)</f>
        <v>6578.71214164528</v>
      </c>
      <c r="K36" s="115" t="n">
        <f aca="false">SUM(K24:K35)</f>
        <v>6739.09790077413</v>
      </c>
      <c r="L36" s="115" t="n">
        <f aca="false">SUM(L24:L35)</f>
        <v>6904.57593937535</v>
      </c>
      <c r="M36" s="115" t="n">
        <f aca="false">SUM(M24:M35)</f>
        <v>7075.29902583311</v>
      </c>
      <c r="N36" s="115" t="n">
        <f aca="false">SUM(N24:N35)</f>
        <v>7251.42451158309</v>
      </c>
      <c r="O36" s="115" t="n">
        <f aca="false">SUM(O24:O35)</f>
        <v>7433.11446860408</v>
      </c>
      <c r="P36" s="115" t="n">
        <f aca="false">SUM(P24:P35)</f>
        <v>7583.78628313226</v>
      </c>
      <c r="Q36" s="115" t="n">
        <f aca="false">SUM(Q24:Q35)</f>
        <v>7765.95525467732</v>
      </c>
      <c r="R36" s="115" t="n">
        <f aca="false">SUM(R24:R35)</f>
        <v>7964.75354550871</v>
      </c>
      <c r="S36" s="115" t="n">
        <f aca="false">SUM(S24:S35)</f>
        <v>8165.47372697954</v>
      </c>
      <c r="T36" s="115" t="n">
        <f aca="false">SUM(T24:T35)</f>
        <v>8664.94350216732</v>
      </c>
      <c r="U36" s="115" t="n">
        <f aca="false">SUM(U24:U35)</f>
        <v>8844.14923149709</v>
      </c>
      <c r="V36" s="115" t="n">
        <f aca="false">SUM(V24:V35)</f>
        <v>9019.38188968788</v>
      </c>
      <c r="W36" s="115" t="n">
        <f aca="false">SUM(W24:W35)</f>
        <v>9194.83630043843</v>
      </c>
      <c r="X36" s="115" t="n">
        <f aca="false">SUM(X24:X35)</f>
        <v>9363.72738297086</v>
      </c>
      <c r="Y36" s="115" t="n">
        <f aca="false">SUM(Y24:Y35)</f>
        <v>9541.03491823693</v>
      </c>
      <c r="Z36" s="115" t="n">
        <f aca="false">SUM(Z24:Z35)</f>
        <v>9205.33939381836</v>
      </c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</row>
    <row r="37" customFormat="false" ht="12.75" hidden="false" customHeight="false" outlineLevel="0" collapsed="false">
      <c r="A37" s="337"/>
      <c r="B37" s="654"/>
      <c r="C37" s="654"/>
      <c r="D37" s="655"/>
      <c r="E37" s="655"/>
      <c r="F37" s="656"/>
      <c r="G37" s="656"/>
      <c r="H37" s="656"/>
      <c r="I37" s="656"/>
      <c r="J37" s="656"/>
      <c r="K37" s="656"/>
      <c r="L37" s="656"/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3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653"/>
      <c r="BJ37" s="653"/>
      <c r="BK37" s="653"/>
      <c r="BL37" s="653"/>
      <c r="BM37" s="653"/>
      <c r="BN37" s="653"/>
      <c r="BO37" s="653"/>
      <c r="BP37" s="653"/>
      <c r="BQ37" s="653"/>
      <c r="BR37" s="653"/>
      <c r="BS37" s="653"/>
      <c r="BT37" s="653"/>
      <c r="BU37" s="653"/>
      <c r="BV37" s="653"/>
      <c r="BW37" s="653"/>
      <c r="BX37" s="653"/>
      <c r="BY37" s="653"/>
      <c r="BZ37" s="653"/>
      <c r="CA37" s="653"/>
      <c r="CB37" s="653"/>
      <c r="CC37" s="653"/>
      <c r="CD37" s="653"/>
      <c r="CE37" s="653"/>
      <c r="CF37" s="653"/>
      <c r="CG37" s="653"/>
      <c r="CH37" s="653"/>
      <c r="CI37" s="653"/>
      <c r="CJ37" s="653"/>
      <c r="CK37" s="653"/>
      <c r="CL37" s="653"/>
      <c r="CM37" s="653"/>
      <c r="CN37" s="653"/>
      <c r="CO37" s="653"/>
      <c r="CP37" s="653"/>
      <c r="CQ37" s="653"/>
      <c r="CR37" s="653"/>
      <c r="CS37" s="653"/>
      <c r="CT37" s="653"/>
      <c r="CU37" s="653"/>
      <c r="CV37" s="653"/>
      <c r="CW37" s="653"/>
      <c r="CX37" s="653"/>
      <c r="CY37" s="653"/>
      <c r="CZ37" s="653"/>
      <c r="DA37" s="653"/>
      <c r="DB37" s="653"/>
      <c r="DC37" s="653"/>
      <c r="DD37" s="653"/>
      <c r="DE37" s="653"/>
      <c r="DF37" s="653"/>
      <c r="DG37" s="653"/>
      <c r="DH37" s="653"/>
      <c r="DI37" s="653"/>
      <c r="DJ37" s="653"/>
      <c r="DK37" s="653"/>
      <c r="DL37" s="653"/>
      <c r="DM37" s="653"/>
      <c r="DN37" s="653"/>
      <c r="DO37" s="653"/>
      <c r="DP37" s="653"/>
      <c r="DQ37" s="653"/>
      <c r="DR37" s="653"/>
      <c r="DS37" s="653"/>
      <c r="DT37" s="653"/>
      <c r="DU37" s="653"/>
      <c r="DV37" s="653"/>
      <c r="DW37" s="653"/>
      <c r="DX37" s="653"/>
      <c r="DY37" s="653"/>
      <c r="DZ37" s="653"/>
      <c r="EA37" s="653"/>
      <c r="EB37" s="653"/>
      <c r="EC37" s="653"/>
      <c r="ED37" s="653"/>
      <c r="EE37" s="653"/>
      <c r="EF37" s="653"/>
      <c r="EG37" s="653"/>
      <c r="EH37" s="653"/>
      <c r="EI37" s="653"/>
      <c r="EJ37" s="653"/>
      <c r="EK37" s="653"/>
      <c r="EL37" s="653"/>
      <c r="EM37" s="653"/>
      <c r="EN37" s="653"/>
      <c r="EO37" s="653"/>
      <c r="EP37" s="653"/>
      <c r="EQ37" s="653"/>
      <c r="ER37" s="653"/>
      <c r="ES37" s="653"/>
      <c r="ET37" s="653"/>
      <c r="EU37" s="653"/>
      <c r="EV37" s="653"/>
      <c r="EW37" s="653"/>
      <c r="EX37" s="653"/>
      <c r="EY37" s="653"/>
      <c r="EZ37" s="653"/>
      <c r="FA37" s="653"/>
      <c r="FB37" s="653"/>
      <c r="FC37" s="653"/>
      <c r="FD37" s="653"/>
      <c r="FE37" s="653"/>
      <c r="FF37" s="653"/>
      <c r="FG37" s="653"/>
      <c r="FH37" s="653"/>
      <c r="FI37" s="653"/>
      <c r="FJ37" s="653"/>
      <c r="FK37" s="653"/>
      <c r="FL37" s="653"/>
      <c r="FM37" s="653"/>
      <c r="FN37" s="653"/>
      <c r="FO37" s="653"/>
      <c r="FP37" s="653"/>
      <c r="FQ37" s="653"/>
      <c r="FR37" s="653"/>
      <c r="FS37" s="653"/>
      <c r="FT37" s="653"/>
      <c r="FU37" s="653"/>
      <c r="FV37" s="653"/>
      <c r="FW37" s="653"/>
      <c r="FX37" s="653"/>
      <c r="FY37" s="653"/>
      <c r="FZ37" s="653"/>
      <c r="GA37" s="653"/>
      <c r="GB37" s="653"/>
      <c r="GC37" s="653"/>
      <c r="GD37" s="653"/>
      <c r="GE37" s="653"/>
      <c r="GF37" s="653"/>
      <c r="GG37" s="653"/>
      <c r="GH37" s="653"/>
      <c r="GI37" s="653"/>
      <c r="GJ37" s="653"/>
      <c r="GK37" s="653"/>
      <c r="GL37" s="653"/>
      <c r="GM37" s="653"/>
      <c r="GN37" s="653"/>
      <c r="GO37" s="653"/>
      <c r="GP37" s="653"/>
      <c r="GQ37" s="653"/>
      <c r="GR37" s="653"/>
      <c r="GS37" s="653"/>
      <c r="GT37" s="653"/>
      <c r="GU37" s="653"/>
      <c r="GV37" s="653"/>
      <c r="GW37" s="653"/>
      <c r="GX37" s="653"/>
      <c r="GY37" s="653"/>
      <c r="GZ37" s="653"/>
      <c r="HA37" s="653"/>
      <c r="HB37" s="653"/>
      <c r="HC37" s="653"/>
      <c r="HD37" s="653"/>
      <c r="HE37" s="653"/>
      <c r="HF37" s="653"/>
      <c r="HG37" s="653"/>
      <c r="HH37" s="653"/>
      <c r="HI37" s="653"/>
      <c r="HJ37" s="653"/>
      <c r="HK37" s="653"/>
      <c r="HL37" s="653"/>
      <c r="HM37" s="653"/>
      <c r="HN37" s="653"/>
      <c r="HO37" s="653"/>
      <c r="HP37" s="653"/>
      <c r="HQ37" s="653"/>
      <c r="HR37" s="653"/>
      <c r="HS37" s="653"/>
      <c r="HT37" s="653"/>
      <c r="HU37" s="653"/>
      <c r="HV37" s="653"/>
      <c r="HW37" s="653"/>
      <c r="HX37" s="653"/>
      <c r="HY37" s="653"/>
      <c r="HZ37" s="653"/>
      <c r="IA37" s="653"/>
      <c r="IB37" s="653"/>
      <c r="IC37" s="653"/>
      <c r="ID37" s="653"/>
      <c r="IE37" s="653"/>
      <c r="IF37" s="653"/>
      <c r="IG37" s="653"/>
      <c r="IH37" s="653"/>
      <c r="II37" s="653"/>
      <c r="IJ37" s="653"/>
      <c r="IK37" s="653"/>
      <c r="IL37" s="653"/>
      <c r="IM37" s="653"/>
      <c r="IN37" s="653"/>
      <c r="IO37" s="653"/>
      <c r="IP37" s="653"/>
      <c r="IQ37" s="653"/>
      <c r="IR37" s="653"/>
      <c r="IS37" s="653"/>
      <c r="IT37" s="653"/>
      <c r="IU37" s="653"/>
      <c r="IV37" s="653"/>
      <c r="IW37" s="653"/>
    </row>
    <row r="38" customFormat="false" ht="6.75" hidden="false" customHeight="true" outlineLevel="0" collapsed="false">
      <c r="A38" s="337"/>
      <c r="B38" s="331"/>
      <c r="C38" s="331"/>
      <c r="D38" s="655"/>
      <c r="E38" s="655"/>
      <c r="F38" s="656"/>
      <c r="G38" s="656"/>
      <c r="H38" s="656"/>
      <c r="I38" s="656"/>
      <c r="J38" s="656"/>
      <c r="K38" s="656"/>
      <c r="L38" s="656"/>
      <c r="M38" s="656"/>
      <c r="N38" s="656"/>
      <c r="O38" s="656"/>
      <c r="P38" s="656"/>
      <c r="Q38" s="656"/>
      <c r="R38" s="656"/>
      <c r="S38" s="656"/>
      <c r="T38" s="656"/>
      <c r="U38" s="656"/>
      <c r="V38" s="656"/>
      <c r="W38" s="656"/>
      <c r="X38" s="656"/>
      <c r="Y38" s="656"/>
      <c r="Z38" s="656"/>
      <c r="AA38" s="653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653"/>
      <c r="BJ38" s="653"/>
      <c r="BK38" s="653"/>
      <c r="BL38" s="653"/>
      <c r="BM38" s="653"/>
      <c r="BN38" s="653"/>
      <c r="BO38" s="653"/>
      <c r="BP38" s="653"/>
      <c r="BQ38" s="653"/>
      <c r="BR38" s="653"/>
      <c r="BS38" s="653"/>
      <c r="BT38" s="653"/>
      <c r="BU38" s="653"/>
      <c r="BV38" s="653"/>
      <c r="BW38" s="653"/>
      <c r="BX38" s="653"/>
      <c r="BY38" s="653"/>
      <c r="BZ38" s="653"/>
      <c r="CA38" s="653"/>
      <c r="CB38" s="653"/>
      <c r="CC38" s="653"/>
      <c r="CD38" s="653"/>
      <c r="CE38" s="653"/>
      <c r="CF38" s="653"/>
      <c r="CG38" s="653"/>
      <c r="CH38" s="653"/>
      <c r="CI38" s="653"/>
      <c r="CJ38" s="653"/>
      <c r="CK38" s="653"/>
      <c r="CL38" s="653"/>
      <c r="CM38" s="653"/>
      <c r="CN38" s="653"/>
      <c r="CO38" s="653"/>
      <c r="CP38" s="653"/>
      <c r="CQ38" s="653"/>
      <c r="CR38" s="653"/>
      <c r="CS38" s="653"/>
      <c r="CT38" s="653"/>
      <c r="CU38" s="653"/>
      <c r="CV38" s="653"/>
      <c r="CW38" s="653"/>
      <c r="CX38" s="653"/>
      <c r="CY38" s="653"/>
      <c r="CZ38" s="653"/>
      <c r="DA38" s="653"/>
      <c r="DB38" s="653"/>
      <c r="DC38" s="653"/>
      <c r="DD38" s="653"/>
      <c r="DE38" s="653"/>
      <c r="DF38" s="653"/>
      <c r="DG38" s="653"/>
      <c r="DH38" s="653"/>
      <c r="DI38" s="653"/>
      <c r="DJ38" s="653"/>
      <c r="DK38" s="653"/>
      <c r="DL38" s="653"/>
      <c r="DM38" s="653"/>
      <c r="DN38" s="653"/>
      <c r="DO38" s="653"/>
      <c r="DP38" s="653"/>
      <c r="DQ38" s="653"/>
      <c r="DR38" s="653"/>
      <c r="DS38" s="653"/>
      <c r="DT38" s="653"/>
      <c r="DU38" s="653"/>
      <c r="DV38" s="653"/>
      <c r="DW38" s="653"/>
      <c r="DX38" s="653"/>
      <c r="DY38" s="653"/>
      <c r="DZ38" s="653"/>
      <c r="EA38" s="653"/>
      <c r="EB38" s="653"/>
      <c r="EC38" s="653"/>
      <c r="ED38" s="653"/>
      <c r="EE38" s="653"/>
      <c r="EF38" s="653"/>
      <c r="EG38" s="653"/>
      <c r="EH38" s="653"/>
      <c r="EI38" s="653"/>
      <c r="EJ38" s="653"/>
      <c r="EK38" s="653"/>
      <c r="EL38" s="653"/>
      <c r="EM38" s="653"/>
      <c r="EN38" s="653"/>
      <c r="EO38" s="653"/>
      <c r="EP38" s="653"/>
      <c r="EQ38" s="653"/>
      <c r="ER38" s="653"/>
      <c r="ES38" s="653"/>
      <c r="ET38" s="653"/>
      <c r="EU38" s="653"/>
      <c r="EV38" s="653"/>
      <c r="EW38" s="653"/>
      <c r="EX38" s="653"/>
      <c r="EY38" s="653"/>
      <c r="EZ38" s="653"/>
      <c r="FA38" s="653"/>
      <c r="FB38" s="653"/>
      <c r="FC38" s="653"/>
      <c r="FD38" s="653"/>
      <c r="FE38" s="653"/>
      <c r="FF38" s="653"/>
      <c r="FG38" s="653"/>
      <c r="FH38" s="653"/>
      <c r="FI38" s="653"/>
      <c r="FJ38" s="653"/>
      <c r="FK38" s="653"/>
      <c r="FL38" s="653"/>
      <c r="FM38" s="653"/>
      <c r="FN38" s="653"/>
      <c r="FO38" s="653"/>
      <c r="FP38" s="653"/>
      <c r="FQ38" s="653"/>
      <c r="FR38" s="653"/>
      <c r="FS38" s="653"/>
      <c r="FT38" s="653"/>
      <c r="FU38" s="653"/>
      <c r="FV38" s="653"/>
      <c r="FW38" s="653"/>
      <c r="FX38" s="653"/>
      <c r="FY38" s="653"/>
      <c r="FZ38" s="653"/>
      <c r="GA38" s="653"/>
      <c r="GB38" s="653"/>
      <c r="GC38" s="653"/>
      <c r="GD38" s="653"/>
      <c r="GE38" s="653"/>
      <c r="GF38" s="653"/>
      <c r="GG38" s="653"/>
      <c r="GH38" s="653"/>
      <c r="GI38" s="653"/>
      <c r="GJ38" s="653"/>
      <c r="GK38" s="653"/>
      <c r="GL38" s="653"/>
      <c r="GM38" s="653"/>
      <c r="GN38" s="653"/>
      <c r="GO38" s="653"/>
      <c r="GP38" s="653"/>
      <c r="GQ38" s="653"/>
      <c r="GR38" s="653"/>
      <c r="GS38" s="653"/>
      <c r="GT38" s="653"/>
      <c r="GU38" s="653"/>
      <c r="GV38" s="653"/>
      <c r="GW38" s="653"/>
      <c r="GX38" s="653"/>
      <c r="GY38" s="653"/>
      <c r="GZ38" s="653"/>
      <c r="HA38" s="653"/>
      <c r="HB38" s="653"/>
      <c r="HC38" s="653"/>
      <c r="HD38" s="653"/>
      <c r="HE38" s="653"/>
      <c r="HF38" s="653"/>
      <c r="HG38" s="653"/>
      <c r="HH38" s="653"/>
      <c r="HI38" s="653"/>
      <c r="HJ38" s="653"/>
      <c r="HK38" s="653"/>
      <c r="HL38" s="653"/>
      <c r="HM38" s="653"/>
      <c r="HN38" s="653"/>
      <c r="HO38" s="653"/>
      <c r="HP38" s="653"/>
      <c r="HQ38" s="653"/>
      <c r="HR38" s="653"/>
      <c r="HS38" s="653"/>
      <c r="HT38" s="653"/>
      <c r="HU38" s="653"/>
      <c r="HV38" s="653"/>
      <c r="HW38" s="653"/>
      <c r="HX38" s="653"/>
      <c r="HY38" s="653"/>
      <c r="HZ38" s="653"/>
      <c r="IA38" s="653"/>
      <c r="IB38" s="653"/>
      <c r="IC38" s="653"/>
      <c r="ID38" s="653"/>
      <c r="IE38" s="653"/>
      <c r="IF38" s="653"/>
      <c r="IG38" s="653"/>
      <c r="IH38" s="653"/>
      <c r="II38" s="653"/>
      <c r="IJ38" s="653"/>
      <c r="IK38" s="653"/>
      <c r="IL38" s="653"/>
      <c r="IM38" s="653"/>
      <c r="IN38" s="653"/>
      <c r="IO38" s="653"/>
      <c r="IP38" s="653"/>
      <c r="IQ38" s="653"/>
      <c r="IR38" s="653"/>
      <c r="IS38" s="653"/>
      <c r="IT38" s="653"/>
      <c r="IU38" s="653"/>
      <c r="IV38" s="653"/>
      <c r="IW38" s="653"/>
    </row>
    <row r="39" customFormat="false" ht="12.75" hidden="false" customHeight="false" outlineLevel="0" collapsed="false">
      <c r="A39" s="323" t="s">
        <v>289</v>
      </c>
      <c r="B39" s="323"/>
      <c r="C39" s="323"/>
      <c r="D39" s="422"/>
      <c r="E39" s="422" t="n">
        <f aca="false">E20-E36</f>
        <v>0</v>
      </c>
      <c r="F39" s="422" t="n">
        <f aca="false">F20-F36</f>
        <v>19605.0567632729</v>
      </c>
      <c r="G39" s="422" t="n">
        <f aca="false">G20-G36</f>
        <v>19564.7588572602</v>
      </c>
      <c r="H39" s="657" t="n">
        <f aca="false">H20-H36</f>
        <v>19446.0299277139</v>
      </c>
      <c r="I39" s="422" t="n">
        <f aca="false">I20-I36</f>
        <v>28278.1715288038</v>
      </c>
      <c r="J39" s="422" t="n">
        <f aca="false">J20-J36</f>
        <v>28587.0559916175</v>
      </c>
      <c r="K39" s="422" t="n">
        <f aca="false">K20-K36</f>
        <v>28886.8918032782</v>
      </c>
      <c r="L39" s="422" t="n">
        <f aca="false">L20-L36</f>
        <v>29177.5927242835</v>
      </c>
      <c r="M39" s="422" t="n">
        <f aca="false">M20-M36</f>
        <v>30089.4345226241</v>
      </c>
      <c r="N39" s="422" t="n">
        <f aca="false">N20-N36</f>
        <v>30378.3296165724</v>
      </c>
      <c r="O39" s="422" t="n">
        <f aca="false">O20-O36</f>
        <v>31325.6250906171</v>
      </c>
      <c r="P39" s="422" t="n">
        <f aca="false">P20-P36</f>
        <v>31648.6603072543</v>
      </c>
      <c r="Q39" s="422" t="n">
        <f aca="false">Q20-Q36</f>
        <v>32643.6761886247</v>
      </c>
      <c r="R39" s="422" t="n">
        <f aca="false">R20-R36</f>
        <v>32925.6380469803</v>
      </c>
      <c r="S39" s="422" t="n">
        <f aca="false">S20-S36</f>
        <v>33198.2033240124</v>
      </c>
      <c r="T39" s="422" t="n">
        <f aca="false">T20-T36</f>
        <v>33159.952009717</v>
      </c>
      <c r="U39" s="422" t="n">
        <f aca="false">U20-U36</f>
        <v>33436.7072414876</v>
      </c>
      <c r="V39" s="422" t="n">
        <f aca="false">V20-V36</f>
        <v>33707.2480437497</v>
      </c>
      <c r="W39" s="422" t="n">
        <f aca="false">W20-W36</f>
        <v>33966.3005467365</v>
      </c>
      <c r="X39" s="422" t="n">
        <f aca="false">X20-X36</f>
        <v>34219.6556507654</v>
      </c>
      <c r="Y39" s="422" t="n">
        <f aca="false">Y20-Y36</f>
        <v>34451.0127314114</v>
      </c>
      <c r="Z39" s="422" t="n">
        <f aca="false">Z20-Z36</f>
        <v>35187.1185415062</v>
      </c>
      <c r="AA39" s="395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395"/>
      <c r="BJ39" s="395"/>
      <c r="BK39" s="395"/>
      <c r="BL39" s="395"/>
      <c r="BM39" s="395"/>
      <c r="BN39" s="395"/>
      <c r="BO39" s="395"/>
      <c r="BP39" s="395"/>
      <c r="BQ39" s="395"/>
      <c r="BR39" s="395"/>
      <c r="BS39" s="395"/>
      <c r="BT39" s="395"/>
      <c r="BU39" s="395"/>
      <c r="BV39" s="395"/>
      <c r="BW39" s="395"/>
      <c r="BX39" s="395"/>
      <c r="BY39" s="395"/>
      <c r="BZ39" s="395"/>
      <c r="CA39" s="395"/>
      <c r="CB39" s="395"/>
      <c r="CC39" s="395"/>
      <c r="CD39" s="395"/>
      <c r="CE39" s="395"/>
      <c r="CF39" s="395"/>
      <c r="CG39" s="395"/>
      <c r="CH39" s="395"/>
      <c r="CI39" s="395"/>
      <c r="CJ39" s="395"/>
      <c r="CK39" s="395"/>
      <c r="CL39" s="395"/>
      <c r="CM39" s="395"/>
      <c r="CN39" s="395"/>
      <c r="CO39" s="395"/>
      <c r="CP39" s="395"/>
      <c r="CQ39" s="395"/>
      <c r="CR39" s="395"/>
      <c r="CS39" s="395"/>
      <c r="CT39" s="395"/>
      <c r="CU39" s="395"/>
      <c r="CV39" s="395"/>
      <c r="CW39" s="395"/>
      <c r="CX39" s="395"/>
      <c r="CY39" s="395"/>
      <c r="CZ39" s="395"/>
      <c r="DA39" s="395"/>
      <c r="DB39" s="395"/>
      <c r="DC39" s="395"/>
      <c r="DD39" s="395"/>
      <c r="DE39" s="395"/>
      <c r="DF39" s="395"/>
      <c r="DG39" s="395"/>
      <c r="DH39" s="395"/>
      <c r="DI39" s="395"/>
      <c r="DJ39" s="395"/>
      <c r="DK39" s="395"/>
      <c r="DL39" s="395"/>
      <c r="DM39" s="395"/>
      <c r="DN39" s="395"/>
      <c r="DO39" s="395"/>
      <c r="DP39" s="395"/>
      <c r="DQ39" s="395"/>
      <c r="DR39" s="395"/>
      <c r="DS39" s="395"/>
      <c r="DT39" s="395"/>
      <c r="DU39" s="395"/>
      <c r="DV39" s="395"/>
      <c r="DW39" s="395"/>
      <c r="DX39" s="395"/>
      <c r="DY39" s="395"/>
      <c r="DZ39" s="395"/>
      <c r="EA39" s="395"/>
      <c r="EB39" s="395"/>
      <c r="EC39" s="395"/>
      <c r="ED39" s="395"/>
      <c r="EE39" s="395"/>
      <c r="EF39" s="395"/>
      <c r="EG39" s="395"/>
      <c r="EH39" s="395"/>
      <c r="EI39" s="395"/>
      <c r="EJ39" s="395"/>
      <c r="EK39" s="395"/>
      <c r="EL39" s="395"/>
      <c r="EM39" s="395"/>
      <c r="EN39" s="395"/>
      <c r="EO39" s="395"/>
      <c r="EP39" s="395"/>
      <c r="EQ39" s="395"/>
      <c r="ER39" s="395"/>
      <c r="ES39" s="395"/>
      <c r="ET39" s="395"/>
      <c r="EU39" s="395"/>
      <c r="EV39" s="395"/>
      <c r="EW39" s="395"/>
      <c r="EX39" s="395"/>
      <c r="EY39" s="395"/>
      <c r="EZ39" s="395"/>
      <c r="FA39" s="395"/>
      <c r="FB39" s="395"/>
      <c r="FC39" s="395"/>
      <c r="FD39" s="395"/>
      <c r="FE39" s="395"/>
      <c r="FF39" s="395"/>
      <c r="FG39" s="395"/>
      <c r="FH39" s="395"/>
      <c r="FI39" s="395"/>
      <c r="FJ39" s="395"/>
      <c r="FK39" s="395"/>
      <c r="FL39" s="395"/>
      <c r="FM39" s="395"/>
      <c r="FN39" s="395"/>
      <c r="FO39" s="395"/>
      <c r="FP39" s="395"/>
      <c r="FQ39" s="395"/>
      <c r="FR39" s="395"/>
      <c r="FS39" s="395"/>
      <c r="FT39" s="395"/>
      <c r="FU39" s="395"/>
      <c r="FV39" s="395"/>
      <c r="FW39" s="395"/>
      <c r="FX39" s="395"/>
      <c r="FY39" s="395"/>
      <c r="FZ39" s="395"/>
      <c r="GA39" s="395"/>
      <c r="GB39" s="395"/>
      <c r="GC39" s="395"/>
      <c r="GD39" s="395"/>
      <c r="GE39" s="395"/>
      <c r="GF39" s="395"/>
      <c r="GG39" s="395"/>
      <c r="GH39" s="395"/>
      <c r="GI39" s="395"/>
      <c r="GJ39" s="395"/>
      <c r="GK39" s="395"/>
      <c r="GL39" s="395"/>
      <c r="GM39" s="395"/>
      <c r="GN39" s="395"/>
      <c r="GO39" s="395"/>
      <c r="GP39" s="395"/>
      <c r="GQ39" s="395"/>
      <c r="GR39" s="395"/>
      <c r="GS39" s="395"/>
      <c r="GT39" s="395"/>
      <c r="GU39" s="395"/>
      <c r="GV39" s="395"/>
      <c r="GW39" s="395"/>
      <c r="GX39" s="395"/>
      <c r="GY39" s="395"/>
      <c r="GZ39" s="395"/>
      <c r="HA39" s="395"/>
      <c r="HB39" s="395"/>
      <c r="HC39" s="395"/>
      <c r="HD39" s="395"/>
      <c r="HE39" s="395"/>
      <c r="HF39" s="395"/>
      <c r="HG39" s="395"/>
      <c r="HH39" s="395"/>
      <c r="HI39" s="395"/>
      <c r="HJ39" s="395"/>
      <c r="HK39" s="395"/>
      <c r="HL39" s="395"/>
      <c r="HM39" s="395"/>
      <c r="HN39" s="395"/>
      <c r="HO39" s="395"/>
      <c r="HP39" s="395"/>
      <c r="HQ39" s="395"/>
      <c r="HR39" s="395"/>
      <c r="HS39" s="395"/>
      <c r="HT39" s="395"/>
      <c r="HU39" s="395"/>
      <c r="HV39" s="395"/>
      <c r="HW39" s="395"/>
      <c r="HX39" s="395"/>
      <c r="HY39" s="395"/>
      <c r="HZ39" s="395"/>
      <c r="IA39" s="395"/>
      <c r="IB39" s="395"/>
      <c r="IC39" s="395"/>
      <c r="ID39" s="395"/>
      <c r="IE39" s="395"/>
      <c r="IF39" s="395"/>
      <c r="IG39" s="395"/>
      <c r="IH39" s="395"/>
      <c r="II39" s="395"/>
      <c r="IJ39" s="395"/>
      <c r="IK39" s="395"/>
      <c r="IL39" s="395"/>
      <c r="IM39" s="395"/>
      <c r="IN39" s="395"/>
      <c r="IO39" s="395"/>
      <c r="IP39" s="395"/>
      <c r="IQ39" s="395"/>
      <c r="IR39" s="395"/>
      <c r="IS39" s="395"/>
      <c r="IT39" s="395"/>
      <c r="IU39" s="395"/>
      <c r="IV39" s="395"/>
      <c r="IW39" s="395"/>
    </row>
    <row r="40" customFormat="false" ht="12.75" hidden="false" customHeight="false" outlineLevel="0" collapsed="false">
      <c r="A40" s="323"/>
      <c r="B40" s="323"/>
      <c r="C40" s="323"/>
      <c r="D40" s="422"/>
      <c r="E40" s="422"/>
      <c r="F40" s="422"/>
      <c r="G40" s="422"/>
      <c r="H40" s="657"/>
      <c r="I40" s="422"/>
      <c r="J40" s="422"/>
      <c r="K40" s="422"/>
      <c r="L40" s="422"/>
      <c r="M40" s="422"/>
      <c r="N40" s="422"/>
      <c r="O40" s="422"/>
      <c r="P40" s="422"/>
      <c r="Q40" s="422"/>
      <c r="R40" s="422"/>
      <c r="S40" s="422"/>
      <c r="T40" s="422"/>
      <c r="U40" s="422"/>
      <c r="V40" s="422"/>
      <c r="W40" s="422"/>
      <c r="X40" s="422"/>
      <c r="Y40" s="422"/>
      <c r="Z40" s="422"/>
      <c r="AA40" s="395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395"/>
      <c r="BJ40" s="395"/>
      <c r="BK40" s="395"/>
      <c r="BL40" s="395"/>
      <c r="BM40" s="395"/>
      <c r="BN40" s="395"/>
      <c r="BO40" s="395"/>
      <c r="BP40" s="395"/>
      <c r="BQ40" s="395"/>
      <c r="BR40" s="395"/>
      <c r="BS40" s="395"/>
      <c r="BT40" s="395"/>
      <c r="BU40" s="395"/>
      <c r="BV40" s="395"/>
      <c r="BW40" s="395"/>
      <c r="BX40" s="395"/>
      <c r="BY40" s="395"/>
      <c r="BZ40" s="395"/>
      <c r="CA40" s="395"/>
      <c r="CB40" s="395"/>
      <c r="CC40" s="395"/>
      <c r="CD40" s="395"/>
      <c r="CE40" s="395"/>
      <c r="CF40" s="395"/>
      <c r="CG40" s="395"/>
      <c r="CH40" s="395"/>
      <c r="CI40" s="395"/>
      <c r="CJ40" s="395"/>
      <c r="CK40" s="395"/>
      <c r="CL40" s="395"/>
      <c r="CM40" s="395"/>
      <c r="CN40" s="395"/>
      <c r="CO40" s="395"/>
      <c r="CP40" s="395"/>
      <c r="CQ40" s="395"/>
      <c r="CR40" s="395"/>
      <c r="CS40" s="395"/>
      <c r="CT40" s="395"/>
      <c r="CU40" s="395"/>
      <c r="CV40" s="395"/>
      <c r="CW40" s="395"/>
      <c r="CX40" s="395"/>
      <c r="CY40" s="395"/>
      <c r="CZ40" s="395"/>
      <c r="DA40" s="395"/>
      <c r="DB40" s="395"/>
      <c r="DC40" s="395"/>
      <c r="DD40" s="395"/>
      <c r="DE40" s="395"/>
      <c r="DF40" s="395"/>
      <c r="DG40" s="395"/>
      <c r="DH40" s="395"/>
      <c r="DI40" s="395"/>
      <c r="DJ40" s="395"/>
      <c r="DK40" s="395"/>
      <c r="DL40" s="395"/>
      <c r="DM40" s="395"/>
      <c r="DN40" s="395"/>
      <c r="DO40" s="395"/>
      <c r="DP40" s="395"/>
      <c r="DQ40" s="395"/>
      <c r="DR40" s="395"/>
      <c r="DS40" s="395"/>
      <c r="DT40" s="395"/>
      <c r="DU40" s="395"/>
      <c r="DV40" s="395"/>
      <c r="DW40" s="395"/>
      <c r="DX40" s="395"/>
      <c r="DY40" s="395"/>
      <c r="DZ40" s="395"/>
      <c r="EA40" s="395"/>
      <c r="EB40" s="395"/>
      <c r="EC40" s="395"/>
      <c r="ED40" s="395"/>
      <c r="EE40" s="395"/>
      <c r="EF40" s="395"/>
      <c r="EG40" s="395"/>
      <c r="EH40" s="395"/>
      <c r="EI40" s="395"/>
      <c r="EJ40" s="395"/>
      <c r="EK40" s="395"/>
      <c r="EL40" s="395"/>
      <c r="EM40" s="395"/>
      <c r="EN40" s="395"/>
      <c r="EO40" s="395"/>
      <c r="EP40" s="395"/>
      <c r="EQ40" s="395"/>
      <c r="ER40" s="395"/>
      <c r="ES40" s="395"/>
      <c r="ET40" s="395"/>
      <c r="EU40" s="395"/>
      <c r="EV40" s="395"/>
      <c r="EW40" s="395"/>
      <c r="EX40" s="395"/>
      <c r="EY40" s="395"/>
      <c r="EZ40" s="395"/>
      <c r="FA40" s="395"/>
      <c r="FB40" s="395"/>
      <c r="FC40" s="395"/>
      <c r="FD40" s="395"/>
      <c r="FE40" s="395"/>
      <c r="FF40" s="395"/>
      <c r="FG40" s="395"/>
      <c r="FH40" s="395"/>
      <c r="FI40" s="395"/>
      <c r="FJ40" s="395"/>
      <c r="FK40" s="395"/>
      <c r="FL40" s="395"/>
      <c r="FM40" s="395"/>
      <c r="FN40" s="395"/>
      <c r="FO40" s="395"/>
      <c r="FP40" s="395"/>
      <c r="FQ40" s="395"/>
      <c r="FR40" s="395"/>
      <c r="FS40" s="395"/>
      <c r="FT40" s="395"/>
      <c r="FU40" s="395"/>
      <c r="FV40" s="395"/>
      <c r="FW40" s="395"/>
      <c r="FX40" s="395"/>
      <c r="FY40" s="395"/>
      <c r="FZ40" s="395"/>
      <c r="GA40" s="395"/>
      <c r="GB40" s="395"/>
      <c r="GC40" s="395"/>
      <c r="GD40" s="395"/>
      <c r="GE40" s="395"/>
      <c r="GF40" s="395"/>
      <c r="GG40" s="395"/>
      <c r="GH40" s="395"/>
      <c r="GI40" s="395"/>
      <c r="GJ40" s="395"/>
      <c r="GK40" s="395"/>
      <c r="GL40" s="395"/>
      <c r="GM40" s="395"/>
      <c r="GN40" s="395"/>
      <c r="GO40" s="395"/>
      <c r="GP40" s="395"/>
      <c r="GQ40" s="395"/>
      <c r="GR40" s="395"/>
      <c r="GS40" s="395"/>
      <c r="GT40" s="395"/>
      <c r="GU40" s="395"/>
      <c r="GV40" s="395"/>
      <c r="GW40" s="395"/>
      <c r="GX40" s="395"/>
      <c r="GY40" s="395"/>
      <c r="GZ40" s="395"/>
      <c r="HA40" s="395"/>
      <c r="HB40" s="395"/>
      <c r="HC40" s="395"/>
      <c r="HD40" s="395"/>
      <c r="HE40" s="395"/>
      <c r="HF40" s="395"/>
      <c r="HG40" s="395"/>
      <c r="HH40" s="395"/>
      <c r="HI40" s="395"/>
      <c r="HJ40" s="395"/>
      <c r="HK40" s="395"/>
      <c r="HL40" s="395"/>
      <c r="HM40" s="395"/>
      <c r="HN40" s="395"/>
      <c r="HO40" s="395"/>
      <c r="HP40" s="395"/>
      <c r="HQ40" s="395"/>
      <c r="HR40" s="395"/>
      <c r="HS40" s="395"/>
      <c r="HT40" s="395"/>
      <c r="HU40" s="395"/>
      <c r="HV40" s="395"/>
      <c r="HW40" s="395"/>
      <c r="HX40" s="395"/>
      <c r="HY40" s="395"/>
      <c r="HZ40" s="395"/>
      <c r="IA40" s="395"/>
      <c r="IB40" s="395"/>
      <c r="IC40" s="395"/>
      <c r="ID40" s="395"/>
      <c r="IE40" s="395"/>
      <c r="IF40" s="395"/>
      <c r="IG40" s="395"/>
      <c r="IH40" s="395"/>
      <c r="II40" s="395"/>
      <c r="IJ40" s="395"/>
      <c r="IK40" s="395"/>
      <c r="IL40" s="395"/>
      <c r="IM40" s="395"/>
      <c r="IN40" s="395"/>
      <c r="IO40" s="395"/>
      <c r="IP40" s="395"/>
      <c r="IQ40" s="395"/>
      <c r="IR40" s="395"/>
      <c r="IS40" s="395"/>
      <c r="IT40" s="395"/>
      <c r="IU40" s="395"/>
      <c r="IV40" s="395"/>
      <c r="IW40" s="395"/>
    </row>
    <row r="41" customFormat="false" ht="12.75" hidden="false" customHeight="false" outlineLevel="0" collapsed="false">
      <c r="A41" s="327" t="s">
        <v>290</v>
      </c>
      <c r="D41" s="115"/>
      <c r="E41" s="115" t="n">
        <f aca="false">Allocation!$G$7/Allocation!$G$10*IS!D40</f>
        <v>0</v>
      </c>
      <c r="F41" s="115" t="n">
        <f aca="false">Allocation!$G$7*IS!E40</f>
        <v>3793.79964502865</v>
      </c>
      <c r="G41" s="115" t="n">
        <f aca="false">Allocation!$G$7*IS!F40</f>
        <v>5214.51751595231</v>
      </c>
      <c r="H41" s="115" t="n">
        <f aca="false">Allocation!$G$7*IS!G40</f>
        <v>5214.51751595231</v>
      </c>
      <c r="I41" s="115" t="n">
        <f aca="false">Allocation!$G$7*IS!H40</f>
        <v>5214.51751595231</v>
      </c>
      <c r="J41" s="115" t="n">
        <f aca="false">Allocation!$G$7*IS!I40</f>
        <v>5214.51751595231</v>
      </c>
      <c r="K41" s="115" t="n">
        <f aca="false">Allocation!$G$7*IS!J40</f>
        <v>5214.51751595231</v>
      </c>
      <c r="L41" s="115" t="n">
        <f aca="false">Allocation!$G$7*IS!K40</f>
        <v>5214.51751595231</v>
      </c>
      <c r="M41" s="115" t="n">
        <f aca="false">Allocation!$G$7*IS!L40</f>
        <v>5214.51751595231</v>
      </c>
      <c r="N41" s="115" t="n">
        <f aca="false">Allocation!$G$7*IS!M40</f>
        <v>5214.51751595231</v>
      </c>
      <c r="O41" s="115" t="n">
        <f aca="false">Allocation!$G$7*IS!N40</f>
        <v>5214.51751595231</v>
      </c>
      <c r="P41" s="115" t="n">
        <f aca="false">Allocation!$G$7*IS!O40</f>
        <v>5214.51751595231</v>
      </c>
      <c r="Q41" s="115" t="n">
        <f aca="false">Allocation!$G$7*IS!P40</f>
        <v>5214.51751595231</v>
      </c>
      <c r="R41" s="115" t="n">
        <f aca="false">Allocation!$G$7*IS!Q40</f>
        <v>5214.51751595231</v>
      </c>
      <c r="S41" s="115" t="n">
        <f aca="false">Allocation!$G$7*IS!R40</f>
        <v>5214.51751595231</v>
      </c>
      <c r="T41" s="115" t="n">
        <f aca="false">Allocation!$G$7*IS!S40</f>
        <v>5214.51751595231</v>
      </c>
      <c r="U41" s="115" t="n">
        <f aca="false">Allocation!$G$7*IS!T40</f>
        <v>5214.51751595231</v>
      </c>
      <c r="V41" s="115" t="n">
        <f aca="false">Allocation!$G$7*IS!U40</f>
        <v>5214.51751595231</v>
      </c>
      <c r="W41" s="115" t="n">
        <f aca="false">Allocation!$G$7*IS!V40</f>
        <v>5214.51751595231</v>
      </c>
      <c r="X41" s="115" t="n">
        <f aca="false">Allocation!$G$7*IS!W40</f>
        <v>5214.51751595231</v>
      </c>
      <c r="Y41" s="115" t="n">
        <f aca="false">Allocation!$G$7*IS!X40</f>
        <v>5214.51751595231</v>
      </c>
      <c r="Z41" s="115" t="n">
        <f aca="false">Allocation!$G$7*IS!Y40</f>
        <v>5078.05845367099</v>
      </c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</row>
    <row r="42" customFormat="false" ht="7.5" hidden="false" customHeight="true" outlineLevel="0" collapsed="false">
      <c r="A42" s="327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</row>
    <row r="43" customFormat="false" ht="12.75" hidden="false" customHeight="false" outlineLevel="0" collapsed="false">
      <c r="A43" s="323" t="s">
        <v>291</v>
      </c>
      <c r="B43" s="323"/>
      <c r="C43" s="323"/>
      <c r="D43" s="422"/>
      <c r="E43" s="422" t="n">
        <f aca="false">E39-E41</f>
        <v>0</v>
      </c>
      <c r="F43" s="422" t="n">
        <f aca="false">F39-F41</f>
        <v>15811.2571182443</v>
      </c>
      <c r="G43" s="422" t="n">
        <f aca="false">G39-G41</f>
        <v>14350.2413413079</v>
      </c>
      <c r="H43" s="422" t="n">
        <f aca="false">H39-H41</f>
        <v>14231.5124117616</v>
      </c>
      <c r="I43" s="422" t="n">
        <f aca="false">I39-I41</f>
        <v>23063.6540128515</v>
      </c>
      <c r="J43" s="422" t="n">
        <f aca="false">J39-J41</f>
        <v>23372.5384756652</v>
      </c>
      <c r="K43" s="422" t="n">
        <f aca="false">K39-K41</f>
        <v>23672.3742873259</v>
      </c>
      <c r="L43" s="422" t="n">
        <f aca="false">L39-L41</f>
        <v>23963.0752083312</v>
      </c>
      <c r="M43" s="422" t="n">
        <f aca="false">M39-M41</f>
        <v>24874.9170066718</v>
      </c>
      <c r="N43" s="422" t="n">
        <f aca="false">N39-N41</f>
        <v>25163.8121006201</v>
      </c>
      <c r="O43" s="422" t="n">
        <f aca="false">O39-O41</f>
        <v>26111.1075746648</v>
      </c>
      <c r="P43" s="422" t="n">
        <f aca="false">P39-P41</f>
        <v>26434.142791302</v>
      </c>
      <c r="Q43" s="422" t="n">
        <f aca="false">Q39-Q41</f>
        <v>27429.1586726724</v>
      </c>
      <c r="R43" s="422" t="n">
        <f aca="false">R39-R41</f>
        <v>27711.120531028</v>
      </c>
      <c r="S43" s="422" t="n">
        <f aca="false">S39-S41</f>
        <v>27983.6858080601</v>
      </c>
      <c r="T43" s="422" t="n">
        <f aca="false">T39-T41</f>
        <v>27945.4344937647</v>
      </c>
      <c r="U43" s="422" t="n">
        <f aca="false">U39-U41</f>
        <v>28222.1897255353</v>
      </c>
      <c r="V43" s="422" t="n">
        <f aca="false">V39-V41</f>
        <v>28492.7305277974</v>
      </c>
      <c r="W43" s="422" t="n">
        <f aca="false">W39-W41</f>
        <v>28751.7830307842</v>
      </c>
      <c r="X43" s="422" t="n">
        <f aca="false">X39-X41</f>
        <v>29005.1381348131</v>
      </c>
      <c r="Y43" s="422" t="n">
        <f aca="false">Y39-Y41</f>
        <v>29236.4952154591</v>
      </c>
      <c r="Z43" s="422" t="n">
        <f aca="false">Z39-Z41</f>
        <v>30109.0600878352</v>
      </c>
      <c r="AA43" s="395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395"/>
      <c r="BJ43" s="395"/>
      <c r="BK43" s="395"/>
      <c r="BL43" s="395"/>
      <c r="BM43" s="395"/>
      <c r="BN43" s="395"/>
      <c r="BO43" s="395"/>
      <c r="BP43" s="395"/>
      <c r="BQ43" s="395"/>
      <c r="BR43" s="395"/>
      <c r="BS43" s="395"/>
      <c r="BT43" s="395"/>
      <c r="BU43" s="395"/>
      <c r="BV43" s="395"/>
      <c r="BW43" s="395"/>
      <c r="BX43" s="395"/>
      <c r="BY43" s="395"/>
      <c r="BZ43" s="395"/>
      <c r="CA43" s="395"/>
      <c r="CB43" s="395"/>
      <c r="CC43" s="395"/>
      <c r="CD43" s="395"/>
      <c r="CE43" s="395"/>
      <c r="CF43" s="395"/>
      <c r="CG43" s="395"/>
      <c r="CH43" s="395"/>
      <c r="CI43" s="395"/>
      <c r="CJ43" s="395"/>
      <c r="CK43" s="395"/>
      <c r="CL43" s="395"/>
      <c r="CM43" s="395"/>
      <c r="CN43" s="395"/>
      <c r="CO43" s="395"/>
      <c r="CP43" s="395"/>
      <c r="CQ43" s="395"/>
      <c r="CR43" s="395"/>
      <c r="CS43" s="395"/>
      <c r="CT43" s="395"/>
      <c r="CU43" s="395"/>
      <c r="CV43" s="395"/>
      <c r="CW43" s="395"/>
      <c r="CX43" s="395"/>
      <c r="CY43" s="395"/>
      <c r="CZ43" s="395"/>
      <c r="DA43" s="395"/>
      <c r="DB43" s="395"/>
      <c r="DC43" s="395"/>
      <c r="DD43" s="395"/>
      <c r="DE43" s="395"/>
      <c r="DF43" s="395"/>
      <c r="DG43" s="395"/>
      <c r="DH43" s="395"/>
      <c r="DI43" s="395"/>
      <c r="DJ43" s="395"/>
      <c r="DK43" s="395"/>
      <c r="DL43" s="395"/>
      <c r="DM43" s="395"/>
      <c r="DN43" s="395"/>
      <c r="DO43" s="395"/>
      <c r="DP43" s="395"/>
      <c r="DQ43" s="395"/>
      <c r="DR43" s="395"/>
      <c r="DS43" s="395"/>
      <c r="DT43" s="395"/>
      <c r="DU43" s="395"/>
      <c r="DV43" s="395"/>
      <c r="DW43" s="395"/>
      <c r="DX43" s="395"/>
      <c r="DY43" s="395"/>
      <c r="DZ43" s="395"/>
      <c r="EA43" s="395"/>
      <c r="EB43" s="395"/>
      <c r="EC43" s="395"/>
      <c r="ED43" s="395"/>
      <c r="EE43" s="395"/>
      <c r="EF43" s="395"/>
      <c r="EG43" s="395"/>
      <c r="EH43" s="395"/>
      <c r="EI43" s="395"/>
      <c r="EJ43" s="395"/>
      <c r="EK43" s="395"/>
      <c r="EL43" s="395"/>
      <c r="EM43" s="395"/>
      <c r="EN43" s="395"/>
      <c r="EO43" s="395"/>
      <c r="EP43" s="395"/>
      <c r="EQ43" s="395"/>
      <c r="ER43" s="395"/>
      <c r="ES43" s="395"/>
      <c r="ET43" s="395"/>
      <c r="EU43" s="395"/>
      <c r="EV43" s="395"/>
      <c r="EW43" s="395"/>
      <c r="EX43" s="395"/>
      <c r="EY43" s="395"/>
      <c r="EZ43" s="395"/>
      <c r="FA43" s="395"/>
      <c r="FB43" s="395"/>
      <c r="FC43" s="395"/>
      <c r="FD43" s="395"/>
      <c r="FE43" s="395"/>
      <c r="FF43" s="395"/>
      <c r="FG43" s="395"/>
      <c r="FH43" s="395"/>
      <c r="FI43" s="395"/>
      <c r="FJ43" s="395"/>
      <c r="FK43" s="395"/>
      <c r="FL43" s="395"/>
      <c r="FM43" s="395"/>
      <c r="FN43" s="395"/>
      <c r="FO43" s="395"/>
      <c r="FP43" s="395"/>
      <c r="FQ43" s="395"/>
      <c r="FR43" s="395"/>
      <c r="FS43" s="395"/>
      <c r="FT43" s="395"/>
      <c r="FU43" s="395"/>
      <c r="FV43" s="395"/>
      <c r="FW43" s="395"/>
      <c r="FX43" s="395"/>
      <c r="FY43" s="395"/>
      <c r="FZ43" s="395"/>
      <c r="GA43" s="395"/>
      <c r="GB43" s="395"/>
      <c r="GC43" s="395"/>
      <c r="GD43" s="395"/>
      <c r="GE43" s="395"/>
      <c r="GF43" s="395"/>
      <c r="GG43" s="395"/>
      <c r="GH43" s="395"/>
      <c r="GI43" s="395"/>
      <c r="GJ43" s="395"/>
      <c r="GK43" s="395"/>
      <c r="GL43" s="395"/>
      <c r="GM43" s="395"/>
      <c r="GN43" s="395"/>
      <c r="GO43" s="395"/>
      <c r="GP43" s="395"/>
      <c r="GQ43" s="395"/>
      <c r="GR43" s="395"/>
      <c r="GS43" s="395"/>
      <c r="GT43" s="395"/>
      <c r="GU43" s="395"/>
      <c r="GV43" s="395"/>
      <c r="GW43" s="395"/>
      <c r="GX43" s="395"/>
      <c r="GY43" s="395"/>
      <c r="GZ43" s="395"/>
      <c r="HA43" s="395"/>
      <c r="HB43" s="395"/>
      <c r="HC43" s="395"/>
      <c r="HD43" s="395"/>
      <c r="HE43" s="395"/>
      <c r="HF43" s="395"/>
      <c r="HG43" s="395"/>
      <c r="HH43" s="395"/>
      <c r="HI43" s="395"/>
      <c r="HJ43" s="395"/>
      <c r="HK43" s="395"/>
      <c r="HL43" s="395"/>
      <c r="HM43" s="395"/>
      <c r="HN43" s="395"/>
      <c r="HO43" s="395"/>
      <c r="HP43" s="395"/>
      <c r="HQ43" s="395"/>
      <c r="HR43" s="395"/>
      <c r="HS43" s="395"/>
      <c r="HT43" s="395"/>
      <c r="HU43" s="395"/>
      <c r="HV43" s="395"/>
      <c r="HW43" s="395"/>
      <c r="HX43" s="395"/>
      <c r="HY43" s="395"/>
      <c r="HZ43" s="395"/>
      <c r="IA43" s="395"/>
      <c r="IB43" s="395"/>
      <c r="IC43" s="395"/>
      <c r="ID43" s="395"/>
      <c r="IE43" s="395"/>
      <c r="IF43" s="395"/>
      <c r="IG43" s="395"/>
      <c r="IH43" s="395"/>
      <c r="II43" s="395"/>
      <c r="IJ43" s="395"/>
      <c r="IK43" s="395"/>
      <c r="IL43" s="395"/>
      <c r="IM43" s="395"/>
      <c r="IN43" s="395"/>
      <c r="IO43" s="395"/>
      <c r="IP43" s="395"/>
      <c r="IQ43" s="395"/>
      <c r="IR43" s="395"/>
      <c r="IS43" s="395"/>
      <c r="IT43" s="395"/>
      <c r="IU43" s="395"/>
      <c r="IV43" s="395"/>
      <c r="IW43" s="395"/>
    </row>
    <row r="44" customFormat="false" ht="12.75" hidden="false" customHeight="false" outlineLevel="0" collapsed="false">
      <c r="A44" s="323"/>
      <c r="B44" s="323"/>
      <c r="C44" s="323"/>
      <c r="D44" s="422"/>
      <c r="E44" s="422"/>
      <c r="F44" s="422"/>
      <c r="G44" s="422"/>
      <c r="H44" s="422"/>
      <c r="I44" s="422"/>
      <c r="J44" s="422"/>
      <c r="K44" s="422"/>
      <c r="L44" s="422"/>
      <c r="M44" s="422"/>
      <c r="N44" s="422"/>
      <c r="O44" s="422"/>
      <c r="P44" s="422"/>
      <c r="Q44" s="422"/>
      <c r="R44" s="422"/>
      <c r="S44" s="422"/>
      <c r="T44" s="422"/>
      <c r="U44" s="422"/>
      <c r="V44" s="422"/>
      <c r="W44" s="422"/>
      <c r="X44" s="422"/>
      <c r="Y44" s="422"/>
      <c r="Z44" s="422"/>
      <c r="AA44" s="395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395"/>
      <c r="BJ44" s="395"/>
      <c r="BK44" s="395"/>
      <c r="BL44" s="395"/>
      <c r="BM44" s="395"/>
      <c r="BN44" s="395"/>
      <c r="BO44" s="395"/>
      <c r="BP44" s="395"/>
      <c r="BQ44" s="395"/>
      <c r="BR44" s="395"/>
      <c r="BS44" s="395"/>
      <c r="BT44" s="395"/>
      <c r="BU44" s="395"/>
      <c r="BV44" s="395"/>
      <c r="BW44" s="395"/>
      <c r="BX44" s="395"/>
      <c r="BY44" s="395"/>
      <c r="BZ44" s="395"/>
      <c r="CA44" s="395"/>
      <c r="CB44" s="395"/>
      <c r="CC44" s="395"/>
      <c r="CD44" s="395"/>
      <c r="CE44" s="395"/>
      <c r="CF44" s="395"/>
      <c r="CG44" s="395"/>
      <c r="CH44" s="395"/>
      <c r="CI44" s="395"/>
      <c r="CJ44" s="395"/>
      <c r="CK44" s="395"/>
      <c r="CL44" s="395"/>
      <c r="CM44" s="395"/>
      <c r="CN44" s="395"/>
      <c r="CO44" s="395"/>
      <c r="CP44" s="395"/>
      <c r="CQ44" s="395"/>
      <c r="CR44" s="395"/>
      <c r="CS44" s="395"/>
      <c r="CT44" s="395"/>
      <c r="CU44" s="395"/>
      <c r="CV44" s="395"/>
      <c r="CW44" s="395"/>
      <c r="CX44" s="395"/>
      <c r="CY44" s="395"/>
      <c r="CZ44" s="395"/>
      <c r="DA44" s="395"/>
      <c r="DB44" s="395"/>
      <c r="DC44" s="395"/>
      <c r="DD44" s="395"/>
      <c r="DE44" s="395"/>
      <c r="DF44" s="395"/>
      <c r="DG44" s="395"/>
      <c r="DH44" s="395"/>
      <c r="DI44" s="395"/>
      <c r="DJ44" s="395"/>
      <c r="DK44" s="395"/>
      <c r="DL44" s="395"/>
      <c r="DM44" s="395"/>
      <c r="DN44" s="395"/>
      <c r="DO44" s="395"/>
      <c r="DP44" s="395"/>
      <c r="DQ44" s="395"/>
      <c r="DR44" s="395"/>
      <c r="DS44" s="395"/>
      <c r="DT44" s="395"/>
      <c r="DU44" s="395"/>
      <c r="DV44" s="395"/>
      <c r="DW44" s="395"/>
      <c r="DX44" s="395"/>
      <c r="DY44" s="395"/>
      <c r="DZ44" s="395"/>
      <c r="EA44" s="395"/>
      <c r="EB44" s="395"/>
      <c r="EC44" s="395"/>
      <c r="ED44" s="395"/>
      <c r="EE44" s="395"/>
      <c r="EF44" s="395"/>
      <c r="EG44" s="395"/>
      <c r="EH44" s="395"/>
      <c r="EI44" s="395"/>
      <c r="EJ44" s="395"/>
      <c r="EK44" s="395"/>
      <c r="EL44" s="395"/>
      <c r="EM44" s="395"/>
      <c r="EN44" s="395"/>
      <c r="EO44" s="395"/>
      <c r="EP44" s="395"/>
      <c r="EQ44" s="395"/>
      <c r="ER44" s="395"/>
      <c r="ES44" s="395"/>
      <c r="ET44" s="395"/>
      <c r="EU44" s="395"/>
      <c r="EV44" s="395"/>
      <c r="EW44" s="395"/>
      <c r="EX44" s="395"/>
      <c r="EY44" s="395"/>
      <c r="EZ44" s="395"/>
      <c r="FA44" s="395"/>
      <c r="FB44" s="395"/>
      <c r="FC44" s="395"/>
      <c r="FD44" s="395"/>
      <c r="FE44" s="395"/>
      <c r="FF44" s="395"/>
      <c r="FG44" s="395"/>
      <c r="FH44" s="395"/>
      <c r="FI44" s="395"/>
      <c r="FJ44" s="395"/>
      <c r="FK44" s="395"/>
      <c r="FL44" s="395"/>
      <c r="FM44" s="395"/>
      <c r="FN44" s="395"/>
      <c r="FO44" s="395"/>
      <c r="FP44" s="395"/>
      <c r="FQ44" s="395"/>
      <c r="FR44" s="395"/>
      <c r="FS44" s="395"/>
      <c r="FT44" s="395"/>
      <c r="FU44" s="395"/>
      <c r="FV44" s="395"/>
      <c r="FW44" s="395"/>
      <c r="FX44" s="395"/>
      <c r="FY44" s="395"/>
      <c r="FZ44" s="395"/>
      <c r="GA44" s="395"/>
      <c r="GB44" s="395"/>
      <c r="GC44" s="395"/>
      <c r="GD44" s="395"/>
      <c r="GE44" s="395"/>
      <c r="GF44" s="395"/>
      <c r="GG44" s="395"/>
      <c r="GH44" s="395"/>
      <c r="GI44" s="395"/>
      <c r="GJ44" s="395"/>
      <c r="GK44" s="395"/>
      <c r="GL44" s="395"/>
      <c r="GM44" s="395"/>
      <c r="GN44" s="395"/>
      <c r="GO44" s="395"/>
      <c r="GP44" s="395"/>
      <c r="GQ44" s="395"/>
      <c r="GR44" s="395"/>
      <c r="GS44" s="395"/>
      <c r="GT44" s="395"/>
      <c r="GU44" s="395"/>
      <c r="GV44" s="395"/>
      <c r="GW44" s="395"/>
      <c r="GX44" s="395"/>
      <c r="GY44" s="395"/>
      <c r="GZ44" s="395"/>
      <c r="HA44" s="395"/>
      <c r="HB44" s="395"/>
      <c r="HC44" s="395"/>
      <c r="HD44" s="395"/>
      <c r="HE44" s="395"/>
      <c r="HF44" s="395"/>
      <c r="HG44" s="395"/>
      <c r="HH44" s="395"/>
      <c r="HI44" s="395"/>
      <c r="HJ44" s="395"/>
      <c r="HK44" s="395"/>
      <c r="HL44" s="395"/>
      <c r="HM44" s="395"/>
      <c r="HN44" s="395"/>
      <c r="HO44" s="395"/>
      <c r="HP44" s="395"/>
      <c r="HQ44" s="395"/>
      <c r="HR44" s="395"/>
      <c r="HS44" s="395"/>
      <c r="HT44" s="395"/>
      <c r="HU44" s="395"/>
      <c r="HV44" s="395"/>
      <c r="HW44" s="395"/>
      <c r="HX44" s="395"/>
      <c r="HY44" s="395"/>
      <c r="HZ44" s="395"/>
      <c r="IA44" s="395"/>
      <c r="IB44" s="395"/>
      <c r="IC44" s="395"/>
      <c r="ID44" s="395"/>
      <c r="IE44" s="395"/>
      <c r="IF44" s="395"/>
      <c r="IG44" s="395"/>
      <c r="IH44" s="395"/>
      <c r="II44" s="395"/>
      <c r="IJ44" s="395"/>
      <c r="IK44" s="395"/>
      <c r="IL44" s="395"/>
      <c r="IM44" s="395"/>
      <c r="IN44" s="395"/>
      <c r="IO44" s="395"/>
      <c r="IP44" s="395"/>
      <c r="IQ44" s="395"/>
      <c r="IR44" s="395"/>
      <c r="IS44" s="395"/>
      <c r="IT44" s="395"/>
      <c r="IU44" s="395"/>
      <c r="IV44" s="395"/>
      <c r="IW44" s="395"/>
    </row>
    <row r="45" customFormat="false" ht="12.75" hidden="false" customHeight="false" outlineLevel="0" collapsed="false">
      <c r="A45" s="78" t="s">
        <v>457</v>
      </c>
      <c r="B45" s="658"/>
      <c r="C45" s="474"/>
      <c r="D45" s="115"/>
      <c r="E45" s="115" t="n">
        <f aca="false">Allocation!$K$7*(IS!$D$44)</f>
        <v>0</v>
      </c>
      <c r="F45" s="115" t="n">
        <f aca="false">Allocation!$I$7*(IS!$E$44-Debt!$C$136)</f>
        <v>10910.5734439402</v>
      </c>
      <c r="G45" s="115" t="n">
        <f aca="false">Allocation!$I$7*IS!F44</f>
        <v>10637.0573266849</v>
      </c>
      <c r="H45" s="115" t="n">
        <f aca="false">Allocation!$I$7*IS!G44</f>
        <v>10286.2304439527</v>
      </c>
      <c r="I45" s="115" t="n">
        <f aca="false">Allocation!$I$7*IS!H44</f>
        <v>9941.15197672315</v>
      </c>
      <c r="J45" s="115" t="n">
        <f aca="false">Allocation!$I$7*IS!I44</f>
        <v>9714.162626337</v>
      </c>
      <c r="K45" s="115" t="n">
        <f aca="false">Allocation!$I$7*IS!J44</f>
        <v>9331.934194575</v>
      </c>
      <c r="L45" s="115" t="n">
        <f aca="false">Allocation!$I$7*IS!K44</f>
        <v>8912.64828781881</v>
      </c>
      <c r="M45" s="115" t="n">
        <f aca="false">Allocation!$I$7*IS!L44</f>
        <v>8428.24974613108</v>
      </c>
      <c r="N45" s="115" t="n">
        <f aca="false">Allocation!$I$7*IS!M44</f>
        <v>7873.80579413819</v>
      </c>
      <c r="O45" s="115" t="n">
        <f aca="false">Allocation!$I$7*IS!N44</f>
        <v>7200.97523317885</v>
      </c>
      <c r="P45" s="115" t="n">
        <f aca="false">Allocation!$I$7*IS!O44</f>
        <v>6606.64904818611</v>
      </c>
      <c r="Q45" s="115" t="n">
        <f aca="false">Allocation!$I$7*IS!P44</f>
        <v>6035.96777067664</v>
      </c>
      <c r="R45" s="115" t="n">
        <f aca="false">Allocation!$I$7*IS!Q44</f>
        <v>5405.51262113653</v>
      </c>
      <c r="S45" s="115" t="n">
        <f aca="false">Allocation!$I$7*IS!R44</f>
        <v>4726.26220305579</v>
      </c>
      <c r="T45" s="115" t="n">
        <f aca="false">Allocation!$I$7*IS!S44</f>
        <v>4000.87457858662</v>
      </c>
      <c r="U45" s="115" t="n">
        <f aca="false">Allocation!$I$7*IS!T44</f>
        <v>3215.22761442049</v>
      </c>
      <c r="V45" s="115" t="n">
        <f aca="false">Allocation!$I$7*IS!U44</f>
        <v>2396.87363895943</v>
      </c>
      <c r="W45" s="115" t="n">
        <f aca="false">Allocation!$I$7*IS!V44</f>
        <v>1586.00735947416</v>
      </c>
      <c r="X45" s="115" t="n">
        <f aca="false">Allocation!$I$7*IS!W44</f>
        <v>844.994069217781</v>
      </c>
      <c r="Y45" s="115" t="n">
        <f aca="false">Allocation!$I$7*IS!X44</f>
        <v>202.856599360346</v>
      </c>
      <c r="Z45" s="115" t="n">
        <v>0</v>
      </c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</row>
    <row r="46" customFormat="false" ht="6" hidden="false" customHeight="true" outlineLevel="0" collapsed="false">
      <c r="D46" s="115"/>
      <c r="E46" s="115"/>
      <c r="F46" s="368"/>
      <c r="G46" s="368"/>
      <c r="H46" s="368"/>
      <c r="I46" s="368"/>
      <c r="J46" s="368"/>
      <c r="K46" s="368"/>
      <c r="L46" s="368"/>
      <c r="M46" s="368"/>
      <c r="N46" s="368"/>
      <c r="O46" s="368"/>
      <c r="P46" s="368"/>
      <c r="Q46" s="368"/>
      <c r="R46" s="368"/>
      <c r="S46" s="368"/>
      <c r="T46" s="368"/>
      <c r="U46" s="368"/>
      <c r="V46" s="368"/>
      <c r="W46" s="368"/>
      <c r="X46" s="368"/>
      <c r="Y46" s="368"/>
      <c r="Z46" s="368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</row>
    <row r="47" customFormat="false" ht="12.75" hidden="false" customHeight="false" outlineLevel="0" collapsed="false">
      <c r="A47" s="323" t="s">
        <v>293</v>
      </c>
      <c r="B47" s="422"/>
      <c r="C47" s="395"/>
      <c r="D47" s="422"/>
      <c r="E47" s="422" t="n">
        <f aca="false">E43-E45</f>
        <v>0</v>
      </c>
      <c r="F47" s="422" t="n">
        <f aca="false">F43-F45</f>
        <v>4900.68367430404</v>
      </c>
      <c r="G47" s="422" t="n">
        <f aca="false">G43-G45</f>
        <v>3713.18401462302</v>
      </c>
      <c r="H47" s="422" t="n">
        <f aca="false">H43-H45</f>
        <v>3945.28196780889</v>
      </c>
      <c r="I47" s="422" t="n">
        <f aca="false">I43-I45</f>
        <v>13122.5020361283</v>
      </c>
      <c r="J47" s="422" t="n">
        <f aca="false">J43-J45</f>
        <v>13658.3758493282</v>
      </c>
      <c r="K47" s="422" t="n">
        <f aca="false">K43-K45</f>
        <v>14340.4400927509</v>
      </c>
      <c r="L47" s="422" t="n">
        <f aca="false">L43-L45</f>
        <v>15050.4269205124</v>
      </c>
      <c r="M47" s="422" t="n">
        <f aca="false">M43-M45</f>
        <v>16446.6672605407</v>
      </c>
      <c r="N47" s="422" t="n">
        <f aca="false">N43-N45</f>
        <v>17290.0063064819</v>
      </c>
      <c r="O47" s="422" t="n">
        <f aca="false">O43-O45</f>
        <v>18910.132341486</v>
      </c>
      <c r="P47" s="422" t="n">
        <f aca="false">P43-P45</f>
        <v>19827.4937431159</v>
      </c>
      <c r="Q47" s="422" t="n">
        <f aca="false">Q43-Q45</f>
        <v>21393.1909019958</v>
      </c>
      <c r="R47" s="422" t="n">
        <f aca="false">R43-R45</f>
        <v>22305.6079098914</v>
      </c>
      <c r="S47" s="422" t="n">
        <f aca="false">S43-S45</f>
        <v>23257.4236050043</v>
      </c>
      <c r="T47" s="422" t="n">
        <f aca="false">T43-T45</f>
        <v>23944.5599151781</v>
      </c>
      <c r="U47" s="422" t="n">
        <f aca="false">U43-U45</f>
        <v>25006.9621111148</v>
      </c>
      <c r="V47" s="422" t="n">
        <f aca="false">V43-V45</f>
        <v>26095.856888838</v>
      </c>
      <c r="W47" s="422" t="n">
        <f aca="false">W43-W45</f>
        <v>27165.7756713101</v>
      </c>
      <c r="X47" s="422" t="n">
        <f aca="false">X43-X45</f>
        <v>28160.1440655953</v>
      </c>
      <c r="Y47" s="422" t="n">
        <f aca="false">Y43-Y45</f>
        <v>29033.6386160988</v>
      </c>
      <c r="Z47" s="422" t="n">
        <f aca="false">Z43-Z45</f>
        <v>30109.0600878352</v>
      </c>
      <c r="AA47" s="395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395"/>
      <c r="BJ47" s="395"/>
      <c r="BK47" s="395"/>
      <c r="BL47" s="395"/>
      <c r="BM47" s="395"/>
      <c r="BN47" s="395"/>
      <c r="BO47" s="395"/>
      <c r="BP47" s="395"/>
      <c r="BQ47" s="395"/>
      <c r="BR47" s="395"/>
      <c r="BS47" s="395"/>
      <c r="BT47" s="395"/>
      <c r="BU47" s="395"/>
      <c r="BV47" s="395"/>
      <c r="BW47" s="395"/>
      <c r="BX47" s="395"/>
      <c r="BY47" s="395"/>
      <c r="BZ47" s="395"/>
      <c r="CA47" s="395"/>
      <c r="CB47" s="395"/>
      <c r="CC47" s="395"/>
      <c r="CD47" s="395"/>
      <c r="CE47" s="395"/>
      <c r="CF47" s="395"/>
      <c r="CG47" s="395"/>
      <c r="CH47" s="395"/>
      <c r="CI47" s="395"/>
      <c r="CJ47" s="395"/>
      <c r="CK47" s="395"/>
      <c r="CL47" s="395"/>
      <c r="CM47" s="395"/>
      <c r="CN47" s="395"/>
      <c r="CO47" s="395"/>
      <c r="CP47" s="395"/>
      <c r="CQ47" s="395"/>
      <c r="CR47" s="395"/>
      <c r="CS47" s="395"/>
      <c r="CT47" s="395"/>
      <c r="CU47" s="395"/>
      <c r="CV47" s="395"/>
      <c r="CW47" s="395"/>
      <c r="CX47" s="395"/>
      <c r="CY47" s="395"/>
      <c r="CZ47" s="395"/>
      <c r="DA47" s="395"/>
      <c r="DB47" s="395"/>
      <c r="DC47" s="395"/>
      <c r="DD47" s="395"/>
      <c r="DE47" s="395"/>
      <c r="DF47" s="395"/>
      <c r="DG47" s="395"/>
      <c r="DH47" s="395"/>
      <c r="DI47" s="395"/>
      <c r="DJ47" s="395"/>
      <c r="DK47" s="395"/>
      <c r="DL47" s="395"/>
      <c r="DM47" s="395"/>
      <c r="DN47" s="395"/>
      <c r="DO47" s="395"/>
      <c r="DP47" s="395"/>
      <c r="DQ47" s="395"/>
      <c r="DR47" s="395"/>
      <c r="DS47" s="395"/>
      <c r="DT47" s="395"/>
      <c r="DU47" s="395"/>
      <c r="DV47" s="395"/>
      <c r="DW47" s="395"/>
      <c r="DX47" s="395"/>
      <c r="DY47" s="395"/>
      <c r="DZ47" s="395"/>
      <c r="EA47" s="395"/>
      <c r="EB47" s="395"/>
      <c r="EC47" s="395"/>
      <c r="ED47" s="395"/>
      <c r="EE47" s="395"/>
      <c r="EF47" s="395"/>
      <c r="EG47" s="395"/>
      <c r="EH47" s="395"/>
      <c r="EI47" s="395"/>
      <c r="EJ47" s="395"/>
      <c r="EK47" s="395"/>
      <c r="EL47" s="395"/>
      <c r="EM47" s="395"/>
      <c r="EN47" s="395"/>
      <c r="EO47" s="395"/>
      <c r="EP47" s="395"/>
      <c r="EQ47" s="395"/>
      <c r="ER47" s="395"/>
      <c r="ES47" s="395"/>
      <c r="ET47" s="395"/>
      <c r="EU47" s="395"/>
      <c r="EV47" s="395"/>
      <c r="EW47" s="395"/>
      <c r="EX47" s="395"/>
      <c r="EY47" s="395"/>
      <c r="EZ47" s="395"/>
      <c r="FA47" s="395"/>
      <c r="FB47" s="395"/>
      <c r="FC47" s="395"/>
      <c r="FD47" s="395"/>
      <c r="FE47" s="395"/>
      <c r="FF47" s="395"/>
      <c r="FG47" s="395"/>
      <c r="FH47" s="395"/>
      <c r="FI47" s="395"/>
      <c r="FJ47" s="395"/>
      <c r="FK47" s="395"/>
      <c r="FL47" s="395"/>
      <c r="FM47" s="395"/>
      <c r="FN47" s="395"/>
      <c r="FO47" s="395"/>
      <c r="FP47" s="395"/>
      <c r="FQ47" s="395"/>
      <c r="FR47" s="395"/>
      <c r="FS47" s="395"/>
      <c r="FT47" s="395"/>
      <c r="FU47" s="395"/>
      <c r="FV47" s="395"/>
      <c r="FW47" s="395"/>
      <c r="FX47" s="395"/>
      <c r="FY47" s="395"/>
      <c r="FZ47" s="395"/>
      <c r="GA47" s="395"/>
      <c r="GB47" s="395"/>
      <c r="GC47" s="395"/>
      <c r="GD47" s="395"/>
      <c r="GE47" s="395"/>
      <c r="GF47" s="395"/>
      <c r="GG47" s="395"/>
      <c r="GH47" s="395"/>
      <c r="GI47" s="395"/>
      <c r="GJ47" s="395"/>
      <c r="GK47" s="395"/>
      <c r="GL47" s="395"/>
      <c r="GM47" s="395"/>
      <c r="GN47" s="395"/>
      <c r="GO47" s="395"/>
      <c r="GP47" s="395"/>
      <c r="GQ47" s="395"/>
      <c r="GR47" s="395"/>
      <c r="GS47" s="395"/>
      <c r="GT47" s="395"/>
      <c r="GU47" s="395"/>
      <c r="GV47" s="395"/>
      <c r="GW47" s="395"/>
      <c r="GX47" s="395"/>
      <c r="GY47" s="395"/>
      <c r="GZ47" s="395"/>
      <c r="HA47" s="395"/>
      <c r="HB47" s="395"/>
      <c r="HC47" s="395"/>
      <c r="HD47" s="395"/>
      <c r="HE47" s="395"/>
      <c r="HF47" s="395"/>
      <c r="HG47" s="395"/>
      <c r="HH47" s="395"/>
      <c r="HI47" s="395"/>
      <c r="HJ47" s="395"/>
      <c r="HK47" s="395"/>
      <c r="HL47" s="395"/>
      <c r="HM47" s="395"/>
      <c r="HN47" s="395"/>
      <c r="HO47" s="395"/>
      <c r="HP47" s="395"/>
      <c r="HQ47" s="395"/>
      <c r="HR47" s="395"/>
      <c r="HS47" s="395"/>
      <c r="HT47" s="395"/>
      <c r="HU47" s="395"/>
      <c r="HV47" s="395"/>
      <c r="HW47" s="395"/>
      <c r="HX47" s="395"/>
      <c r="HY47" s="395"/>
      <c r="HZ47" s="395"/>
      <c r="IA47" s="395"/>
      <c r="IB47" s="395"/>
      <c r="IC47" s="395"/>
      <c r="ID47" s="395"/>
      <c r="IE47" s="395"/>
      <c r="IF47" s="395"/>
      <c r="IG47" s="395"/>
      <c r="IH47" s="395"/>
      <c r="II47" s="395"/>
      <c r="IJ47" s="395"/>
      <c r="IK47" s="395"/>
      <c r="IL47" s="395"/>
      <c r="IM47" s="395"/>
      <c r="IN47" s="395"/>
      <c r="IO47" s="395"/>
      <c r="IP47" s="395"/>
      <c r="IQ47" s="395"/>
      <c r="IR47" s="395"/>
      <c r="IS47" s="395"/>
      <c r="IT47" s="395"/>
      <c r="IU47" s="395"/>
      <c r="IV47" s="395"/>
      <c r="IW47" s="395"/>
    </row>
    <row r="48" customFormat="false" ht="12.75" hidden="false" customHeight="false" outlineLevel="0" collapsed="false">
      <c r="A48" s="323"/>
      <c r="B48" s="323"/>
      <c r="C48" s="395"/>
      <c r="D48" s="422"/>
      <c r="E48" s="422"/>
      <c r="F48" s="422"/>
      <c r="G48" s="422"/>
      <c r="H48" s="422"/>
      <c r="I48" s="422"/>
      <c r="J48" s="422"/>
      <c r="K48" s="422"/>
      <c r="L48" s="422"/>
      <c r="M48" s="422"/>
      <c r="N48" s="422"/>
      <c r="O48" s="422"/>
      <c r="P48" s="422"/>
      <c r="Q48" s="422"/>
      <c r="R48" s="422"/>
      <c r="S48" s="422"/>
      <c r="T48" s="422"/>
      <c r="U48" s="422"/>
      <c r="V48" s="422"/>
      <c r="W48" s="422"/>
      <c r="X48" s="422"/>
      <c r="Y48" s="422"/>
      <c r="Z48" s="422"/>
      <c r="AA48" s="395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395"/>
      <c r="BJ48" s="395"/>
      <c r="BK48" s="395"/>
      <c r="BL48" s="395"/>
      <c r="BM48" s="395"/>
      <c r="BN48" s="395"/>
      <c r="BO48" s="395"/>
      <c r="BP48" s="395"/>
      <c r="BQ48" s="395"/>
      <c r="BR48" s="395"/>
      <c r="BS48" s="395"/>
      <c r="BT48" s="395"/>
      <c r="BU48" s="395"/>
      <c r="BV48" s="395"/>
      <c r="BW48" s="395"/>
      <c r="BX48" s="395"/>
      <c r="BY48" s="395"/>
      <c r="BZ48" s="395"/>
      <c r="CA48" s="395"/>
      <c r="CB48" s="395"/>
      <c r="CC48" s="395"/>
      <c r="CD48" s="395"/>
      <c r="CE48" s="395"/>
      <c r="CF48" s="395"/>
      <c r="CG48" s="395"/>
      <c r="CH48" s="395"/>
      <c r="CI48" s="395"/>
      <c r="CJ48" s="395"/>
      <c r="CK48" s="395"/>
      <c r="CL48" s="395"/>
      <c r="CM48" s="395"/>
      <c r="CN48" s="395"/>
      <c r="CO48" s="395"/>
      <c r="CP48" s="395"/>
      <c r="CQ48" s="395"/>
      <c r="CR48" s="395"/>
      <c r="CS48" s="395"/>
      <c r="CT48" s="395"/>
      <c r="CU48" s="395"/>
      <c r="CV48" s="395"/>
      <c r="CW48" s="395"/>
      <c r="CX48" s="395"/>
      <c r="CY48" s="395"/>
      <c r="CZ48" s="395"/>
      <c r="DA48" s="395"/>
      <c r="DB48" s="395"/>
      <c r="DC48" s="395"/>
      <c r="DD48" s="395"/>
      <c r="DE48" s="395"/>
      <c r="DF48" s="395"/>
      <c r="DG48" s="395"/>
      <c r="DH48" s="395"/>
      <c r="DI48" s="395"/>
      <c r="DJ48" s="395"/>
      <c r="DK48" s="395"/>
      <c r="DL48" s="395"/>
      <c r="DM48" s="395"/>
      <c r="DN48" s="395"/>
      <c r="DO48" s="395"/>
      <c r="DP48" s="395"/>
      <c r="DQ48" s="395"/>
      <c r="DR48" s="395"/>
      <c r="DS48" s="395"/>
      <c r="DT48" s="395"/>
      <c r="DU48" s="395"/>
      <c r="DV48" s="395"/>
      <c r="DW48" s="395"/>
      <c r="DX48" s="395"/>
      <c r="DY48" s="395"/>
      <c r="DZ48" s="395"/>
      <c r="EA48" s="395"/>
      <c r="EB48" s="395"/>
      <c r="EC48" s="395"/>
      <c r="ED48" s="395"/>
      <c r="EE48" s="395"/>
      <c r="EF48" s="395"/>
      <c r="EG48" s="395"/>
      <c r="EH48" s="395"/>
      <c r="EI48" s="395"/>
      <c r="EJ48" s="395"/>
      <c r="EK48" s="395"/>
      <c r="EL48" s="395"/>
      <c r="EM48" s="395"/>
      <c r="EN48" s="395"/>
      <c r="EO48" s="395"/>
      <c r="EP48" s="395"/>
      <c r="EQ48" s="395"/>
      <c r="ER48" s="395"/>
      <c r="ES48" s="395"/>
      <c r="ET48" s="395"/>
      <c r="EU48" s="395"/>
      <c r="EV48" s="395"/>
      <c r="EW48" s="395"/>
      <c r="EX48" s="395"/>
      <c r="EY48" s="395"/>
      <c r="EZ48" s="395"/>
      <c r="FA48" s="395"/>
      <c r="FB48" s="395"/>
      <c r="FC48" s="395"/>
      <c r="FD48" s="395"/>
      <c r="FE48" s="395"/>
      <c r="FF48" s="395"/>
      <c r="FG48" s="395"/>
      <c r="FH48" s="395"/>
      <c r="FI48" s="395"/>
      <c r="FJ48" s="395"/>
      <c r="FK48" s="395"/>
      <c r="FL48" s="395"/>
      <c r="FM48" s="395"/>
      <c r="FN48" s="395"/>
      <c r="FO48" s="395"/>
      <c r="FP48" s="395"/>
      <c r="FQ48" s="395"/>
      <c r="FR48" s="395"/>
      <c r="FS48" s="395"/>
      <c r="FT48" s="395"/>
      <c r="FU48" s="395"/>
      <c r="FV48" s="395"/>
      <c r="FW48" s="395"/>
      <c r="FX48" s="395"/>
      <c r="FY48" s="395"/>
      <c r="FZ48" s="395"/>
      <c r="GA48" s="395"/>
      <c r="GB48" s="395"/>
      <c r="GC48" s="395"/>
      <c r="GD48" s="395"/>
      <c r="GE48" s="395"/>
      <c r="GF48" s="395"/>
      <c r="GG48" s="395"/>
      <c r="GH48" s="395"/>
      <c r="GI48" s="395"/>
      <c r="GJ48" s="395"/>
      <c r="GK48" s="395"/>
      <c r="GL48" s="395"/>
      <c r="GM48" s="395"/>
      <c r="GN48" s="395"/>
      <c r="GO48" s="395"/>
      <c r="GP48" s="395"/>
      <c r="GQ48" s="395"/>
      <c r="GR48" s="395"/>
      <c r="GS48" s="395"/>
      <c r="GT48" s="395"/>
      <c r="GU48" s="395"/>
      <c r="GV48" s="395"/>
      <c r="GW48" s="395"/>
      <c r="GX48" s="395"/>
      <c r="GY48" s="395"/>
      <c r="GZ48" s="395"/>
      <c r="HA48" s="395"/>
      <c r="HB48" s="395"/>
      <c r="HC48" s="395"/>
      <c r="HD48" s="395"/>
      <c r="HE48" s="395"/>
      <c r="HF48" s="395"/>
      <c r="HG48" s="395"/>
      <c r="HH48" s="395"/>
      <c r="HI48" s="395"/>
      <c r="HJ48" s="395"/>
      <c r="HK48" s="395"/>
      <c r="HL48" s="395"/>
      <c r="HM48" s="395"/>
      <c r="HN48" s="395"/>
      <c r="HO48" s="395"/>
      <c r="HP48" s="395"/>
      <c r="HQ48" s="395"/>
      <c r="HR48" s="395"/>
      <c r="HS48" s="395"/>
      <c r="HT48" s="395"/>
      <c r="HU48" s="395"/>
      <c r="HV48" s="395"/>
      <c r="HW48" s="395"/>
      <c r="HX48" s="395"/>
      <c r="HY48" s="395"/>
      <c r="HZ48" s="395"/>
      <c r="IA48" s="395"/>
      <c r="IB48" s="395"/>
      <c r="IC48" s="395"/>
      <c r="ID48" s="395"/>
      <c r="IE48" s="395"/>
      <c r="IF48" s="395"/>
      <c r="IG48" s="395"/>
      <c r="IH48" s="395"/>
      <c r="II48" s="395"/>
      <c r="IJ48" s="395"/>
      <c r="IK48" s="395"/>
      <c r="IL48" s="395"/>
      <c r="IM48" s="395"/>
      <c r="IN48" s="395"/>
      <c r="IO48" s="395"/>
      <c r="IP48" s="395"/>
      <c r="IQ48" s="395"/>
      <c r="IR48" s="395"/>
      <c r="IS48" s="395"/>
      <c r="IT48" s="395"/>
      <c r="IU48" s="395"/>
      <c r="IV48" s="395"/>
      <c r="IW48" s="395"/>
    </row>
    <row r="49" customFormat="false" ht="12.75" hidden="false" customHeight="false" outlineLevel="0" collapsed="false">
      <c r="A49" s="327" t="s">
        <v>294</v>
      </c>
      <c r="C49" s="659" t="n">
        <f aca="false">Assumptions!L$44</f>
        <v>0.06</v>
      </c>
      <c r="D49" s="115"/>
      <c r="E49" s="115" t="n">
        <f aca="false">E47*-$C$49</f>
        <v>-0</v>
      </c>
      <c r="F49" s="115" t="n">
        <f aca="false">F47*-$C$49</f>
        <v>-294.041020458242</v>
      </c>
      <c r="G49" s="115" t="n">
        <f aca="false">G47*-$C$49</f>
        <v>-222.791040877381</v>
      </c>
      <c r="H49" s="417" t="n">
        <f aca="false">H47*-$C$49</f>
        <v>-236.716918068534</v>
      </c>
      <c r="I49" s="115" t="n">
        <f aca="false">I47*-$C$49</f>
        <v>-787.350122167699</v>
      </c>
      <c r="J49" s="115" t="n">
        <f aca="false">J47*-$C$49</f>
        <v>-819.50255095969</v>
      </c>
      <c r="K49" s="115" t="n">
        <f aca="false">K47*-$C$49</f>
        <v>-860.426405565051</v>
      </c>
      <c r="L49" s="115" t="n">
        <f aca="false">L47*-$C$49</f>
        <v>-903.025615230743</v>
      </c>
      <c r="M49" s="115" t="n">
        <f aca="false">M47*-$C$49</f>
        <v>-986.80003563244</v>
      </c>
      <c r="N49" s="115" t="n">
        <f aca="false">N47*-$C$49</f>
        <v>-1037.40037838891</v>
      </c>
      <c r="O49" s="115" t="n">
        <f aca="false">O47*-$C$49</f>
        <v>-1134.60794048916</v>
      </c>
      <c r="P49" s="115" t="n">
        <f aca="false">P47*-$C$49</f>
        <v>-1189.64962458695</v>
      </c>
      <c r="Q49" s="115" t="n">
        <f aca="false">Q47*-$C$49</f>
        <v>-1283.59145411975</v>
      </c>
      <c r="R49" s="115" t="n">
        <f aca="false">R47*-$C$49</f>
        <v>-1338.33647459349</v>
      </c>
      <c r="S49" s="115" t="n">
        <f aca="false">S47*-$C$49</f>
        <v>-1395.44541630026</v>
      </c>
      <c r="T49" s="115" t="n">
        <f aca="false">T47*-$C$49</f>
        <v>-1436.67359491068</v>
      </c>
      <c r="U49" s="115" t="n">
        <f aca="false">U47*-$C$49</f>
        <v>-1500.41772666689</v>
      </c>
      <c r="V49" s="115" t="n">
        <f aca="false">V47*-$C$49</f>
        <v>-1565.75141333028</v>
      </c>
      <c r="W49" s="115" t="n">
        <f aca="false">W47*-$C$49</f>
        <v>-1629.9465402786</v>
      </c>
      <c r="X49" s="115" t="n">
        <f aca="false">X47*-$C$49</f>
        <v>-1689.60864393572</v>
      </c>
      <c r="Y49" s="115" t="n">
        <f aca="false">Y47*-$C$49</f>
        <v>-1742.01831696593</v>
      </c>
      <c r="Z49" s="115" t="n">
        <f aca="false">Z47*-$C$49</f>
        <v>-1806.54360527011</v>
      </c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</row>
    <row r="50" customFormat="false" ht="12.75" hidden="false" customHeight="false" outlineLevel="0" collapsed="false">
      <c r="A50" s="327" t="s">
        <v>295</v>
      </c>
      <c r="C50" s="659" t="n">
        <f aca="false">Assumptions!L$43</f>
        <v>0.35</v>
      </c>
      <c r="D50" s="660"/>
      <c r="E50" s="660" t="n">
        <f aca="false">(E47+E49)*-$C$50</f>
        <v>-0</v>
      </c>
      <c r="F50" s="660" t="n">
        <f aca="false">(F47+F49)*-$C$50</f>
        <v>-1612.32492884603</v>
      </c>
      <c r="G50" s="660" t="n">
        <f aca="false">(G47+G49)*-$C$50</f>
        <v>-1221.63754081097</v>
      </c>
      <c r="H50" s="660" t="n">
        <f aca="false">(H47+H49)*-$C$50</f>
        <v>-1297.99776740913</v>
      </c>
      <c r="I50" s="660" t="n">
        <f aca="false">(I47+I49)*-$C$50</f>
        <v>-4317.30316988621</v>
      </c>
      <c r="J50" s="660" t="n">
        <f aca="false">(J47+J49)*-$C$50</f>
        <v>-4493.60565442897</v>
      </c>
      <c r="K50" s="660" t="n">
        <f aca="false">(K47+K49)*-$C$50</f>
        <v>-4718.00479051503</v>
      </c>
      <c r="L50" s="660" t="n">
        <f aca="false">(L47+L49)*-$C$50</f>
        <v>-4951.59045684857</v>
      </c>
      <c r="M50" s="660" t="n">
        <f aca="false">(M47+M49)*-$C$50</f>
        <v>-5410.95352871788</v>
      </c>
      <c r="N50" s="660" t="n">
        <f aca="false">(N47+N49)*-$C$50</f>
        <v>-5688.41207483253</v>
      </c>
      <c r="O50" s="660" t="n">
        <f aca="false">(O47+O49)*-$C$50</f>
        <v>-6221.43354034888</v>
      </c>
      <c r="P50" s="660" t="n">
        <f aca="false">(P47+P49)*-$C$50</f>
        <v>-6523.24544148514</v>
      </c>
      <c r="Q50" s="660" t="n">
        <f aca="false">(Q47+Q49)*-$C$50</f>
        <v>-7038.35980675661</v>
      </c>
      <c r="R50" s="660" t="n">
        <f aca="false">(R47+R49)*-$C$50</f>
        <v>-7338.54500235428</v>
      </c>
      <c r="S50" s="660" t="n">
        <f aca="false">(S47+S49)*-$C$50</f>
        <v>-7651.69236604641</v>
      </c>
      <c r="T50" s="660" t="n">
        <f aca="false">(T47+T49)*-$C$50</f>
        <v>-7877.76021209358</v>
      </c>
      <c r="U50" s="660" t="n">
        <f aca="false">(U47+U49)*-$C$50</f>
        <v>-8227.29053455678</v>
      </c>
      <c r="V50" s="660" t="n">
        <f aca="false">(V47+V49)*-$C$50</f>
        <v>-8585.5369164277</v>
      </c>
      <c r="W50" s="660" t="n">
        <f aca="false">(W47+W49)*-$C$50</f>
        <v>-8937.54019586101</v>
      </c>
      <c r="X50" s="660" t="n">
        <f aca="false">(X47+X49)*-$C$50</f>
        <v>-9264.68739758085</v>
      </c>
      <c r="Y50" s="660" t="n">
        <f aca="false">(Y47+Y49)*-$C$50</f>
        <v>-9552.0671046965</v>
      </c>
      <c r="Z50" s="660" t="n">
        <f aca="false">(Z47+Z49)*-$C$50</f>
        <v>-9905.88076889777</v>
      </c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</row>
    <row r="51" customFormat="false" ht="6" hidden="false" customHeight="true" outlineLevel="0" collapsed="false">
      <c r="C51" s="0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115"/>
      <c r="R51" s="115"/>
      <c r="S51" s="115"/>
      <c r="T51" s="115"/>
      <c r="U51" s="115"/>
      <c r="V51" s="115"/>
      <c r="W51" s="115"/>
      <c r="X51" s="115"/>
      <c r="Y51" s="115"/>
      <c r="Z51" s="115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</row>
    <row r="52" customFormat="false" ht="15.75" hidden="false" customHeight="false" outlineLevel="0" collapsed="false">
      <c r="A52" s="344" t="s">
        <v>458</v>
      </c>
      <c r="B52" s="344"/>
      <c r="C52" s="344"/>
      <c r="D52" s="661"/>
      <c r="E52" s="661" t="n">
        <f aca="false">SUM(E47:E50)</f>
        <v>0</v>
      </c>
      <c r="F52" s="661" t="n">
        <f aca="false">SUM(F47:F50)</f>
        <v>2994.31772499977</v>
      </c>
      <c r="G52" s="661" t="n">
        <f aca="false">SUM(G47:G50)</f>
        <v>2268.75543293467</v>
      </c>
      <c r="H52" s="661" t="n">
        <f aca="false">SUM(H47:H50)</f>
        <v>2410.56728233123</v>
      </c>
      <c r="I52" s="661" t="n">
        <f aca="false">SUM(I47:I50)</f>
        <v>8017.8487440744</v>
      </c>
      <c r="J52" s="661" t="n">
        <f aca="false">SUM(J47:J50)</f>
        <v>8345.26764393951</v>
      </c>
      <c r="K52" s="661" t="n">
        <f aca="false">SUM(K47:K50)</f>
        <v>8762.00889667077</v>
      </c>
      <c r="L52" s="661" t="n">
        <f aca="false">SUM(L47:L50)</f>
        <v>9195.81084843306</v>
      </c>
      <c r="M52" s="661" t="n">
        <f aca="false">SUM(M47:M50)</f>
        <v>10048.9136961904</v>
      </c>
      <c r="N52" s="661" t="n">
        <f aca="false">SUM(N47:N50)</f>
        <v>10564.1938532604</v>
      </c>
      <c r="O52" s="661" t="n">
        <f aca="false">SUM(O47:O50)</f>
        <v>11554.0908606479</v>
      </c>
      <c r="P52" s="661" t="n">
        <f aca="false">SUM(P47:P50)</f>
        <v>12114.5986770438</v>
      </c>
      <c r="Q52" s="661" t="n">
        <f aca="false">SUM(Q47:Q50)</f>
        <v>13071.2396411194</v>
      </c>
      <c r="R52" s="661" t="n">
        <f aca="false">SUM(R47:R50)</f>
        <v>13628.7264329437</v>
      </c>
      <c r="S52" s="661" t="n">
        <f aca="false">SUM(S47:S50)</f>
        <v>14210.2858226576</v>
      </c>
      <c r="T52" s="661" t="n">
        <f aca="false">SUM(T47:T50)</f>
        <v>14630.1261081738</v>
      </c>
      <c r="U52" s="661" t="n">
        <f aca="false">SUM(U47:U50)</f>
        <v>15279.2538498912</v>
      </c>
      <c r="V52" s="661" t="n">
        <f aca="false">SUM(V47:V50)</f>
        <v>15944.56855908</v>
      </c>
      <c r="W52" s="661" t="n">
        <f aca="false">SUM(W47:W50)</f>
        <v>16598.2889351705</v>
      </c>
      <c r="X52" s="661" t="n">
        <f aca="false">SUM(X47:X50)</f>
        <v>17205.8480240787</v>
      </c>
      <c r="Y52" s="661" t="n">
        <f aca="false">SUM(Y47:Y50)</f>
        <v>17739.5531944364</v>
      </c>
      <c r="Z52" s="661" t="n">
        <f aca="false">SUM(Z47:Z50)</f>
        <v>18396.6357136673</v>
      </c>
      <c r="AA52" s="662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662"/>
      <c r="BJ52" s="662"/>
      <c r="BK52" s="662"/>
      <c r="BL52" s="662"/>
      <c r="BM52" s="662"/>
      <c r="BN52" s="662"/>
      <c r="BO52" s="662"/>
      <c r="BP52" s="662"/>
      <c r="BQ52" s="662"/>
      <c r="BR52" s="662"/>
      <c r="BS52" s="662"/>
      <c r="BT52" s="662"/>
      <c r="BU52" s="662"/>
      <c r="BV52" s="662"/>
      <c r="BW52" s="662"/>
      <c r="BX52" s="662"/>
      <c r="BY52" s="662"/>
      <c r="BZ52" s="662"/>
      <c r="CA52" s="662"/>
      <c r="CB52" s="662"/>
      <c r="CC52" s="662"/>
      <c r="CD52" s="662"/>
      <c r="CE52" s="662"/>
      <c r="CF52" s="662"/>
      <c r="CG52" s="662"/>
      <c r="CH52" s="662"/>
      <c r="CI52" s="662"/>
      <c r="CJ52" s="662"/>
      <c r="CK52" s="662"/>
      <c r="CL52" s="662"/>
      <c r="CM52" s="662"/>
      <c r="CN52" s="662"/>
      <c r="CO52" s="662"/>
      <c r="CP52" s="662"/>
      <c r="CQ52" s="662"/>
      <c r="CR52" s="662"/>
      <c r="CS52" s="662"/>
      <c r="CT52" s="662"/>
      <c r="CU52" s="662"/>
      <c r="CV52" s="662"/>
      <c r="CW52" s="662"/>
      <c r="CX52" s="662"/>
      <c r="CY52" s="662"/>
      <c r="CZ52" s="662"/>
      <c r="DA52" s="662"/>
      <c r="DB52" s="662"/>
      <c r="DC52" s="662"/>
      <c r="DD52" s="662"/>
      <c r="DE52" s="662"/>
      <c r="DF52" s="662"/>
      <c r="DG52" s="662"/>
      <c r="DH52" s="662"/>
      <c r="DI52" s="662"/>
      <c r="DJ52" s="662"/>
      <c r="DK52" s="662"/>
      <c r="DL52" s="662"/>
      <c r="DM52" s="662"/>
      <c r="DN52" s="662"/>
      <c r="DO52" s="662"/>
      <c r="DP52" s="662"/>
      <c r="DQ52" s="662"/>
      <c r="DR52" s="662"/>
      <c r="DS52" s="662"/>
      <c r="DT52" s="662"/>
      <c r="DU52" s="662"/>
      <c r="DV52" s="662"/>
      <c r="DW52" s="662"/>
      <c r="DX52" s="662"/>
      <c r="DY52" s="662"/>
      <c r="DZ52" s="662"/>
      <c r="EA52" s="662"/>
      <c r="EB52" s="662"/>
      <c r="EC52" s="662"/>
      <c r="ED52" s="662"/>
      <c r="EE52" s="662"/>
      <c r="EF52" s="662"/>
      <c r="EG52" s="662"/>
      <c r="EH52" s="662"/>
      <c r="EI52" s="662"/>
      <c r="EJ52" s="662"/>
      <c r="EK52" s="662"/>
      <c r="EL52" s="662"/>
      <c r="EM52" s="662"/>
      <c r="EN52" s="662"/>
      <c r="EO52" s="662"/>
      <c r="EP52" s="662"/>
      <c r="EQ52" s="662"/>
      <c r="ER52" s="662"/>
      <c r="ES52" s="662"/>
      <c r="ET52" s="662"/>
      <c r="EU52" s="662"/>
      <c r="EV52" s="662"/>
      <c r="EW52" s="662"/>
      <c r="EX52" s="662"/>
      <c r="EY52" s="662"/>
      <c r="EZ52" s="662"/>
      <c r="FA52" s="662"/>
      <c r="FB52" s="662"/>
      <c r="FC52" s="662"/>
      <c r="FD52" s="662"/>
      <c r="FE52" s="662"/>
      <c r="FF52" s="662"/>
      <c r="FG52" s="662"/>
      <c r="FH52" s="662"/>
      <c r="FI52" s="662"/>
      <c r="FJ52" s="662"/>
      <c r="FK52" s="662"/>
      <c r="FL52" s="662"/>
      <c r="FM52" s="662"/>
      <c r="FN52" s="662"/>
      <c r="FO52" s="662"/>
      <c r="FP52" s="662"/>
      <c r="FQ52" s="662"/>
      <c r="FR52" s="662"/>
      <c r="FS52" s="662"/>
      <c r="FT52" s="662"/>
      <c r="FU52" s="662"/>
      <c r="FV52" s="662"/>
      <c r="FW52" s="662"/>
      <c r="FX52" s="662"/>
      <c r="FY52" s="662"/>
      <c r="FZ52" s="662"/>
      <c r="GA52" s="662"/>
      <c r="GB52" s="662"/>
      <c r="GC52" s="662"/>
      <c r="GD52" s="662"/>
      <c r="GE52" s="662"/>
      <c r="GF52" s="662"/>
      <c r="GG52" s="662"/>
      <c r="GH52" s="662"/>
      <c r="GI52" s="662"/>
      <c r="GJ52" s="662"/>
      <c r="GK52" s="662"/>
      <c r="GL52" s="662"/>
      <c r="GM52" s="662"/>
      <c r="GN52" s="662"/>
      <c r="GO52" s="662"/>
      <c r="GP52" s="662"/>
      <c r="GQ52" s="662"/>
      <c r="GR52" s="662"/>
      <c r="GS52" s="662"/>
      <c r="GT52" s="662"/>
      <c r="GU52" s="662"/>
      <c r="GV52" s="662"/>
      <c r="GW52" s="662"/>
      <c r="GX52" s="662"/>
      <c r="GY52" s="662"/>
      <c r="GZ52" s="662"/>
      <c r="HA52" s="662"/>
      <c r="HB52" s="662"/>
      <c r="HC52" s="662"/>
      <c r="HD52" s="662"/>
      <c r="HE52" s="662"/>
      <c r="HF52" s="662"/>
      <c r="HG52" s="662"/>
      <c r="HH52" s="662"/>
      <c r="HI52" s="662"/>
      <c r="HJ52" s="662"/>
      <c r="HK52" s="662"/>
      <c r="HL52" s="662"/>
      <c r="HM52" s="662"/>
      <c r="HN52" s="662"/>
      <c r="HO52" s="662"/>
      <c r="HP52" s="662"/>
      <c r="HQ52" s="662"/>
      <c r="HR52" s="662"/>
      <c r="HS52" s="662"/>
      <c r="HT52" s="662"/>
      <c r="HU52" s="662"/>
      <c r="HV52" s="662"/>
      <c r="HW52" s="662"/>
      <c r="HX52" s="662"/>
      <c r="HY52" s="662"/>
      <c r="HZ52" s="662"/>
      <c r="IA52" s="662"/>
      <c r="IB52" s="662"/>
      <c r="IC52" s="662"/>
      <c r="ID52" s="662"/>
      <c r="IE52" s="662"/>
      <c r="IF52" s="662"/>
      <c r="IG52" s="662"/>
      <c r="IH52" s="662"/>
      <c r="II52" s="662"/>
      <c r="IJ52" s="662"/>
      <c r="IK52" s="662"/>
      <c r="IL52" s="662"/>
      <c r="IM52" s="662"/>
      <c r="IN52" s="662"/>
      <c r="IO52" s="662"/>
      <c r="IP52" s="662"/>
      <c r="IQ52" s="662"/>
      <c r="IR52" s="662"/>
      <c r="IS52" s="662"/>
      <c r="IT52" s="662"/>
      <c r="IU52" s="662"/>
      <c r="IV52" s="662"/>
      <c r="IW52" s="662"/>
    </row>
    <row r="53" customFormat="false" ht="12.75" hidden="false" customHeight="false" outlineLevel="0" collapsed="false">
      <c r="A53" s="331"/>
      <c r="B53" s="654" t="n">
        <f aca="false">SUM(I53:Z53)</f>
        <v>0</v>
      </c>
      <c r="C53" s="654"/>
      <c r="D53" s="331"/>
      <c r="E53" s="331"/>
      <c r="F53" s="663"/>
      <c r="G53" s="663"/>
      <c r="H53" s="663"/>
      <c r="I53" s="663"/>
      <c r="J53" s="663"/>
      <c r="K53" s="663"/>
      <c r="L53" s="663"/>
      <c r="M53" s="663"/>
      <c r="N53" s="663"/>
      <c r="O53" s="663"/>
      <c r="P53" s="663"/>
      <c r="Q53" s="663"/>
      <c r="R53" s="663"/>
      <c r="S53" s="663"/>
      <c r="T53" s="663"/>
      <c r="U53" s="663"/>
      <c r="V53" s="663"/>
      <c r="W53" s="663"/>
      <c r="X53" s="663"/>
      <c r="Y53" s="663"/>
      <c r="Z53" s="663"/>
      <c r="AA53" s="653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653"/>
      <c r="BJ53" s="653"/>
      <c r="BK53" s="653"/>
      <c r="BL53" s="653"/>
      <c r="BM53" s="653"/>
      <c r="BN53" s="653"/>
      <c r="BO53" s="653"/>
      <c r="BP53" s="653"/>
      <c r="BQ53" s="653"/>
      <c r="BR53" s="653"/>
      <c r="BS53" s="653"/>
      <c r="BT53" s="653"/>
      <c r="BU53" s="653"/>
      <c r="BV53" s="653"/>
      <c r="BW53" s="653"/>
      <c r="BX53" s="653"/>
      <c r="BY53" s="653"/>
      <c r="BZ53" s="653"/>
      <c r="CA53" s="653"/>
      <c r="CB53" s="653"/>
      <c r="CC53" s="653"/>
      <c r="CD53" s="653"/>
      <c r="CE53" s="653"/>
      <c r="CF53" s="653"/>
      <c r="CG53" s="653"/>
      <c r="CH53" s="653"/>
      <c r="CI53" s="653"/>
      <c r="CJ53" s="653"/>
      <c r="CK53" s="653"/>
      <c r="CL53" s="653"/>
      <c r="CM53" s="653"/>
      <c r="CN53" s="653"/>
      <c r="CO53" s="653"/>
      <c r="CP53" s="653"/>
      <c r="CQ53" s="653"/>
      <c r="CR53" s="653"/>
      <c r="CS53" s="653"/>
      <c r="CT53" s="653"/>
      <c r="CU53" s="653"/>
      <c r="CV53" s="653"/>
      <c r="CW53" s="653"/>
      <c r="CX53" s="653"/>
      <c r="CY53" s="653"/>
      <c r="CZ53" s="653"/>
      <c r="DA53" s="653"/>
      <c r="DB53" s="653"/>
      <c r="DC53" s="653"/>
      <c r="DD53" s="653"/>
      <c r="DE53" s="653"/>
      <c r="DF53" s="653"/>
      <c r="DG53" s="653"/>
      <c r="DH53" s="653"/>
      <c r="DI53" s="653"/>
      <c r="DJ53" s="653"/>
      <c r="DK53" s="653"/>
      <c r="DL53" s="653"/>
      <c r="DM53" s="653"/>
      <c r="DN53" s="653"/>
      <c r="DO53" s="653"/>
      <c r="DP53" s="653"/>
      <c r="DQ53" s="653"/>
      <c r="DR53" s="653"/>
      <c r="DS53" s="653"/>
      <c r="DT53" s="653"/>
      <c r="DU53" s="653"/>
      <c r="DV53" s="653"/>
      <c r="DW53" s="653"/>
      <c r="DX53" s="653"/>
      <c r="DY53" s="653"/>
      <c r="DZ53" s="653"/>
      <c r="EA53" s="653"/>
      <c r="EB53" s="653"/>
      <c r="EC53" s="653"/>
      <c r="ED53" s="653"/>
      <c r="EE53" s="653"/>
      <c r="EF53" s="653"/>
      <c r="EG53" s="653"/>
      <c r="EH53" s="653"/>
      <c r="EI53" s="653"/>
      <c r="EJ53" s="653"/>
      <c r="EK53" s="653"/>
      <c r="EL53" s="653"/>
      <c r="EM53" s="653"/>
      <c r="EN53" s="653"/>
      <c r="EO53" s="653"/>
      <c r="EP53" s="653"/>
      <c r="EQ53" s="653"/>
      <c r="ER53" s="653"/>
      <c r="ES53" s="653"/>
      <c r="ET53" s="653"/>
      <c r="EU53" s="653"/>
      <c r="EV53" s="653"/>
      <c r="EW53" s="653"/>
      <c r="EX53" s="653"/>
      <c r="EY53" s="653"/>
      <c r="EZ53" s="653"/>
      <c r="FA53" s="653"/>
      <c r="FB53" s="653"/>
      <c r="FC53" s="653"/>
      <c r="FD53" s="653"/>
      <c r="FE53" s="653"/>
      <c r="FF53" s="653"/>
      <c r="FG53" s="653"/>
      <c r="FH53" s="653"/>
      <c r="FI53" s="653"/>
      <c r="FJ53" s="653"/>
      <c r="FK53" s="653"/>
      <c r="FL53" s="653"/>
      <c r="FM53" s="653"/>
      <c r="FN53" s="653"/>
      <c r="FO53" s="653"/>
      <c r="FP53" s="653"/>
      <c r="FQ53" s="653"/>
      <c r="FR53" s="653"/>
      <c r="FS53" s="653"/>
      <c r="FT53" s="653"/>
      <c r="FU53" s="653"/>
      <c r="FV53" s="653"/>
      <c r="FW53" s="653"/>
      <c r="FX53" s="653"/>
      <c r="FY53" s="653"/>
      <c r="FZ53" s="653"/>
      <c r="GA53" s="653"/>
      <c r="GB53" s="653"/>
      <c r="GC53" s="653"/>
      <c r="GD53" s="653"/>
      <c r="GE53" s="653"/>
      <c r="GF53" s="653"/>
      <c r="GG53" s="653"/>
      <c r="GH53" s="653"/>
      <c r="GI53" s="653"/>
      <c r="GJ53" s="653"/>
      <c r="GK53" s="653"/>
      <c r="GL53" s="653"/>
      <c r="GM53" s="653"/>
      <c r="GN53" s="653"/>
      <c r="GO53" s="653"/>
      <c r="GP53" s="653"/>
      <c r="GQ53" s="653"/>
      <c r="GR53" s="653"/>
      <c r="GS53" s="653"/>
      <c r="GT53" s="653"/>
      <c r="GU53" s="653"/>
      <c r="GV53" s="653"/>
      <c r="GW53" s="653"/>
      <c r="GX53" s="653"/>
      <c r="GY53" s="653"/>
      <c r="GZ53" s="653"/>
      <c r="HA53" s="653"/>
      <c r="HB53" s="653"/>
      <c r="HC53" s="653"/>
      <c r="HD53" s="653"/>
      <c r="HE53" s="653"/>
      <c r="HF53" s="653"/>
      <c r="HG53" s="653"/>
      <c r="HH53" s="653"/>
      <c r="HI53" s="653"/>
      <c r="HJ53" s="653"/>
      <c r="HK53" s="653"/>
      <c r="HL53" s="653"/>
      <c r="HM53" s="653"/>
      <c r="HN53" s="653"/>
      <c r="HO53" s="653"/>
      <c r="HP53" s="653"/>
      <c r="HQ53" s="653"/>
      <c r="HR53" s="653"/>
      <c r="HS53" s="653"/>
      <c r="HT53" s="653"/>
      <c r="HU53" s="653"/>
      <c r="HV53" s="653"/>
      <c r="HW53" s="653"/>
      <c r="HX53" s="653"/>
      <c r="HY53" s="653"/>
      <c r="HZ53" s="653"/>
      <c r="IA53" s="653"/>
      <c r="IB53" s="653"/>
      <c r="IC53" s="653"/>
      <c r="ID53" s="653"/>
      <c r="IE53" s="653"/>
      <c r="IF53" s="653"/>
      <c r="IG53" s="653"/>
      <c r="IH53" s="653"/>
      <c r="II53" s="653"/>
      <c r="IJ53" s="653"/>
      <c r="IK53" s="653"/>
      <c r="IL53" s="653"/>
      <c r="IM53" s="653"/>
      <c r="IN53" s="653"/>
      <c r="IO53" s="653"/>
      <c r="IP53" s="653"/>
      <c r="IQ53" s="653"/>
      <c r="IR53" s="653"/>
      <c r="IS53" s="653"/>
      <c r="IT53" s="653"/>
      <c r="IU53" s="653"/>
      <c r="IV53" s="653"/>
      <c r="IW53" s="653"/>
    </row>
    <row r="54" customFormat="false" ht="12.75" hidden="false" customHeight="false" outlineLevel="0" collapsed="false">
      <c r="A54" s="323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</row>
    <row r="55" customFormat="false" ht="12.75" hidden="false" customHeight="false" outlineLevel="0" collapsed="false">
      <c r="A55" s="367"/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</row>
    <row r="56" customFormat="false" ht="18.75" hidden="false" customHeight="false" outlineLevel="0" collapsed="false">
      <c r="A56" s="356" t="s">
        <v>459</v>
      </c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</row>
    <row r="57" customFormat="false" ht="12.75" hidden="false" customHeight="false" outlineLevel="0" collapsed="false">
      <c r="A57" s="323"/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</row>
    <row r="58" customFormat="false" ht="12.75" hidden="false" customHeight="true" outlineLevel="0" collapsed="false">
      <c r="A58" s="323" t="s">
        <v>460</v>
      </c>
      <c r="B58" s="664"/>
      <c r="C58" s="665" t="n">
        <f aca="false">Assumptions!B13</f>
        <v>0.5</v>
      </c>
      <c r="D58" s="102"/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</row>
    <row r="59" customFormat="false" ht="12.75" hidden="false" customHeight="true" outlineLevel="0" collapsed="false">
      <c r="A59" s="323"/>
      <c r="D59" s="102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</row>
    <row r="60" customFormat="false" ht="13.5" hidden="false" customHeight="false" outlineLevel="0" collapsed="false">
      <c r="A60" s="319" t="s">
        <v>269</v>
      </c>
      <c r="B60" s="359"/>
      <c r="C60" s="359"/>
      <c r="D60" s="320"/>
      <c r="E60" s="320" t="n">
        <v>1999</v>
      </c>
      <c r="F60" s="320" t="n">
        <f aca="false">E60+1</f>
        <v>2000</v>
      </c>
      <c r="G60" s="320" t="n">
        <f aca="false">F60+1</f>
        <v>2001</v>
      </c>
      <c r="H60" s="320" t="n">
        <f aca="false">G60+1</f>
        <v>2002</v>
      </c>
      <c r="I60" s="320" t="n">
        <f aca="false">H60+1</f>
        <v>2003</v>
      </c>
      <c r="J60" s="320" t="n">
        <f aca="false">I60+1</f>
        <v>2004</v>
      </c>
      <c r="K60" s="320" t="n">
        <f aca="false">J60+1</f>
        <v>2005</v>
      </c>
      <c r="L60" s="320" t="n">
        <f aca="false">K60+1</f>
        <v>2006</v>
      </c>
      <c r="M60" s="320" t="n">
        <f aca="false">L60+1</f>
        <v>2007</v>
      </c>
      <c r="N60" s="320" t="n">
        <f aca="false">M60+1</f>
        <v>2008</v>
      </c>
      <c r="O60" s="320" t="n">
        <f aca="false">N60+1</f>
        <v>2009</v>
      </c>
      <c r="P60" s="320" t="n">
        <f aca="false">O60+1</f>
        <v>2010</v>
      </c>
      <c r="Q60" s="320" t="n">
        <f aca="false">P60+1</f>
        <v>2011</v>
      </c>
      <c r="R60" s="320" t="n">
        <f aca="false">Q60+1</f>
        <v>2012</v>
      </c>
      <c r="S60" s="320" t="n">
        <f aca="false">R60+1</f>
        <v>2013</v>
      </c>
      <c r="T60" s="320" t="n">
        <f aca="false">S60+1</f>
        <v>2014</v>
      </c>
      <c r="U60" s="320" t="n">
        <f aca="false">T60+1</f>
        <v>2015</v>
      </c>
      <c r="V60" s="320" t="n">
        <f aca="false">U60+1</f>
        <v>2016</v>
      </c>
      <c r="W60" s="320" t="n">
        <f aca="false">V60+1</f>
        <v>2017</v>
      </c>
      <c r="X60" s="320" t="n">
        <f aca="false">W60+1</f>
        <v>2018</v>
      </c>
      <c r="Y60" s="320" t="n">
        <f aca="false">X60+1</f>
        <v>2019</v>
      </c>
      <c r="Z60" s="320" t="n">
        <f aca="false">Y60+1</f>
        <v>2020</v>
      </c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</row>
    <row r="61" customFormat="false" ht="12.75" hidden="false" customHeight="false" outlineLevel="0" collapsed="false">
      <c r="A61" s="366"/>
      <c r="D61" s="102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</row>
    <row r="62" customFormat="false" ht="12.75" hidden="false" customHeight="false" outlineLevel="0" collapsed="false">
      <c r="A62" s="367" t="s">
        <v>289</v>
      </c>
      <c r="D62" s="368"/>
      <c r="E62" s="368" t="n">
        <f aca="false">E39</f>
        <v>0</v>
      </c>
      <c r="F62" s="368" t="n">
        <f aca="false">F39</f>
        <v>19605.0567632729</v>
      </c>
      <c r="G62" s="368" t="n">
        <f aca="false">G39</f>
        <v>19564.7588572602</v>
      </c>
      <c r="H62" s="368" t="n">
        <f aca="false">H39</f>
        <v>19446.0299277139</v>
      </c>
      <c r="I62" s="368" t="n">
        <f aca="false">I39</f>
        <v>28278.1715288038</v>
      </c>
      <c r="J62" s="368" t="n">
        <f aca="false">J39</f>
        <v>28587.0559916175</v>
      </c>
      <c r="K62" s="368" t="n">
        <f aca="false">K39</f>
        <v>28886.8918032782</v>
      </c>
      <c r="L62" s="368" t="n">
        <f aca="false">L39</f>
        <v>29177.5927242835</v>
      </c>
      <c r="M62" s="368" t="n">
        <f aca="false">M39</f>
        <v>30089.4345226241</v>
      </c>
      <c r="N62" s="368" t="n">
        <f aca="false">N39</f>
        <v>30378.3296165724</v>
      </c>
      <c r="O62" s="368" t="n">
        <f aca="false">O39</f>
        <v>31325.6250906171</v>
      </c>
      <c r="P62" s="368" t="n">
        <f aca="false">P39</f>
        <v>31648.6603072543</v>
      </c>
      <c r="Q62" s="368" t="n">
        <f aca="false">Q39</f>
        <v>32643.6761886247</v>
      </c>
      <c r="R62" s="368" t="n">
        <f aca="false">R39</f>
        <v>32925.6380469803</v>
      </c>
      <c r="S62" s="368" t="n">
        <f aca="false">S39</f>
        <v>33198.2033240124</v>
      </c>
      <c r="T62" s="368" t="n">
        <f aca="false">T39</f>
        <v>33159.952009717</v>
      </c>
      <c r="U62" s="368" t="n">
        <f aca="false">U39</f>
        <v>33436.7072414876</v>
      </c>
      <c r="V62" s="368" t="n">
        <f aca="false">V39</f>
        <v>33707.2480437497</v>
      </c>
      <c r="W62" s="368" t="n">
        <f aca="false">W39</f>
        <v>33966.3005467365</v>
      </c>
      <c r="X62" s="368" t="n">
        <f aca="false">X39</f>
        <v>34219.6556507654</v>
      </c>
      <c r="Y62" s="368" t="n">
        <f aca="false">Y39</f>
        <v>34451.0127314114</v>
      </c>
      <c r="Z62" s="368" t="n">
        <f aca="false">Z39</f>
        <v>35187.1185415062</v>
      </c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</row>
    <row r="63" customFormat="false" ht="12.75" hidden="false" customHeight="false" outlineLevel="0" collapsed="false">
      <c r="A63" s="367" t="s">
        <v>461</v>
      </c>
      <c r="D63" s="102"/>
      <c r="E63" s="102" t="n">
        <v>0</v>
      </c>
      <c r="F63" s="102" t="n">
        <v>0</v>
      </c>
      <c r="G63" s="102" t="n">
        <v>0</v>
      </c>
      <c r="H63" s="102" t="n">
        <v>0</v>
      </c>
      <c r="I63" s="102" t="n">
        <v>0</v>
      </c>
      <c r="J63" s="102" t="n">
        <v>0</v>
      </c>
      <c r="K63" s="102" t="n">
        <v>0</v>
      </c>
      <c r="L63" s="102" t="n">
        <v>0</v>
      </c>
      <c r="M63" s="102" t="n">
        <v>0</v>
      </c>
      <c r="N63" s="102" t="n">
        <v>0</v>
      </c>
      <c r="O63" s="102" t="n">
        <v>0</v>
      </c>
      <c r="P63" s="102" t="n">
        <v>0</v>
      </c>
      <c r="Q63" s="102" t="n">
        <v>0</v>
      </c>
      <c r="R63" s="102" t="n">
        <v>0</v>
      </c>
      <c r="S63" s="102" t="n">
        <v>0</v>
      </c>
      <c r="T63" s="102" t="n">
        <v>0</v>
      </c>
      <c r="U63" s="102" t="n">
        <v>0</v>
      </c>
      <c r="V63" s="102" t="n">
        <v>0</v>
      </c>
      <c r="W63" s="102" t="n">
        <v>0</v>
      </c>
      <c r="X63" s="102" t="n">
        <v>0</v>
      </c>
      <c r="Y63" s="102" t="n">
        <v>0</v>
      </c>
      <c r="Z63" s="102" t="n">
        <v>0</v>
      </c>
    </row>
    <row r="64" customFormat="false" ht="12.75" hidden="false" customHeight="false" outlineLevel="0" collapsed="false">
      <c r="A64" s="367" t="s">
        <v>338</v>
      </c>
      <c r="D64" s="666"/>
      <c r="E64" s="666" t="n">
        <f aca="false">Allocation!$I$7*CF!D15</f>
        <v>0</v>
      </c>
      <c r="F64" s="666" t="n">
        <f aca="false">Allocation!$K$7*(CF!E16+CF!E15)+Allocation!$I$7*(CF!G15+CF!G16-CF!G14)</f>
        <v>-11342.6141488494</v>
      </c>
      <c r="G64" s="666" t="n">
        <f aca="false">Allocation!$I$7*(CF!H16+CF!H15)</f>
        <v>-14804.7137896559</v>
      </c>
      <c r="H64" s="666" t="n">
        <f aca="false">Allocation!$I$7*(CF!I16+CF!I15)</f>
        <v>-14716.8305323478</v>
      </c>
      <c r="I64" s="666" t="n">
        <f aca="false">Allocation!$I$7*(CF!J16+CF!J15)</f>
        <v>-13083.3283005404</v>
      </c>
      <c r="J64" s="666" t="n">
        <f aca="false">Allocation!$I$7*(CF!K16+CF!K15)</f>
        <v>-13246.7529630653</v>
      </c>
      <c r="K64" s="666" t="n">
        <f aca="false">Allocation!$I$7*(CF!L16+CF!L15)</f>
        <v>-13482.331809924</v>
      </c>
      <c r="L64" s="666" t="n">
        <f aca="false">Allocation!$I$7*(CF!M16+CF!M15)</f>
        <v>-13569.9646958822</v>
      </c>
      <c r="M64" s="666" t="n">
        <f aca="false">Allocation!$I$7*(CF!N16+CF!N15)</f>
        <v>-13877.6267678107</v>
      </c>
      <c r="N64" s="666" t="n">
        <f aca="false">Allocation!$I$7*(CF!O16+CF!O15)</f>
        <v>-14051.8785803447</v>
      </c>
      <c r="O64" s="666" t="n">
        <f aca="false">Allocation!$I$7*(CF!P16+CF!P15)</f>
        <v>-14335.5831870938</v>
      </c>
      <c r="P64" s="666" t="n">
        <f aca="false">Allocation!$I$7*(CF!Q16+CF!Q15)</f>
        <v>-12498.1057919969</v>
      </c>
      <c r="Q64" s="666" t="n">
        <f aca="false">Allocation!$I$7*(CF!R16+CF!R15)</f>
        <v>-11940.3188691738</v>
      </c>
      <c r="R64" s="666" t="n">
        <f aca="false">Allocation!$I$7*(CF!S16+CF!S15)</f>
        <v>-11909.9755107403</v>
      </c>
      <c r="S64" s="666" t="n">
        <f aca="false">Allocation!$I$7*(CF!T16+CF!T15)</f>
        <v>-11662.5836123536</v>
      </c>
      <c r="T64" s="666" t="n">
        <f aca="false">Allocation!$I$7*(CF!U16+CF!U15)</f>
        <v>-11413.3110070197</v>
      </c>
      <c r="U64" s="666" t="n">
        <f aca="false">Allocation!$I$7*(CF!V16+CF!V15)</f>
        <v>-11293.4785826995</v>
      </c>
      <c r="V64" s="666" t="n">
        <f aca="false">Allocation!$I$7*(CF!W16+CF!W15)</f>
        <v>-10632.8127118751</v>
      </c>
      <c r="W64" s="666" t="n">
        <f aca="false">Allocation!$I$7*(CF!X16+CF!X15)</f>
        <v>-9630.78918279667</v>
      </c>
      <c r="X64" s="666" t="n">
        <f aca="false">Allocation!$I$7*(CF!Y16+CF!Y15)</f>
        <v>-7937.58059798278</v>
      </c>
      <c r="Y64" s="666" t="n">
        <f aca="false">Allocation!$I$7*(CF!Z16+CF!Z15)</f>
        <v>-6288.43308005132</v>
      </c>
      <c r="Z64" s="666" t="n">
        <f aca="false">Allocation!$I$7*(CF!AA16+CF!AA15)</f>
        <v>-0</v>
      </c>
    </row>
    <row r="65" customFormat="false" ht="12.75" hidden="true" customHeight="false" outlineLevel="0" collapsed="false">
      <c r="A65" s="367"/>
      <c r="D65" s="375"/>
      <c r="E65" s="375"/>
      <c r="F65" s="375"/>
      <c r="G65" s="375"/>
      <c r="H65" s="375"/>
      <c r="I65" s="375"/>
      <c r="J65" s="375"/>
      <c r="K65" s="375"/>
      <c r="L65" s="375"/>
      <c r="M65" s="375"/>
      <c r="N65" s="375"/>
      <c r="O65" s="375"/>
      <c r="P65" s="375"/>
      <c r="Q65" s="375"/>
      <c r="R65" s="375"/>
      <c r="S65" s="375"/>
      <c r="T65" s="375"/>
      <c r="U65" s="375"/>
      <c r="V65" s="375"/>
      <c r="W65" s="375"/>
      <c r="X65" s="375"/>
      <c r="Y65" s="375"/>
      <c r="Z65" s="375"/>
    </row>
    <row r="66" customFormat="false" ht="12.75" hidden="false" customHeight="false" outlineLevel="0" collapsed="false">
      <c r="A66" s="367"/>
      <c r="D66" s="368"/>
      <c r="E66" s="368"/>
      <c r="F66" s="368"/>
      <c r="G66" s="368"/>
      <c r="H66" s="368"/>
      <c r="I66" s="368"/>
      <c r="J66" s="368"/>
      <c r="K66" s="368"/>
      <c r="L66" s="368"/>
      <c r="M66" s="368"/>
      <c r="N66" s="368"/>
      <c r="O66" s="368"/>
      <c r="P66" s="368"/>
      <c r="Q66" s="368"/>
      <c r="R66" s="368"/>
      <c r="S66" s="368"/>
      <c r="T66" s="368"/>
      <c r="U66" s="368"/>
      <c r="V66" s="368"/>
      <c r="W66" s="368"/>
      <c r="X66" s="368"/>
      <c r="Y66" s="368"/>
      <c r="Z66" s="368"/>
    </row>
    <row r="67" customFormat="false" ht="12.75" hidden="false" customHeight="false" outlineLevel="0" collapsed="false">
      <c r="A67" s="366" t="s">
        <v>308</v>
      </c>
      <c r="B67" s="323"/>
      <c r="C67" s="323"/>
      <c r="D67" s="667"/>
      <c r="E67" s="667" t="n">
        <f aca="false">SUM(E62:E64)</f>
        <v>0</v>
      </c>
      <c r="F67" s="667" t="n">
        <f aca="false">SUM(F62:F64)</f>
        <v>8262.44261442346</v>
      </c>
      <c r="G67" s="667" t="n">
        <f aca="false">SUM(G62:G64)</f>
        <v>4760.0450676043</v>
      </c>
      <c r="H67" s="667" t="n">
        <f aca="false">SUM(H62:H64)</f>
        <v>4729.19939536613</v>
      </c>
      <c r="I67" s="667" t="n">
        <f aca="false">SUM(I62:I64)</f>
        <v>15194.8432282633</v>
      </c>
      <c r="J67" s="667" t="n">
        <f aca="false">SUM(J62:J64)</f>
        <v>15340.3030285521</v>
      </c>
      <c r="K67" s="667" t="n">
        <f aca="false">SUM(K62:K64)</f>
        <v>15404.5599933542</v>
      </c>
      <c r="L67" s="667" t="n">
        <f aca="false">SUM(L62:L64)</f>
        <v>15607.6280284013</v>
      </c>
      <c r="M67" s="667" t="n">
        <f aca="false">SUM(M62:M64)</f>
        <v>16211.8077548134</v>
      </c>
      <c r="N67" s="667" t="n">
        <f aca="false">SUM(N62:N64)</f>
        <v>16326.4510362277</v>
      </c>
      <c r="O67" s="667" t="n">
        <f aca="false">SUM(O62:O64)</f>
        <v>16990.0419035234</v>
      </c>
      <c r="P67" s="667" t="n">
        <f aca="false">SUM(P62:P64)</f>
        <v>19150.5545152574</v>
      </c>
      <c r="Q67" s="667" t="n">
        <f aca="false">SUM(Q62:Q64)</f>
        <v>20703.3573194509</v>
      </c>
      <c r="R67" s="667" t="n">
        <f aca="false">SUM(R62:R64)</f>
        <v>21015.66253624</v>
      </c>
      <c r="S67" s="667" t="n">
        <f aca="false">SUM(S62:S64)</f>
        <v>21535.6197116588</v>
      </c>
      <c r="T67" s="667" t="n">
        <f aca="false">SUM(T62:T64)</f>
        <v>21746.6410026973</v>
      </c>
      <c r="U67" s="667" t="n">
        <f aca="false">SUM(U62:U64)</f>
        <v>22143.2286587882</v>
      </c>
      <c r="V67" s="667" t="n">
        <f aca="false">SUM(V62:V64)</f>
        <v>23074.4353318747</v>
      </c>
      <c r="W67" s="667" t="n">
        <f aca="false">SUM(W62:W64)</f>
        <v>24335.5113639399</v>
      </c>
      <c r="X67" s="667" t="n">
        <f aca="false">SUM(X62:X64)</f>
        <v>26282.0750527826</v>
      </c>
      <c r="Y67" s="667" t="n">
        <f aca="false">SUM(Y62:Y64)</f>
        <v>28162.5796513601</v>
      </c>
      <c r="Z67" s="667" t="n">
        <f aca="false">SUM(Z62:Z64)</f>
        <v>35187.1185415062</v>
      </c>
      <c r="AA67" s="395"/>
      <c r="AB67" s="395"/>
      <c r="AC67" s="395"/>
      <c r="AD67" s="395"/>
      <c r="AE67" s="395"/>
      <c r="AF67" s="395"/>
      <c r="AG67" s="395"/>
      <c r="AH67" s="395"/>
      <c r="AI67" s="395"/>
      <c r="AJ67" s="395"/>
      <c r="AK67" s="395"/>
      <c r="AL67" s="395"/>
      <c r="AM67" s="395"/>
      <c r="AN67" s="395"/>
      <c r="AO67" s="395"/>
      <c r="AP67" s="395"/>
      <c r="AQ67" s="395"/>
      <c r="AR67" s="395"/>
      <c r="AS67" s="395"/>
      <c r="AT67" s="395"/>
      <c r="AU67" s="395"/>
      <c r="AV67" s="395"/>
      <c r="AW67" s="395"/>
      <c r="AX67" s="395"/>
      <c r="AY67" s="395"/>
      <c r="AZ67" s="395"/>
      <c r="BA67" s="395"/>
      <c r="BB67" s="395"/>
      <c r="BC67" s="395"/>
      <c r="BD67" s="395"/>
      <c r="BE67" s="395"/>
      <c r="BF67" s="395"/>
      <c r="BG67" s="395"/>
      <c r="BH67" s="395"/>
      <c r="BI67" s="395"/>
      <c r="BJ67" s="395"/>
      <c r="BK67" s="395"/>
      <c r="BL67" s="395"/>
      <c r="BM67" s="395"/>
      <c r="BN67" s="395"/>
      <c r="BO67" s="395"/>
      <c r="BP67" s="395"/>
      <c r="BQ67" s="395"/>
      <c r="BR67" s="395"/>
      <c r="BS67" s="395"/>
      <c r="BT67" s="395"/>
      <c r="BU67" s="395"/>
      <c r="BV67" s="395"/>
      <c r="BW67" s="395"/>
      <c r="BX67" s="395"/>
      <c r="BY67" s="395"/>
      <c r="BZ67" s="395"/>
      <c r="CA67" s="395"/>
      <c r="CB67" s="395"/>
      <c r="CC67" s="395"/>
      <c r="CD67" s="395"/>
      <c r="CE67" s="395"/>
      <c r="CF67" s="395"/>
      <c r="CG67" s="395"/>
      <c r="CH67" s="395"/>
      <c r="CI67" s="395"/>
      <c r="CJ67" s="395"/>
      <c r="CK67" s="395"/>
      <c r="CL67" s="395"/>
      <c r="CM67" s="395"/>
      <c r="CN67" s="395"/>
      <c r="CO67" s="395"/>
      <c r="CP67" s="395"/>
      <c r="CQ67" s="395"/>
      <c r="CR67" s="395"/>
      <c r="CS67" s="395"/>
      <c r="CT67" s="395"/>
      <c r="CU67" s="395"/>
      <c r="CV67" s="395"/>
      <c r="CW67" s="395"/>
      <c r="CX67" s="395"/>
      <c r="CY67" s="395"/>
      <c r="CZ67" s="395"/>
      <c r="DA67" s="395"/>
      <c r="DB67" s="395"/>
      <c r="DC67" s="395"/>
      <c r="DD67" s="395"/>
      <c r="DE67" s="395"/>
      <c r="DF67" s="395"/>
      <c r="DG67" s="395"/>
      <c r="DH67" s="395"/>
      <c r="DI67" s="395"/>
      <c r="DJ67" s="395"/>
      <c r="DK67" s="395"/>
      <c r="DL67" s="395"/>
      <c r="DM67" s="395"/>
      <c r="DN67" s="395"/>
      <c r="DO67" s="395"/>
      <c r="DP67" s="395"/>
      <c r="DQ67" s="395"/>
      <c r="DR67" s="395"/>
      <c r="DS67" s="395"/>
      <c r="DT67" s="395"/>
      <c r="DU67" s="395"/>
      <c r="DV67" s="395"/>
      <c r="DW67" s="395"/>
      <c r="DX67" s="395"/>
      <c r="DY67" s="395"/>
      <c r="DZ67" s="395"/>
      <c r="EA67" s="395"/>
      <c r="EB67" s="395"/>
      <c r="EC67" s="395"/>
      <c r="ED67" s="395"/>
      <c r="EE67" s="395"/>
      <c r="EF67" s="395"/>
      <c r="EG67" s="395"/>
      <c r="EH67" s="395"/>
      <c r="EI67" s="395"/>
      <c r="EJ67" s="395"/>
      <c r="EK67" s="395"/>
      <c r="EL67" s="395"/>
      <c r="EM67" s="395"/>
      <c r="EN67" s="395"/>
      <c r="EO67" s="395"/>
      <c r="EP67" s="395"/>
      <c r="EQ67" s="395"/>
      <c r="ER67" s="395"/>
      <c r="ES67" s="395"/>
      <c r="ET67" s="395"/>
      <c r="EU67" s="395"/>
      <c r="EV67" s="395"/>
      <c r="EW67" s="395"/>
      <c r="EX67" s="395"/>
      <c r="EY67" s="395"/>
      <c r="EZ67" s="395"/>
      <c r="FA67" s="395"/>
      <c r="FB67" s="395"/>
      <c r="FC67" s="395"/>
      <c r="FD67" s="395"/>
      <c r="FE67" s="395"/>
      <c r="FF67" s="395"/>
      <c r="FG67" s="395"/>
      <c r="FH67" s="395"/>
      <c r="FI67" s="395"/>
      <c r="FJ67" s="395"/>
      <c r="FK67" s="395"/>
      <c r="FL67" s="395"/>
      <c r="FM67" s="395"/>
      <c r="FN67" s="395"/>
      <c r="FO67" s="395"/>
      <c r="FP67" s="395"/>
      <c r="FQ67" s="395"/>
      <c r="FR67" s="395"/>
      <c r="FS67" s="395"/>
      <c r="FT67" s="395"/>
      <c r="FU67" s="395"/>
      <c r="FV67" s="395"/>
      <c r="FW67" s="395"/>
      <c r="FX67" s="395"/>
      <c r="FY67" s="395"/>
      <c r="FZ67" s="395"/>
      <c r="GA67" s="395"/>
      <c r="GB67" s="395"/>
      <c r="GC67" s="395"/>
      <c r="GD67" s="395"/>
      <c r="GE67" s="395"/>
      <c r="GF67" s="395"/>
      <c r="GG67" s="395"/>
      <c r="GH67" s="395"/>
      <c r="GI67" s="395"/>
      <c r="GJ67" s="395"/>
      <c r="GK67" s="395"/>
      <c r="GL67" s="395"/>
      <c r="GM67" s="395"/>
      <c r="GN67" s="395"/>
      <c r="GO67" s="395"/>
      <c r="GP67" s="395"/>
      <c r="GQ67" s="395"/>
      <c r="GR67" s="395"/>
      <c r="GS67" s="395"/>
      <c r="GT67" s="395"/>
      <c r="GU67" s="395"/>
      <c r="GV67" s="395"/>
      <c r="GW67" s="395"/>
      <c r="GX67" s="395"/>
      <c r="GY67" s="395"/>
      <c r="GZ67" s="395"/>
      <c r="HA67" s="395"/>
      <c r="HB67" s="395"/>
      <c r="HC67" s="395"/>
      <c r="HD67" s="395"/>
      <c r="HE67" s="395"/>
      <c r="HF67" s="395"/>
      <c r="HG67" s="395"/>
      <c r="HH67" s="395"/>
      <c r="HI67" s="395"/>
      <c r="HJ67" s="395"/>
      <c r="HK67" s="395"/>
      <c r="HL67" s="395"/>
      <c r="HM67" s="395"/>
      <c r="HN67" s="395"/>
      <c r="HO67" s="395"/>
      <c r="HP67" s="395"/>
      <c r="HQ67" s="395"/>
      <c r="HR67" s="395"/>
      <c r="HS67" s="395"/>
      <c r="HT67" s="395"/>
      <c r="HU67" s="395"/>
      <c r="HV67" s="395"/>
      <c r="HW67" s="395"/>
      <c r="HX67" s="395"/>
      <c r="HY67" s="395"/>
      <c r="HZ67" s="395"/>
      <c r="IA67" s="395"/>
      <c r="IB67" s="395"/>
      <c r="IC67" s="395"/>
      <c r="ID67" s="395"/>
      <c r="IE67" s="395"/>
      <c r="IF67" s="395"/>
      <c r="IG67" s="395"/>
      <c r="IH67" s="395"/>
      <c r="II67" s="395"/>
      <c r="IJ67" s="395"/>
      <c r="IK67" s="395"/>
      <c r="IL67" s="395"/>
      <c r="IM67" s="395"/>
      <c r="IN67" s="395"/>
      <c r="IO67" s="395"/>
      <c r="IP67" s="395"/>
      <c r="IQ67" s="395"/>
      <c r="IR67" s="395"/>
      <c r="IS67" s="395"/>
      <c r="IT67" s="395"/>
      <c r="IU67" s="395"/>
      <c r="IV67" s="395"/>
      <c r="IW67" s="395"/>
    </row>
    <row r="68" customFormat="false" ht="12.75" hidden="false" customHeight="false" outlineLevel="0" collapsed="false">
      <c r="A68" s="366"/>
      <c r="D68" s="368"/>
      <c r="E68" s="368"/>
      <c r="F68" s="368"/>
      <c r="G68" s="368"/>
      <c r="H68" s="368"/>
      <c r="I68" s="368"/>
      <c r="J68" s="368"/>
      <c r="K68" s="368"/>
      <c r="L68" s="368"/>
      <c r="M68" s="368"/>
      <c r="N68" s="368"/>
      <c r="O68" s="368"/>
      <c r="P68" s="368"/>
      <c r="Q68" s="368"/>
      <c r="R68" s="368"/>
      <c r="S68" s="368"/>
      <c r="T68" s="368"/>
      <c r="U68" s="368"/>
      <c r="V68" s="368"/>
      <c r="W68" s="368"/>
      <c r="X68" s="368"/>
      <c r="Y68" s="368"/>
      <c r="Z68" s="368"/>
    </row>
    <row r="69" customFormat="false" ht="12.75" hidden="false" customHeight="false" outlineLevel="0" collapsed="false">
      <c r="A69" s="367" t="s">
        <v>462</v>
      </c>
      <c r="D69" s="368"/>
      <c r="E69" s="368" t="n">
        <v>0</v>
      </c>
      <c r="F69" s="368" t="n">
        <f aca="false">Allocation!$I$7*CF!G24*7/12+Allocation!$K$7*CF!G24*5/12</f>
        <v>-0</v>
      </c>
      <c r="G69" s="368" t="n">
        <f aca="false">Allocation!$I$7*CF!H24</f>
        <v>-0</v>
      </c>
      <c r="H69" s="368" t="n">
        <f aca="false">Allocation!$I$7*CF!I24</f>
        <v>-0</v>
      </c>
      <c r="I69" s="368" t="n">
        <f aca="false">Allocation!$I$7*CF!J24</f>
        <v>-0</v>
      </c>
      <c r="J69" s="368" t="n">
        <f aca="false">Allocation!$I$7*CF!K24</f>
        <v>-0</v>
      </c>
      <c r="K69" s="368" t="n">
        <f aca="false">Allocation!$I$7*CF!L24</f>
        <v>-0</v>
      </c>
      <c r="L69" s="368" t="n">
        <f aca="false">Allocation!$I$7*CF!M24</f>
        <v>-618.180725499404</v>
      </c>
      <c r="M69" s="368" t="n">
        <f aca="false">Allocation!$I$7*CF!N24</f>
        <v>-699.360929676521</v>
      </c>
      <c r="N69" s="368" t="n">
        <f aca="false">Allocation!$I$7*CF!O24</f>
        <v>-753.238354975482</v>
      </c>
      <c r="O69" s="368" t="n">
        <f aca="false">Allocation!$I$7*CF!P24</f>
        <v>-837.908275930657</v>
      </c>
      <c r="P69" s="368" t="n">
        <f aca="false">Allocation!$I$7*CF!Q24</f>
        <v>-882.878893368159</v>
      </c>
      <c r="Q69" s="368" t="n">
        <f aca="false">Allocation!$I$7*CF!R24</f>
        <v>-962.181486151879</v>
      </c>
      <c r="R69" s="368" t="n">
        <f aca="false">Allocation!$I$7*CF!S24</f>
        <v>-1021.82356049353</v>
      </c>
      <c r="S69" s="368" t="n">
        <f aca="false">Allocation!$I$7*CF!T24</f>
        <v>-1074.81705866788</v>
      </c>
      <c r="T69" s="368" t="n">
        <f aca="false">Allocation!$I$7*CF!U24</f>
        <v>-1135.85116903357</v>
      </c>
      <c r="U69" s="368" t="n">
        <f aca="false">Allocation!$I$7*CF!V24</f>
        <v>-1543.70070038815</v>
      </c>
      <c r="V69" s="368" t="n">
        <f aca="false">Allocation!$I$7*CF!W24</f>
        <v>-1953.53909121601</v>
      </c>
      <c r="W69" s="368" t="n">
        <f aca="false">Allocation!$I$7*CF!X24</f>
        <v>-2021.05100901276</v>
      </c>
      <c r="X69" s="368" t="n">
        <f aca="false">Allocation!$I$7*CF!Y24</f>
        <v>-2081.72992086459</v>
      </c>
      <c r="Y69" s="368" t="n">
        <f aca="false">Allocation!$I$7*CF!Z24</f>
        <v>-2113.99728069639</v>
      </c>
      <c r="Z69" s="368" t="n">
        <f aca="false">Allocation!$I$7*CF!AA24</f>
        <v>-2163.85136621129</v>
      </c>
    </row>
    <row r="70" customFormat="false" ht="12.75" hidden="false" customHeight="false" outlineLevel="0" collapsed="false">
      <c r="A70" s="367" t="s">
        <v>463</v>
      </c>
      <c r="D70" s="666"/>
      <c r="E70" s="666" t="n">
        <f aca="false">Allocation!$K$7*CF!D25</f>
        <v>-0</v>
      </c>
      <c r="F70" s="666" t="n">
        <f aca="false">Allocation!$I$7*(-Tax!E39)*7/12+Allocation!$K$7*(-Tax!E39)*5/12</f>
        <v>1933.90770659351</v>
      </c>
      <c r="G70" s="666" t="n">
        <f aca="false">Allocation!$I$7*CF!H25</f>
        <v>3365.79837179002</v>
      </c>
      <c r="H70" s="666" t="n">
        <f aca="false">Allocation!$I$7*CF!I25</f>
        <v>2639.93676261841</v>
      </c>
      <c r="I70" s="666" t="n">
        <f aca="false">Allocation!$I$7*CF!J25</f>
        <v>-1659.74268702665</v>
      </c>
      <c r="J70" s="666" t="n">
        <f aca="false">Allocation!$I$7*CF!K25</f>
        <v>-2385.76582921273</v>
      </c>
      <c r="K70" s="666" t="n">
        <f aca="false">Allocation!$I$7*CF!L25</f>
        <v>-3175.94662710996</v>
      </c>
      <c r="L70" s="666" t="n">
        <f aca="false">Allocation!$I$7*CF!M25</f>
        <v>-3391.28635954196</v>
      </c>
      <c r="M70" s="666" t="n">
        <f aca="false">Allocation!$I$7*CF!N25</f>
        <v>-3768.30810805486</v>
      </c>
      <c r="N70" s="666" t="n">
        <f aca="false">Allocation!$I$7*CF!O25</f>
        <v>-4058.61134059188</v>
      </c>
      <c r="O70" s="666" t="n">
        <f aca="false">Allocation!$I$7*CF!P25</f>
        <v>-4514.83120662205</v>
      </c>
      <c r="P70" s="666" t="n">
        <f aca="false">Allocation!$I$7*CF!Q25</f>
        <v>-4757.14262998445</v>
      </c>
      <c r="Q70" s="666" t="n">
        <f aca="false">Allocation!$I$7*CF!R25</f>
        <v>-5184.44216974411</v>
      </c>
      <c r="R70" s="666" t="n">
        <f aca="false">Allocation!$I$7*CF!S25</f>
        <v>-5505.80657942996</v>
      </c>
      <c r="S70" s="666" t="n">
        <f aca="false">Allocation!$I$7*CF!T25</f>
        <v>-5791.34702124011</v>
      </c>
      <c r="T70" s="666" t="n">
        <f aca="false">Allocation!$I$7*CF!U25</f>
        <v>-6120.21202241386</v>
      </c>
      <c r="U70" s="666" t="n">
        <f aca="false">Allocation!$I$7*CF!V25</f>
        <v>-8317.79360104268</v>
      </c>
      <c r="V70" s="666" t="n">
        <f aca="false">Allocation!$I$7*CF!W25</f>
        <v>-10526.0915851224</v>
      </c>
      <c r="W70" s="666" t="n">
        <f aca="false">Allocation!$I$7*CF!X25</f>
        <v>-10889.8604152478</v>
      </c>
      <c r="X70" s="666" t="n">
        <f aca="false">Allocation!$I$7*CF!Y25</f>
        <v>-11216.8115299247</v>
      </c>
      <c r="Y70" s="666" t="n">
        <f aca="false">Allocation!$I$7*CF!Z25</f>
        <v>-11390.6750509194</v>
      </c>
      <c r="Z70" s="666" t="n">
        <f aca="false">Allocation!$I$7*CF!AA25</f>
        <v>-11659.2996576047</v>
      </c>
    </row>
    <row r="71" customFormat="false" ht="12.75" hidden="false" customHeight="false" outlineLevel="0" collapsed="false">
      <c r="A71" s="367"/>
      <c r="D71" s="666"/>
      <c r="E71" s="666"/>
      <c r="F71" s="666"/>
      <c r="G71" s="666"/>
      <c r="H71" s="666"/>
      <c r="I71" s="666"/>
      <c r="J71" s="666"/>
      <c r="K71" s="666"/>
      <c r="L71" s="666"/>
      <c r="M71" s="666"/>
      <c r="N71" s="666"/>
      <c r="O71" s="666"/>
      <c r="P71" s="666"/>
      <c r="Q71" s="666"/>
      <c r="R71" s="666"/>
      <c r="S71" s="666"/>
      <c r="T71" s="666"/>
      <c r="U71" s="666"/>
      <c r="V71" s="666"/>
      <c r="W71" s="666"/>
      <c r="X71" s="666"/>
      <c r="Y71" s="666"/>
      <c r="Z71" s="666"/>
    </row>
    <row r="72" customFormat="false" ht="15.75" hidden="false" customHeight="false" outlineLevel="0" collapsed="false">
      <c r="A72" s="668" t="s">
        <v>313</v>
      </c>
      <c r="B72" s="344"/>
      <c r="C72" s="344"/>
      <c r="D72" s="669"/>
      <c r="E72" s="669" t="n">
        <f aca="false">E67+E70</f>
        <v>0</v>
      </c>
      <c r="F72" s="669" t="n">
        <f aca="false">F67+F70+F69</f>
        <v>10196.350321017</v>
      </c>
      <c r="G72" s="669" t="n">
        <f aca="false">G67+G70+G69</f>
        <v>8125.84343939432</v>
      </c>
      <c r="H72" s="669" t="n">
        <f aca="false">H67+H70+H69</f>
        <v>7369.13615798454</v>
      </c>
      <c r="I72" s="669" t="n">
        <f aca="false">I67+I70+I69</f>
        <v>13535.1005412367</v>
      </c>
      <c r="J72" s="669" t="n">
        <f aca="false">J67+J70+J69</f>
        <v>12954.5371993394</v>
      </c>
      <c r="K72" s="669" t="n">
        <f aca="false">K67+K70+K69</f>
        <v>12228.6133662442</v>
      </c>
      <c r="L72" s="669" t="n">
        <f aca="false">L67+L70+L69</f>
        <v>11598.16094336</v>
      </c>
      <c r="M72" s="669" t="n">
        <f aca="false">M67+M70+M69</f>
        <v>11744.138717082</v>
      </c>
      <c r="N72" s="669" t="n">
        <f aca="false">N67+N70+N69</f>
        <v>11514.6013406603</v>
      </c>
      <c r="O72" s="669" t="n">
        <f aca="false">O67+O70+O69</f>
        <v>11637.3024209706</v>
      </c>
      <c r="P72" s="669" t="n">
        <f aca="false">P67+P70+P69</f>
        <v>13510.5329919048</v>
      </c>
      <c r="Q72" s="669" t="n">
        <f aca="false">Q67+Q70+Q69</f>
        <v>14556.7336635549</v>
      </c>
      <c r="R72" s="669" t="n">
        <f aca="false">R67+R70+R69</f>
        <v>14488.0323963165</v>
      </c>
      <c r="S72" s="669" t="n">
        <f aca="false">S67+S70+S69</f>
        <v>14669.4556317508</v>
      </c>
      <c r="T72" s="669" t="n">
        <f aca="false">T67+T70+T69</f>
        <v>14490.5778112499</v>
      </c>
      <c r="U72" s="669" t="n">
        <f aca="false">U67+U70+U69</f>
        <v>12281.7343573574</v>
      </c>
      <c r="V72" s="669" t="n">
        <f aca="false">V67+V70+V69</f>
        <v>10594.8046555363</v>
      </c>
      <c r="W72" s="669" t="n">
        <f aca="false">W67+W70+W69</f>
        <v>11424.5999396793</v>
      </c>
      <c r="X72" s="669" t="n">
        <f aca="false">X67+X70+X69</f>
        <v>12983.5336019934</v>
      </c>
      <c r="Y72" s="669" t="n">
        <f aca="false">Y67+Y70+Y69</f>
        <v>14657.9073197444</v>
      </c>
      <c r="Z72" s="669" t="n">
        <f aca="false">Z67+Z70+Z69</f>
        <v>21363.9675176902</v>
      </c>
      <c r="AA72" s="662"/>
      <c r="AB72" s="662"/>
      <c r="AC72" s="662"/>
      <c r="AD72" s="662"/>
      <c r="AE72" s="662"/>
      <c r="AF72" s="662"/>
      <c r="AG72" s="662"/>
      <c r="AH72" s="662"/>
      <c r="AI72" s="662"/>
      <c r="AJ72" s="662"/>
      <c r="AK72" s="662"/>
      <c r="AL72" s="662"/>
      <c r="AM72" s="662"/>
      <c r="AN72" s="662"/>
      <c r="AO72" s="662"/>
      <c r="AP72" s="662"/>
      <c r="AQ72" s="662"/>
      <c r="AR72" s="662"/>
      <c r="AS72" s="662"/>
      <c r="AT72" s="662"/>
      <c r="AU72" s="662"/>
      <c r="AV72" s="662"/>
      <c r="AW72" s="662"/>
      <c r="AX72" s="662"/>
      <c r="AY72" s="662"/>
      <c r="AZ72" s="662"/>
      <c r="BA72" s="662"/>
      <c r="BB72" s="662"/>
      <c r="BC72" s="662"/>
      <c r="BD72" s="662"/>
      <c r="BE72" s="662"/>
      <c r="BF72" s="662"/>
      <c r="BG72" s="662"/>
      <c r="BH72" s="662"/>
      <c r="BI72" s="662"/>
      <c r="BJ72" s="662"/>
      <c r="BK72" s="662"/>
      <c r="BL72" s="662"/>
      <c r="BM72" s="662"/>
      <c r="BN72" s="662"/>
      <c r="BO72" s="662"/>
      <c r="BP72" s="662"/>
      <c r="BQ72" s="662"/>
      <c r="BR72" s="662"/>
      <c r="BS72" s="662"/>
      <c r="BT72" s="662"/>
      <c r="BU72" s="662"/>
      <c r="BV72" s="662"/>
      <c r="BW72" s="662"/>
      <c r="BX72" s="662"/>
      <c r="BY72" s="662"/>
      <c r="BZ72" s="662"/>
      <c r="CA72" s="662"/>
      <c r="CB72" s="662"/>
      <c r="CC72" s="662"/>
      <c r="CD72" s="662"/>
      <c r="CE72" s="662"/>
      <c r="CF72" s="662"/>
      <c r="CG72" s="662"/>
      <c r="CH72" s="662"/>
      <c r="CI72" s="662"/>
      <c r="CJ72" s="662"/>
      <c r="CK72" s="662"/>
      <c r="CL72" s="662"/>
      <c r="CM72" s="662"/>
      <c r="CN72" s="662"/>
      <c r="CO72" s="662"/>
      <c r="CP72" s="662"/>
      <c r="CQ72" s="662"/>
      <c r="CR72" s="662"/>
      <c r="CS72" s="662"/>
      <c r="CT72" s="662"/>
      <c r="CU72" s="662"/>
      <c r="CV72" s="662"/>
      <c r="CW72" s="662"/>
      <c r="CX72" s="662"/>
      <c r="CY72" s="662"/>
      <c r="CZ72" s="662"/>
      <c r="DA72" s="662"/>
      <c r="DB72" s="662"/>
      <c r="DC72" s="662"/>
      <c r="DD72" s="662"/>
      <c r="DE72" s="662"/>
      <c r="DF72" s="662"/>
      <c r="DG72" s="662"/>
      <c r="DH72" s="662"/>
      <c r="DI72" s="662"/>
      <c r="DJ72" s="662"/>
      <c r="DK72" s="662"/>
      <c r="DL72" s="662"/>
      <c r="DM72" s="662"/>
      <c r="DN72" s="662"/>
      <c r="DO72" s="662"/>
      <c r="DP72" s="662"/>
      <c r="DQ72" s="662"/>
      <c r="DR72" s="662"/>
      <c r="DS72" s="662"/>
      <c r="DT72" s="662"/>
      <c r="DU72" s="662"/>
      <c r="DV72" s="662"/>
      <c r="DW72" s="662"/>
      <c r="DX72" s="662"/>
      <c r="DY72" s="662"/>
      <c r="DZ72" s="662"/>
      <c r="EA72" s="662"/>
      <c r="EB72" s="662"/>
      <c r="EC72" s="662"/>
      <c r="ED72" s="662"/>
      <c r="EE72" s="662"/>
      <c r="EF72" s="662"/>
      <c r="EG72" s="662"/>
      <c r="EH72" s="662"/>
      <c r="EI72" s="662"/>
      <c r="EJ72" s="662"/>
      <c r="EK72" s="662"/>
      <c r="EL72" s="662"/>
      <c r="EM72" s="662"/>
      <c r="EN72" s="662"/>
      <c r="EO72" s="662"/>
      <c r="EP72" s="662"/>
      <c r="EQ72" s="662"/>
      <c r="ER72" s="662"/>
      <c r="ES72" s="662"/>
      <c r="ET72" s="662"/>
      <c r="EU72" s="662"/>
      <c r="EV72" s="662"/>
      <c r="EW72" s="662"/>
      <c r="EX72" s="662"/>
      <c r="EY72" s="662"/>
      <c r="EZ72" s="662"/>
      <c r="FA72" s="662"/>
      <c r="FB72" s="662"/>
      <c r="FC72" s="662"/>
      <c r="FD72" s="662"/>
      <c r="FE72" s="662"/>
      <c r="FF72" s="662"/>
      <c r="FG72" s="662"/>
      <c r="FH72" s="662"/>
      <c r="FI72" s="662"/>
      <c r="FJ72" s="662"/>
      <c r="FK72" s="662"/>
      <c r="FL72" s="662"/>
      <c r="FM72" s="662"/>
      <c r="FN72" s="662"/>
      <c r="FO72" s="662"/>
      <c r="FP72" s="662"/>
      <c r="FQ72" s="662"/>
      <c r="FR72" s="662"/>
      <c r="FS72" s="662"/>
      <c r="FT72" s="662"/>
      <c r="FU72" s="662"/>
      <c r="FV72" s="662"/>
      <c r="FW72" s="662"/>
      <c r="FX72" s="662"/>
      <c r="FY72" s="662"/>
      <c r="FZ72" s="662"/>
      <c r="GA72" s="662"/>
      <c r="GB72" s="662"/>
      <c r="GC72" s="662"/>
      <c r="GD72" s="662"/>
      <c r="GE72" s="662"/>
      <c r="GF72" s="662"/>
      <c r="GG72" s="662"/>
      <c r="GH72" s="662"/>
      <c r="GI72" s="662"/>
      <c r="GJ72" s="662"/>
      <c r="GK72" s="662"/>
      <c r="GL72" s="662"/>
      <c r="GM72" s="662"/>
      <c r="GN72" s="662"/>
      <c r="GO72" s="662"/>
      <c r="GP72" s="662"/>
      <c r="GQ72" s="662"/>
      <c r="GR72" s="662"/>
      <c r="GS72" s="662"/>
      <c r="GT72" s="662"/>
      <c r="GU72" s="662"/>
      <c r="GV72" s="662"/>
      <c r="GW72" s="662"/>
      <c r="GX72" s="662"/>
      <c r="GY72" s="662"/>
      <c r="GZ72" s="662"/>
      <c r="HA72" s="662"/>
      <c r="HB72" s="662"/>
      <c r="HC72" s="662"/>
      <c r="HD72" s="662"/>
      <c r="HE72" s="662"/>
      <c r="HF72" s="662"/>
      <c r="HG72" s="662"/>
      <c r="HH72" s="662"/>
      <c r="HI72" s="662"/>
      <c r="HJ72" s="662"/>
      <c r="HK72" s="662"/>
      <c r="HL72" s="662"/>
      <c r="HM72" s="662"/>
      <c r="HN72" s="662"/>
      <c r="HO72" s="662"/>
      <c r="HP72" s="662"/>
      <c r="HQ72" s="662"/>
      <c r="HR72" s="662"/>
      <c r="HS72" s="662"/>
      <c r="HT72" s="662"/>
      <c r="HU72" s="662"/>
      <c r="HV72" s="662"/>
      <c r="HW72" s="662"/>
      <c r="HX72" s="662"/>
      <c r="HY72" s="662"/>
      <c r="HZ72" s="662"/>
      <c r="IA72" s="662"/>
      <c r="IB72" s="662"/>
      <c r="IC72" s="662"/>
      <c r="ID72" s="662"/>
      <c r="IE72" s="662"/>
      <c r="IF72" s="662"/>
      <c r="IG72" s="662"/>
      <c r="IH72" s="662"/>
      <c r="II72" s="662"/>
      <c r="IJ72" s="662"/>
      <c r="IK72" s="662"/>
      <c r="IL72" s="662"/>
      <c r="IM72" s="662"/>
      <c r="IN72" s="662"/>
      <c r="IO72" s="662"/>
      <c r="IP72" s="662"/>
      <c r="IQ72" s="662"/>
      <c r="IR72" s="662"/>
      <c r="IS72" s="662"/>
      <c r="IT72" s="662"/>
      <c r="IU72" s="662"/>
      <c r="IV72" s="662"/>
      <c r="IW72" s="662"/>
    </row>
    <row r="73" customFormat="false" ht="12.75" hidden="false" customHeight="false" outlineLevel="0" collapsed="false">
      <c r="A73" s="670"/>
      <c r="D73" s="368"/>
      <c r="E73" s="368"/>
      <c r="F73" s="368"/>
      <c r="G73" s="368"/>
      <c r="H73" s="368"/>
      <c r="I73" s="368"/>
      <c r="J73" s="368"/>
      <c r="K73" s="368"/>
      <c r="L73" s="368"/>
      <c r="M73" s="368"/>
      <c r="N73" s="368"/>
      <c r="O73" s="368"/>
      <c r="P73" s="368"/>
      <c r="Q73" s="368"/>
      <c r="R73" s="368"/>
      <c r="S73" s="368"/>
      <c r="T73" s="368"/>
      <c r="U73" s="368"/>
      <c r="V73" s="368"/>
      <c r="W73" s="368"/>
      <c r="X73" s="368"/>
      <c r="Y73" s="368"/>
      <c r="Z73" s="368"/>
    </row>
    <row r="74" customFormat="false" ht="12.75" hidden="false" customHeight="false" outlineLevel="0" collapsed="false">
      <c r="A74" s="388"/>
      <c r="D74" s="368"/>
      <c r="E74" s="368"/>
      <c r="F74" s="368"/>
      <c r="G74" s="368"/>
      <c r="H74" s="368"/>
      <c r="I74" s="368"/>
      <c r="J74" s="368"/>
      <c r="K74" s="368"/>
      <c r="L74" s="368"/>
      <c r="M74" s="368"/>
      <c r="N74" s="368"/>
      <c r="O74" s="368"/>
      <c r="P74" s="368"/>
      <c r="Q74" s="368"/>
      <c r="R74" s="368"/>
      <c r="S74" s="368"/>
      <c r="T74" s="368"/>
      <c r="U74" s="368"/>
      <c r="V74" s="368"/>
      <c r="W74" s="368"/>
      <c r="X74" s="368"/>
      <c r="Y74" s="368"/>
      <c r="Z74" s="368"/>
    </row>
    <row r="75" customFormat="false" ht="12.75" hidden="false" customHeight="true" outlineLevel="0" collapsed="false">
      <c r="A75" s="388" t="s">
        <v>464</v>
      </c>
      <c r="B75" s="664"/>
      <c r="C75" s="665" t="n">
        <f aca="false">$C$58</f>
        <v>0.5</v>
      </c>
      <c r="D75" s="667"/>
      <c r="E75" s="667" t="n">
        <f aca="false">$C$75*E52</f>
        <v>0</v>
      </c>
      <c r="F75" s="667" t="n">
        <f aca="false">$C$75*F52</f>
        <v>1497.15886249988</v>
      </c>
      <c r="G75" s="667" t="n">
        <f aca="false">$C$75*G52</f>
        <v>1134.37771646733</v>
      </c>
      <c r="H75" s="667" t="n">
        <f aca="false">$C$75*H52</f>
        <v>1205.28364116562</v>
      </c>
      <c r="I75" s="667" t="n">
        <f aca="false">$C$75*I52</f>
        <v>4008.9243720372</v>
      </c>
      <c r="J75" s="667" t="n">
        <f aca="false">$C$75*J52</f>
        <v>4172.63382196976</v>
      </c>
      <c r="K75" s="667" t="n">
        <f aca="false">$C$75*K52</f>
        <v>4381.00444833539</v>
      </c>
      <c r="L75" s="667" t="n">
        <f aca="false">$C$75*L52</f>
        <v>4597.90542421653</v>
      </c>
      <c r="M75" s="667" t="n">
        <f aca="false">$C$75*M52</f>
        <v>5024.45684809518</v>
      </c>
      <c r="N75" s="667" t="n">
        <f aca="false">$C$75*N52</f>
        <v>5282.09692663021</v>
      </c>
      <c r="O75" s="667" t="n">
        <f aca="false">$C$75*O52</f>
        <v>5777.04543032396</v>
      </c>
      <c r="P75" s="667" t="n">
        <f aca="false">$C$75*P52</f>
        <v>6057.29933852191</v>
      </c>
      <c r="Q75" s="667" t="n">
        <f aca="false">$C$75*Q52</f>
        <v>6535.61982055971</v>
      </c>
      <c r="R75" s="667" t="n">
        <f aca="false">$C$75*R52</f>
        <v>6814.36321647184</v>
      </c>
      <c r="S75" s="667" t="n">
        <f aca="false">$C$75*S52</f>
        <v>7105.14291132881</v>
      </c>
      <c r="T75" s="667" t="n">
        <f aca="false">$C$75*T52</f>
        <v>7315.0630540869</v>
      </c>
      <c r="U75" s="667" t="n">
        <f aca="false">$C$75*U52</f>
        <v>7639.62692494559</v>
      </c>
      <c r="V75" s="667" t="n">
        <f aca="false">$C$75*V52</f>
        <v>7972.28427954001</v>
      </c>
      <c r="W75" s="667" t="n">
        <f aca="false">$C$75*W52</f>
        <v>8299.14446758523</v>
      </c>
      <c r="X75" s="667" t="n">
        <f aca="false">$C$75*X52</f>
        <v>8602.92401203937</v>
      </c>
      <c r="Y75" s="667" t="n">
        <f aca="false">$C$75*Y52</f>
        <v>8869.77659721818</v>
      </c>
      <c r="Z75" s="667" t="n">
        <f aca="false">$C$75*Z52</f>
        <v>9198.31785683364</v>
      </c>
    </row>
    <row r="76" customFormat="false" ht="12.75" hidden="false" customHeight="false" outlineLevel="0" collapsed="false">
      <c r="A76" s="388" t="s">
        <v>465</v>
      </c>
      <c r="B76" s="664"/>
      <c r="C76" s="665" t="n">
        <f aca="false">$C$58</f>
        <v>0.5</v>
      </c>
      <c r="D76" s="667"/>
      <c r="E76" s="667" t="n">
        <f aca="false">$C$76*E72</f>
        <v>0</v>
      </c>
      <c r="F76" s="667" t="n">
        <f aca="false">$C$76*F72</f>
        <v>5098.17516050849</v>
      </c>
      <c r="G76" s="667" t="n">
        <f aca="false">$C$76*G72</f>
        <v>4062.92171969716</v>
      </c>
      <c r="H76" s="667" t="n">
        <f aca="false">$C$76*H72</f>
        <v>3684.56807899227</v>
      </c>
      <c r="I76" s="667" t="n">
        <f aca="false">$C$76*I72</f>
        <v>6767.55027061834</v>
      </c>
      <c r="J76" s="667" t="n">
        <f aca="false">$C$76*J72</f>
        <v>6477.26859966971</v>
      </c>
      <c r="K76" s="667" t="n">
        <f aca="false">$C$76*K72</f>
        <v>6114.30668312211</v>
      </c>
      <c r="L76" s="667" t="n">
        <f aca="false">$C$76*L72</f>
        <v>5799.08047167998</v>
      </c>
      <c r="M76" s="667" t="n">
        <f aca="false">$C$76*M72</f>
        <v>5872.06935854101</v>
      </c>
      <c r="N76" s="667" t="n">
        <f aca="false">$C$76*N72</f>
        <v>5757.30067033016</v>
      </c>
      <c r="O76" s="667" t="n">
        <f aca="false">$C$76*O72</f>
        <v>5818.65121048532</v>
      </c>
      <c r="P76" s="667" t="n">
        <f aca="false">$C$76*P72</f>
        <v>6755.26649595241</v>
      </c>
      <c r="Q76" s="667" t="n">
        <f aca="false">$C$76*Q72</f>
        <v>7278.36683177746</v>
      </c>
      <c r="R76" s="667" t="n">
        <f aca="false">$C$76*R72</f>
        <v>7244.01619815826</v>
      </c>
      <c r="S76" s="667" t="n">
        <f aca="false">$C$76*S72</f>
        <v>7334.72781587539</v>
      </c>
      <c r="T76" s="667" t="n">
        <f aca="false">$C$76*T72</f>
        <v>7245.28890562493</v>
      </c>
      <c r="U76" s="667" t="n">
        <f aca="false">$C$76*U72</f>
        <v>6140.86717867868</v>
      </c>
      <c r="V76" s="667" t="n">
        <f aca="false">$C$76*V72</f>
        <v>5297.40232776813</v>
      </c>
      <c r="W76" s="667" t="n">
        <f aca="false">$C$76*W72</f>
        <v>5712.29996983967</v>
      </c>
      <c r="X76" s="667" t="n">
        <f aca="false">$C$76*X72</f>
        <v>6491.76680099668</v>
      </c>
      <c r="Y76" s="667" t="n">
        <f aca="false">$C$76*Y72</f>
        <v>7328.95365987219</v>
      </c>
      <c r="Z76" s="667" t="n">
        <f aca="false">$C$76*Z72</f>
        <v>10681.9837588451</v>
      </c>
    </row>
    <row r="77" customFormat="false" ht="12.75" hidden="false" customHeight="false" outlineLevel="0" collapsed="false">
      <c r="A77" s="388"/>
      <c r="D77" s="102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</row>
    <row r="78" customFormat="false" ht="12.75" hidden="false" customHeight="false" outlineLevel="0" collapsed="false">
      <c r="A78" s="398"/>
      <c r="D78" s="102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</row>
    <row r="79" customFormat="false" ht="12.75" hidden="false" customHeight="false" outlineLevel="0" collapsed="false">
      <c r="A79" s="398"/>
      <c r="D79" s="102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</row>
    <row r="80" customFormat="false" ht="12.75" hidden="false" customHeight="false" outlineLevel="0" collapsed="false">
      <c r="A80" s="398"/>
      <c r="D80" s="102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</row>
    <row r="81" customFormat="false" ht="12.75" hidden="false" customHeight="false" outlineLevel="0" collapsed="false">
      <c r="A81" s="245"/>
      <c r="B81" s="70"/>
      <c r="C81" s="70"/>
      <c r="D81" s="102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  <c r="Z81" s="102"/>
    </row>
    <row r="82" customFormat="false" ht="13.5" hidden="false" customHeight="false" outlineLevel="0" collapsed="false">
      <c r="A82" s="464"/>
      <c r="B82" s="671"/>
      <c r="C82" s="672"/>
      <c r="D82" s="672"/>
      <c r="E82" s="672"/>
      <c r="F82" s="672"/>
      <c r="G82" s="672"/>
      <c r="H82" s="672"/>
      <c r="I82" s="672"/>
      <c r="J82" s="672"/>
      <c r="K82" s="672"/>
      <c r="L82" s="672"/>
      <c r="M82" s="672"/>
      <c r="N82" s="672"/>
      <c r="O82" s="672"/>
      <c r="P82" s="672"/>
      <c r="Q82" s="102"/>
      <c r="R82" s="102"/>
      <c r="S82" s="102"/>
      <c r="T82" s="102"/>
      <c r="U82" s="102"/>
      <c r="V82" s="102"/>
      <c r="W82" s="102"/>
      <c r="X82" s="102"/>
      <c r="Y82" s="102"/>
      <c r="Z82" s="102"/>
    </row>
    <row r="83" customFormat="false" ht="12.75" hidden="false" customHeight="false" outlineLevel="0" collapsed="false">
      <c r="A83" s="464"/>
      <c r="B83" s="70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102"/>
      <c r="R83" s="102"/>
      <c r="S83" s="102"/>
      <c r="T83" s="102"/>
      <c r="U83" s="102"/>
      <c r="V83" s="102"/>
      <c r="W83" s="102"/>
      <c r="X83" s="102"/>
      <c r="Y83" s="102"/>
      <c r="Z83" s="102"/>
    </row>
    <row r="84" customFormat="false" ht="15.75" hidden="false" customHeight="false" outlineLevel="0" collapsed="false">
      <c r="A84" s="673"/>
      <c r="B84" s="70"/>
      <c r="C84" s="70"/>
      <c r="D84" s="70"/>
      <c r="E84" s="70"/>
      <c r="F84" s="70"/>
      <c r="G84" s="70"/>
      <c r="H84" s="70"/>
      <c r="I84" s="70"/>
      <c r="J84" s="674"/>
      <c r="K84" s="70"/>
      <c r="L84" s="70"/>
      <c r="M84" s="70"/>
      <c r="N84" s="70"/>
      <c r="O84" s="70"/>
      <c r="P84" s="70"/>
      <c r="Q84" s="102"/>
      <c r="R84" s="102"/>
      <c r="S84" s="102"/>
      <c r="T84" s="102"/>
      <c r="U84" s="102"/>
      <c r="V84" s="102"/>
      <c r="W84" s="102"/>
      <c r="X84" s="102"/>
      <c r="Y84" s="102"/>
      <c r="Z84" s="102"/>
    </row>
    <row r="85" customFormat="false" ht="12.75" hidden="false" customHeight="false" outlineLevel="0" collapsed="false">
      <c r="A85" s="395"/>
      <c r="B85" s="70"/>
      <c r="C85" s="674"/>
      <c r="D85" s="674"/>
      <c r="E85" s="674"/>
      <c r="F85" s="674"/>
      <c r="G85" s="674"/>
      <c r="H85" s="674"/>
      <c r="I85" s="674"/>
      <c r="J85" s="674"/>
      <c r="K85" s="674"/>
      <c r="L85" s="674"/>
      <c r="M85" s="674"/>
      <c r="N85" s="674"/>
      <c r="O85" s="674"/>
      <c r="P85" s="674"/>
      <c r="Q85" s="102"/>
      <c r="R85" s="102"/>
      <c r="S85" s="102"/>
      <c r="T85" s="102"/>
      <c r="U85" s="102"/>
      <c r="V85" s="102"/>
      <c r="W85" s="102"/>
      <c r="X85" s="102"/>
      <c r="Y85" s="102"/>
      <c r="Z85" s="102"/>
    </row>
    <row r="86" customFormat="false" ht="12.75" hidden="false" customHeight="false" outlineLevel="0" collapsed="false">
      <c r="A86" s="70"/>
      <c r="B86" s="70"/>
      <c r="C86" s="674"/>
      <c r="D86" s="674"/>
      <c r="E86" s="674"/>
      <c r="F86" s="674"/>
      <c r="G86" s="674"/>
      <c r="H86" s="674"/>
      <c r="I86" s="674"/>
      <c r="J86" s="674"/>
      <c r="K86" s="674"/>
      <c r="L86" s="674"/>
      <c r="M86" s="674"/>
      <c r="N86" s="674"/>
      <c r="O86" s="674"/>
      <c r="P86" s="674"/>
      <c r="Q86" s="102"/>
      <c r="R86" s="102"/>
      <c r="S86" s="102"/>
      <c r="T86" s="102"/>
      <c r="U86" s="102"/>
      <c r="V86" s="102"/>
      <c r="W86" s="102"/>
      <c r="X86" s="102"/>
      <c r="Y86" s="102"/>
      <c r="Z86" s="102"/>
    </row>
    <row r="87" customFormat="false" ht="12.75" hidden="false" customHeight="false" outlineLevel="0" collapsed="false">
      <c r="A87" s="70"/>
      <c r="B87" s="70"/>
      <c r="C87" s="674"/>
      <c r="D87" s="674"/>
      <c r="E87" s="70"/>
      <c r="F87" s="70"/>
      <c r="G87" s="70"/>
      <c r="H87" s="70"/>
      <c r="I87" s="674"/>
      <c r="J87" s="70"/>
      <c r="K87" s="70"/>
      <c r="L87" s="70"/>
      <c r="M87" s="70"/>
      <c r="N87" s="674"/>
      <c r="O87" s="674"/>
      <c r="P87" s="674"/>
      <c r="Q87" s="102"/>
      <c r="R87" s="102"/>
      <c r="S87" s="102"/>
      <c r="T87" s="102"/>
      <c r="U87" s="102"/>
      <c r="V87" s="102"/>
      <c r="W87" s="102"/>
      <c r="X87" s="102"/>
      <c r="Y87" s="102"/>
      <c r="Z87" s="102"/>
    </row>
    <row r="88" customFormat="false" ht="12.75" hidden="false" customHeight="false" outlineLevel="0" collapsed="false">
      <c r="A88" s="70"/>
      <c r="B88" s="70"/>
      <c r="C88" s="674"/>
      <c r="D88" s="674"/>
      <c r="E88" s="674"/>
      <c r="F88" s="674"/>
      <c r="G88" s="674"/>
      <c r="H88" s="674"/>
      <c r="I88" s="674"/>
      <c r="J88" s="674"/>
      <c r="K88" s="674"/>
      <c r="L88" s="674"/>
      <c r="M88" s="674"/>
      <c r="N88" s="674"/>
      <c r="O88" s="674"/>
      <c r="P88" s="674"/>
      <c r="Q88" s="321"/>
      <c r="R88" s="321"/>
      <c r="S88" s="321"/>
      <c r="T88" s="321"/>
      <c r="U88" s="321"/>
      <c r="V88" s="321"/>
      <c r="W88" s="321"/>
      <c r="X88" s="321"/>
      <c r="Y88" s="321"/>
      <c r="Z88" s="321"/>
    </row>
    <row r="89" customFormat="false" ht="12.75" hidden="false" customHeight="false" outlineLevel="0" collapsed="false">
      <c r="A89" s="70"/>
      <c r="B89" s="70"/>
      <c r="C89" s="674"/>
      <c r="D89" s="674"/>
      <c r="E89" s="674"/>
      <c r="F89" s="674"/>
      <c r="G89" s="674"/>
      <c r="H89" s="70"/>
      <c r="I89" s="674"/>
      <c r="J89" s="674"/>
      <c r="K89" s="674"/>
      <c r="L89" s="674"/>
      <c r="M89" s="674"/>
      <c r="N89" s="674"/>
      <c r="O89" s="674"/>
      <c r="P89" s="674"/>
      <c r="Q89" s="102"/>
      <c r="R89" s="102"/>
      <c r="S89" s="102"/>
      <c r="T89" s="102"/>
      <c r="U89" s="102"/>
      <c r="V89" s="102"/>
      <c r="W89" s="102"/>
      <c r="X89" s="102"/>
      <c r="Y89" s="102"/>
      <c r="Z89" s="102"/>
    </row>
    <row r="90" customFormat="false" ht="12.75" hidden="false" customHeight="false" outlineLevel="0" collapsed="false">
      <c r="A90" s="70"/>
      <c r="B90" s="70"/>
      <c r="C90" s="674"/>
      <c r="D90" s="674"/>
      <c r="E90" s="674"/>
      <c r="F90" s="674"/>
      <c r="G90" s="674"/>
      <c r="H90" s="70"/>
      <c r="I90" s="674"/>
      <c r="J90" s="674"/>
      <c r="K90" s="674"/>
      <c r="L90" s="674"/>
      <c r="M90" s="674"/>
      <c r="N90" s="674"/>
      <c r="O90" s="674"/>
      <c r="P90" s="674"/>
      <c r="Q90" s="102"/>
      <c r="R90" s="102"/>
      <c r="S90" s="102"/>
      <c r="T90" s="102"/>
      <c r="U90" s="102"/>
      <c r="V90" s="102"/>
      <c r="W90" s="102"/>
      <c r="X90" s="102"/>
      <c r="Y90" s="102"/>
      <c r="Z90" s="102"/>
    </row>
    <row r="91" customFormat="false" ht="12.75" hidden="false" customHeight="false" outlineLevel="0" collapsed="false">
      <c r="A91" s="70"/>
      <c r="B91" s="70"/>
      <c r="C91" s="674"/>
      <c r="D91" s="674"/>
      <c r="E91" s="674"/>
      <c r="F91" s="674"/>
      <c r="G91" s="674"/>
      <c r="H91" s="674"/>
      <c r="I91" s="674"/>
      <c r="J91" s="674"/>
      <c r="K91" s="674"/>
      <c r="L91" s="674"/>
      <c r="M91" s="674"/>
      <c r="N91" s="674"/>
      <c r="O91" s="674"/>
      <c r="P91" s="674"/>
      <c r="Q91" s="102"/>
      <c r="R91" s="102"/>
      <c r="S91" s="102"/>
      <c r="T91" s="102"/>
      <c r="U91" s="102"/>
      <c r="V91" s="102"/>
      <c r="W91" s="102"/>
      <c r="X91" s="102"/>
      <c r="Y91" s="102"/>
      <c r="Z91" s="102"/>
    </row>
    <row r="92" customFormat="false" ht="12.75" hidden="false" customHeight="false" outlineLevel="0" collapsed="false">
      <c r="A92" s="70"/>
      <c r="B92" s="70"/>
      <c r="C92" s="674"/>
      <c r="D92" s="674"/>
      <c r="E92" s="674"/>
      <c r="F92" s="674"/>
      <c r="G92" s="674"/>
      <c r="H92" s="674"/>
      <c r="I92" s="674"/>
      <c r="J92" s="674"/>
      <c r="K92" s="674"/>
      <c r="L92" s="674"/>
      <c r="M92" s="674"/>
      <c r="N92" s="674"/>
      <c r="O92" s="674"/>
      <c r="P92" s="674"/>
      <c r="Q92" s="102"/>
      <c r="R92" s="102"/>
      <c r="S92" s="102"/>
      <c r="T92" s="102"/>
      <c r="U92" s="102"/>
      <c r="V92" s="102"/>
      <c r="W92" s="102"/>
      <c r="X92" s="102"/>
      <c r="Y92" s="102"/>
      <c r="Z92" s="102"/>
    </row>
    <row r="93" customFormat="false" ht="12.75" hidden="false" customHeight="false" outlineLevel="0" collapsed="false">
      <c r="A93" s="70"/>
      <c r="B93" s="70"/>
      <c r="C93" s="674"/>
      <c r="D93" s="674"/>
      <c r="E93" s="674"/>
      <c r="F93" s="674"/>
      <c r="G93" s="674"/>
      <c r="H93" s="674"/>
      <c r="I93" s="674"/>
      <c r="J93" s="674"/>
      <c r="K93" s="674"/>
      <c r="L93" s="674"/>
      <c r="M93" s="674"/>
      <c r="N93" s="674"/>
      <c r="O93" s="674"/>
      <c r="P93" s="674"/>
      <c r="Q93" s="102"/>
      <c r="R93" s="102"/>
      <c r="S93" s="102"/>
      <c r="T93" s="102"/>
      <c r="U93" s="102"/>
      <c r="V93" s="102"/>
      <c r="W93" s="102"/>
      <c r="X93" s="102"/>
      <c r="Y93" s="102"/>
      <c r="Z93" s="102"/>
    </row>
    <row r="94" customFormat="false" ht="12.75" hidden="false" customHeight="false" outlineLevel="0" collapsed="false">
      <c r="A94" s="395"/>
      <c r="B94" s="70"/>
      <c r="C94" s="674"/>
      <c r="D94" s="674"/>
      <c r="E94" s="674"/>
      <c r="F94" s="674"/>
      <c r="G94" s="674"/>
      <c r="H94" s="674"/>
      <c r="I94" s="674"/>
      <c r="J94" s="674"/>
      <c r="K94" s="674"/>
      <c r="L94" s="674"/>
      <c r="M94" s="674"/>
      <c r="N94" s="674"/>
      <c r="O94" s="674"/>
      <c r="P94" s="674"/>
      <c r="Q94" s="102"/>
      <c r="R94" s="102"/>
      <c r="S94" s="102"/>
      <c r="T94" s="102"/>
      <c r="U94" s="102"/>
      <c r="V94" s="102"/>
      <c r="W94" s="102"/>
      <c r="X94" s="102"/>
      <c r="Y94" s="102"/>
      <c r="Z94" s="102"/>
    </row>
    <row r="95" customFormat="false" ht="12.75" hidden="false" customHeight="false" outlineLevel="0" collapsed="false">
      <c r="A95" s="395"/>
      <c r="B95" s="70"/>
      <c r="C95" s="674"/>
      <c r="D95" s="674"/>
      <c r="E95" s="674"/>
      <c r="F95" s="674"/>
      <c r="G95" s="674"/>
      <c r="H95" s="674"/>
      <c r="I95" s="674"/>
      <c r="J95" s="674"/>
      <c r="K95" s="674"/>
      <c r="L95" s="674"/>
      <c r="M95" s="674"/>
      <c r="N95" s="674"/>
      <c r="O95" s="674"/>
      <c r="P95" s="674"/>
      <c r="Q95" s="102"/>
      <c r="R95" s="102"/>
      <c r="S95" s="102"/>
      <c r="T95" s="102"/>
      <c r="U95" s="102"/>
      <c r="V95" s="102"/>
      <c r="W95" s="102"/>
      <c r="X95" s="102"/>
      <c r="Y95" s="102"/>
      <c r="Z95" s="102"/>
    </row>
    <row r="96" customFormat="false" ht="12.75" hidden="false" customHeight="false" outlineLevel="0" collapsed="false">
      <c r="A96" s="70"/>
      <c r="B96" s="70"/>
      <c r="C96" s="674"/>
      <c r="D96" s="674"/>
      <c r="E96" s="674"/>
      <c r="F96" s="674"/>
      <c r="G96" s="674"/>
      <c r="H96" s="674"/>
      <c r="I96" s="674"/>
      <c r="J96" s="674"/>
      <c r="K96" s="674"/>
      <c r="L96" s="674"/>
      <c r="M96" s="674"/>
      <c r="N96" s="674"/>
      <c r="O96" s="674"/>
      <c r="P96" s="674"/>
      <c r="Q96" s="102"/>
      <c r="R96" s="102"/>
      <c r="S96" s="102"/>
      <c r="T96" s="102"/>
      <c r="U96" s="102"/>
      <c r="V96" s="102"/>
      <c r="W96" s="102"/>
      <c r="X96" s="102"/>
      <c r="Y96" s="102"/>
      <c r="Z96" s="102"/>
    </row>
    <row r="97" customFormat="false" ht="12.75" hidden="false" customHeight="false" outlineLevel="0" collapsed="false">
      <c r="A97" s="395"/>
      <c r="B97" s="70"/>
      <c r="C97" s="674"/>
      <c r="D97" s="674"/>
      <c r="E97" s="674"/>
      <c r="F97" s="674"/>
      <c r="G97" s="674"/>
      <c r="H97" s="674"/>
      <c r="I97" s="674"/>
      <c r="J97" s="674"/>
      <c r="K97" s="674"/>
      <c r="L97" s="674"/>
      <c r="M97" s="674"/>
      <c r="N97" s="674"/>
      <c r="O97" s="674"/>
      <c r="P97" s="674"/>
      <c r="Q97" s="102"/>
      <c r="R97" s="102"/>
      <c r="S97" s="102"/>
      <c r="T97" s="102"/>
      <c r="U97" s="102"/>
      <c r="V97" s="102"/>
      <c r="W97" s="102"/>
      <c r="X97" s="102"/>
      <c r="Y97" s="102"/>
      <c r="Z97" s="102"/>
    </row>
    <row r="98" customFormat="false" ht="12.75" hidden="false" customHeight="false" outlineLevel="0" collapsed="false">
      <c r="A98" s="70"/>
      <c r="B98" s="70"/>
      <c r="C98" s="674"/>
      <c r="D98" s="674"/>
      <c r="E98" s="674"/>
      <c r="F98" s="674"/>
      <c r="G98" s="674"/>
      <c r="H98" s="674"/>
      <c r="I98" s="674"/>
      <c r="J98" s="674"/>
      <c r="K98" s="674"/>
      <c r="L98" s="674"/>
      <c r="M98" s="674"/>
      <c r="N98" s="674"/>
      <c r="O98" s="674"/>
      <c r="P98" s="674"/>
      <c r="Q98" s="102"/>
      <c r="R98" s="102"/>
      <c r="S98" s="102"/>
      <c r="T98" s="102"/>
      <c r="U98" s="102"/>
      <c r="V98" s="102"/>
      <c r="W98" s="102"/>
      <c r="X98" s="102"/>
      <c r="Y98" s="102"/>
      <c r="Z98" s="102"/>
    </row>
    <row r="99" customFormat="false" ht="12.75" hidden="false" customHeight="false" outlineLevel="0" collapsed="false">
      <c r="A99" s="70"/>
      <c r="B99" s="395"/>
      <c r="C99" s="675"/>
      <c r="D99" s="675"/>
      <c r="E99" s="675"/>
      <c r="F99" s="675"/>
      <c r="G99" s="675"/>
      <c r="H99" s="675"/>
      <c r="I99" s="675"/>
      <c r="J99" s="675"/>
      <c r="K99" s="675"/>
      <c r="L99" s="675"/>
      <c r="M99" s="675"/>
      <c r="N99" s="675"/>
      <c r="O99" s="675"/>
      <c r="P99" s="675"/>
      <c r="Q99" s="102"/>
      <c r="R99" s="102"/>
      <c r="S99" s="102"/>
      <c r="T99" s="102"/>
      <c r="U99" s="102"/>
      <c r="V99" s="102"/>
      <c r="W99" s="102"/>
      <c r="X99" s="102"/>
      <c r="Y99" s="102"/>
      <c r="Z99" s="102"/>
    </row>
    <row r="100" customFormat="false" ht="12.75" hidden="false" customHeight="false" outlineLevel="0" collapsed="false">
      <c r="A100" s="70"/>
      <c r="B100" s="395"/>
      <c r="C100" s="675"/>
      <c r="D100" s="675"/>
      <c r="E100" s="675"/>
      <c r="F100" s="675"/>
      <c r="G100" s="675"/>
      <c r="H100" s="675"/>
      <c r="I100" s="675"/>
      <c r="J100" s="675"/>
      <c r="K100" s="675"/>
      <c r="L100" s="675"/>
      <c r="M100" s="675"/>
      <c r="N100" s="675"/>
      <c r="O100" s="675"/>
      <c r="P100" s="675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</row>
    <row r="101" customFormat="false" ht="12.75" hidden="false" customHeight="false" outlineLevel="0" collapsed="false">
      <c r="A101" s="395"/>
      <c r="B101" s="395"/>
      <c r="C101" s="675"/>
      <c r="D101" s="675"/>
      <c r="E101" s="675"/>
      <c r="F101" s="675"/>
      <c r="G101" s="675"/>
      <c r="H101" s="675"/>
      <c r="I101" s="675"/>
      <c r="J101" s="675"/>
      <c r="K101" s="675"/>
      <c r="L101" s="675"/>
      <c r="M101" s="675"/>
      <c r="N101" s="675"/>
      <c r="O101" s="675"/>
      <c r="P101" s="675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</row>
    <row r="102" customFormat="false" ht="12.75" hidden="false" customHeight="false" outlineLevel="0" collapsed="false">
      <c r="A102" s="395"/>
      <c r="B102" s="70"/>
      <c r="C102" s="675"/>
      <c r="D102" s="675"/>
      <c r="E102" s="675"/>
      <c r="F102" s="675"/>
      <c r="G102" s="675"/>
      <c r="H102" s="675"/>
      <c r="I102" s="675"/>
      <c r="J102" s="675"/>
      <c r="K102" s="675"/>
      <c r="L102" s="675"/>
      <c r="M102" s="675"/>
      <c r="N102" s="675"/>
      <c r="O102" s="675"/>
      <c r="P102" s="675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</row>
    <row r="103" customFormat="false" ht="14.25" hidden="false" customHeight="false" outlineLevel="0" collapsed="false">
      <c r="A103" s="676"/>
      <c r="B103" s="70"/>
      <c r="C103" s="675"/>
      <c r="D103" s="675"/>
      <c r="E103" s="675"/>
      <c r="F103" s="675"/>
      <c r="G103" s="675"/>
      <c r="H103" s="675"/>
      <c r="I103" s="675"/>
      <c r="J103" s="675"/>
      <c r="K103" s="675"/>
      <c r="L103" s="675"/>
      <c r="M103" s="675"/>
      <c r="N103" s="675"/>
      <c r="O103" s="675"/>
      <c r="P103" s="675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</row>
    <row r="104" customFormat="false" ht="14.25" hidden="false" customHeight="false" outlineLevel="0" collapsed="false">
      <c r="A104" s="70"/>
      <c r="B104" s="676"/>
      <c r="C104" s="675"/>
      <c r="D104" s="675"/>
      <c r="E104" s="675"/>
      <c r="F104" s="675"/>
      <c r="G104" s="675"/>
      <c r="H104" s="675"/>
      <c r="I104" s="675"/>
      <c r="J104" s="675"/>
      <c r="K104" s="675"/>
      <c r="L104" s="675"/>
      <c r="M104" s="675"/>
      <c r="N104" s="675"/>
      <c r="O104" s="675"/>
      <c r="P104" s="675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</row>
    <row r="105" customFormat="false" ht="15.75" hidden="false" customHeight="false" outlineLevel="0" collapsed="false">
      <c r="A105" s="673"/>
      <c r="B105" s="70"/>
      <c r="C105" s="70"/>
      <c r="D105" s="70"/>
      <c r="E105" s="674"/>
      <c r="F105" s="70"/>
      <c r="G105" s="70"/>
      <c r="H105" s="674"/>
      <c r="I105" s="70"/>
      <c r="J105" s="70"/>
      <c r="K105" s="70"/>
      <c r="L105" s="70"/>
      <c r="M105" s="70"/>
      <c r="N105" s="70"/>
      <c r="O105" s="70"/>
      <c r="P105" s="70"/>
      <c r="Q105" s="102"/>
      <c r="R105" s="102"/>
      <c r="S105" s="102"/>
      <c r="T105" s="102"/>
      <c r="U105" s="102"/>
      <c r="V105" s="102"/>
      <c r="W105" s="102"/>
      <c r="X105" s="102"/>
      <c r="Y105" s="102"/>
      <c r="Z105" s="102"/>
    </row>
    <row r="106" customFormat="false" ht="12.75" hidden="false" customHeight="false" outlineLevel="0" collapsed="false">
      <c r="A106" s="395"/>
      <c r="B106" s="70"/>
      <c r="C106" s="677"/>
      <c r="D106" s="677"/>
      <c r="E106" s="674"/>
      <c r="F106" s="674"/>
      <c r="G106" s="674"/>
      <c r="H106" s="678"/>
      <c r="I106" s="679"/>
      <c r="J106" s="679"/>
      <c r="K106" s="679"/>
      <c r="L106" s="679"/>
      <c r="M106" s="679"/>
      <c r="N106" s="679"/>
      <c r="O106" s="679"/>
      <c r="P106" s="679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</row>
    <row r="107" customFormat="false" ht="12.75" hidden="false" customHeight="false" outlineLevel="0" collapsed="false">
      <c r="A107" s="395"/>
      <c r="B107" s="198"/>
      <c r="C107" s="680"/>
      <c r="D107" s="680"/>
      <c r="E107" s="680"/>
      <c r="F107" s="680"/>
      <c r="G107" s="680"/>
      <c r="H107" s="680"/>
      <c r="I107" s="680"/>
      <c r="J107" s="680"/>
      <c r="K107" s="680"/>
      <c r="L107" s="680"/>
      <c r="M107" s="680"/>
      <c r="N107" s="680"/>
      <c r="O107" s="680"/>
      <c r="P107" s="680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</row>
    <row r="108" customFormat="false" ht="12.75" hidden="false" customHeight="false" outlineLevel="0" collapsed="false">
      <c r="A108" s="198"/>
      <c r="B108" s="198"/>
      <c r="C108" s="680"/>
      <c r="D108" s="680"/>
      <c r="E108" s="680"/>
      <c r="F108" s="680"/>
      <c r="G108" s="680"/>
      <c r="H108" s="680"/>
      <c r="I108" s="680"/>
      <c r="J108" s="680"/>
      <c r="K108" s="680"/>
      <c r="L108" s="680"/>
      <c r="M108" s="680"/>
      <c r="N108" s="680"/>
      <c r="O108" s="680"/>
      <c r="P108" s="680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</row>
    <row r="109" customFormat="false" ht="12.75" hidden="false" customHeight="false" outlineLevel="0" collapsed="false">
      <c r="A109" s="198"/>
      <c r="B109" s="198"/>
      <c r="C109" s="680"/>
      <c r="D109" s="680"/>
      <c r="E109" s="680"/>
      <c r="F109" s="680"/>
      <c r="G109" s="680"/>
      <c r="H109" s="680"/>
      <c r="I109" s="680"/>
      <c r="J109" s="680"/>
      <c r="K109" s="680"/>
      <c r="L109" s="680"/>
      <c r="M109" s="680"/>
      <c r="N109" s="680"/>
      <c r="O109" s="680"/>
      <c r="P109" s="680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</row>
    <row r="110" customFormat="false" ht="12.75" hidden="false" customHeight="false" outlineLevel="0" collapsed="false">
      <c r="A110" s="198"/>
      <c r="B110" s="70"/>
      <c r="C110" s="674"/>
      <c r="D110" s="674"/>
      <c r="E110" s="674"/>
      <c r="F110" s="674"/>
      <c r="G110" s="674"/>
      <c r="H110" s="674"/>
      <c r="I110" s="674"/>
      <c r="J110" s="674"/>
      <c r="K110" s="674"/>
      <c r="L110" s="674"/>
      <c r="M110" s="674"/>
      <c r="N110" s="674"/>
      <c r="O110" s="674"/>
      <c r="P110" s="674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</row>
    <row r="111" customFormat="false" ht="12.75" hidden="false" customHeight="false" outlineLevel="0" collapsed="false">
      <c r="A111" s="70"/>
      <c r="B111" s="395"/>
      <c r="C111" s="675"/>
      <c r="D111" s="675"/>
      <c r="E111" s="675"/>
      <c r="F111" s="675"/>
      <c r="G111" s="675"/>
      <c r="H111" s="675"/>
      <c r="I111" s="675"/>
      <c r="J111" s="675"/>
      <c r="K111" s="675"/>
      <c r="L111" s="675"/>
      <c r="M111" s="675"/>
      <c r="N111" s="675"/>
      <c r="O111" s="675"/>
      <c r="P111" s="675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</row>
    <row r="112" customFormat="false" ht="12.75" hidden="false" customHeight="false" outlineLevel="0" collapsed="false">
      <c r="A112" s="395"/>
      <c r="B112" s="395"/>
      <c r="C112" s="675"/>
      <c r="D112" s="675"/>
      <c r="E112" s="675"/>
      <c r="F112" s="675"/>
      <c r="G112" s="675"/>
      <c r="H112" s="675"/>
      <c r="I112" s="675"/>
      <c r="J112" s="675"/>
      <c r="K112" s="675"/>
      <c r="L112" s="675"/>
      <c r="M112" s="675"/>
      <c r="N112" s="675"/>
      <c r="O112" s="675"/>
      <c r="P112" s="675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</row>
    <row r="113" customFormat="false" ht="12.75" hidden="false" customHeight="false" outlineLevel="0" collapsed="false">
      <c r="A113" s="395"/>
      <c r="B113" s="70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</row>
    <row r="114" customFormat="false" ht="12.75" hidden="false" customHeight="false" outlineLevel="0" collapsed="false">
      <c r="A114" s="70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</row>
    <row r="115" customFormat="false" ht="12.75" hidden="false" customHeight="false" outlineLevel="0" collapsed="false">
      <c r="A115" s="70"/>
      <c r="B115" s="395"/>
      <c r="C115" s="675"/>
      <c r="D115" s="675"/>
      <c r="E115" s="675"/>
      <c r="F115" s="675"/>
      <c r="G115" s="675"/>
      <c r="H115" s="675"/>
      <c r="I115" s="675"/>
      <c r="J115" s="675"/>
      <c r="K115" s="675"/>
      <c r="L115" s="675"/>
      <c r="M115" s="675"/>
      <c r="N115" s="675"/>
      <c r="O115" s="675"/>
      <c r="P115" s="675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</row>
    <row r="116" customFormat="false" ht="14.25" hidden="false" customHeight="false" outlineLevel="0" collapsed="false">
      <c r="A116" s="676"/>
      <c r="B116" s="70"/>
      <c r="C116" s="674"/>
      <c r="D116" s="674"/>
      <c r="E116" s="674"/>
      <c r="F116" s="674"/>
      <c r="G116" s="674"/>
      <c r="H116" s="674"/>
      <c r="I116" s="674"/>
      <c r="J116" s="674"/>
      <c r="K116" s="674"/>
      <c r="L116" s="674"/>
      <c r="M116" s="674"/>
      <c r="N116" s="674"/>
      <c r="O116" s="674"/>
      <c r="P116" s="674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</row>
    <row r="117" customFormat="false" ht="12.75" hidden="false" customHeight="false" outlineLevel="0" collapsed="false">
      <c r="A117" s="366"/>
      <c r="B117" s="70"/>
      <c r="C117" s="70"/>
      <c r="D117" s="70"/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</row>
    <row r="118" customFormat="false" ht="12.75" hidden="false" customHeight="false" outlineLevel="0" collapsed="false">
      <c r="A118" s="367"/>
      <c r="B118" s="70"/>
      <c r="C118" s="70"/>
      <c r="D118" s="70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</row>
    <row r="119" customFormat="false" ht="12.75" hidden="false" customHeight="false" outlineLevel="0" collapsed="false">
      <c r="A119" s="367"/>
      <c r="B119" s="70"/>
      <c r="C119" s="70"/>
      <c r="D119" s="70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</row>
    <row r="120" customFormat="false" ht="12.75" hidden="false" customHeight="false" outlineLevel="0" collapsed="false">
      <c r="A120" s="367"/>
      <c r="B120" s="70"/>
      <c r="C120" s="70"/>
      <c r="D120" s="70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  <c r="Z120" s="102"/>
    </row>
    <row r="121" customFormat="false" ht="12.75" hidden="false" customHeight="false" outlineLevel="0" collapsed="false">
      <c r="A121" s="367"/>
      <c r="B121" s="70"/>
      <c r="C121" s="70"/>
      <c r="D121" s="70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</row>
    <row r="122" customFormat="false" ht="12.75" hidden="false" customHeight="false" outlineLevel="0" collapsed="false">
      <c r="A122" s="367"/>
      <c r="B122" s="70"/>
      <c r="C122" s="70"/>
      <c r="D122" s="70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</row>
    <row r="123" customFormat="false" ht="12.75" hidden="false" customHeight="false" outlineLevel="0" collapsed="false">
      <c r="A123" s="367"/>
      <c r="B123" s="70"/>
      <c r="C123" s="70"/>
      <c r="D123" s="70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</row>
    <row r="124" customFormat="false" ht="12.75" hidden="false" customHeight="false" outlineLevel="0" collapsed="false">
      <c r="A124" s="367"/>
      <c r="B124" s="70"/>
      <c r="C124" s="70"/>
      <c r="D124" s="70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</row>
    <row r="125" customFormat="false" ht="12.75" hidden="false" customHeight="false" outlineLevel="0" collapsed="false">
      <c r="A125" s="388"/>
      <c r="B125" s="70"/>
      <c r="C125" s="70"/>
      <c r="D125" s="70"/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</row>
    <row r="126" customFormat="false" ht="12.75" hidden="false" customHeight="false" outlineLevel="0" collapsed="false">
      <c r="A126" s="670"/>
      <c r="B126" s="70"/>
      <c r="C126" s="70"/>
      <c r="D126" s="70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</row>
    <row r="127" customFormat="false" ht="12.75" hidden="false" customHeight="false" outlineLevel="0" collapsed="false">
      <c r="A127" s="367"/>
      <c r="B127" s="70"/>
      <c r="C127" s="70"/>
      <c r="D127" s="70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</row>
    <row r="128" customFormat="false" ht="12.75" hidden="false" customHeight="false" outlineLevel="0" collapsed="false">
      <c r="A128" s="367"/>
      <c r="B128" s="70"/>
      <c r="C128" s="70"/>
      <c r="D128" s="70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</row>
    <row r="129" customFormat="false" ht="12.75" hidden="false" customHeight="false" outlineLevel="0" collapsed="false">
      <c r="A129" s="681"/>
      <c r="B129" s="70"/>
      <c r="C129" s="70"/>
      <c r="D129" s="70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  <c r="Z129" s="102"/>
    </row>
    <row r="130" customFormat="false" ht="12.75" hidden="false" customHeight="false" outlineLevel="0" collapsed="false">
      <c r="A130" s="681"/>
      <c r="B130" s="70"/>
      <c r="C130" s="70"/>
      <c r="D130" s="70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  <c r="Z130" s="102"/>
    </row>
    <row r="131" customFormat="false" ht="12.75" hidden="false" customHeight="false" outlineLevel="0" collapsed="false">
      <c r="A131" s="367"/>
      <c r="B131" s="70"/>
      <c r="C131" s="70"/>
      <c r="D131" s="70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</row>
    <row r="132" customFormat="false" ht="12.75" hidden="false" customHeight="false" outlineLevel="0" collapsed="false">
      <c r="A132" s="681"/>
      <c r="B132" s="70"/>
      <c r="C132" s="70"/>
      <c r="D132" s="70"/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</row>
    <row r="133" customFormat="false" ht="12.75" hidden="false" customHeight="false" outlineLevel="0" collapsed="false">
      <c r="A133" s="367"/>
      <c r="B133" s="70"/>
      <c r="C133" s="70"/>
      <c r="D133" s="70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</row>
    <row r="134" customFormat="false" ht="12.75" hidden="false" customHeight="false" outlineLevel="0" collapsed="false">
      <c r="A134" s="367"/>
      <c r="B134" s="70"/>
      <c r="C134" s="70"/>
      <c r="D134" s="70"/>
      <c r="E134" s="102"/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</row>
    <row r="135" customFormat="false" ht="12.75" hidden="false" customHeight="false" outlineLevel="0" collapsed="false">
      <c r="A135" s="367"/>
      <c r="B135" s="70"/>
      <c r="C135" s="70"/>
      <c r="D135" s="70"/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102"/>
      <c r="Y135" s="102"/>
      <c r="Z135" s="102"/>
    </row>
    <row r="136" customFormat="false" ht="12.75" hidden="false" customHeight="false" outlineLevel="0" collapsed="false">
      <c r="A136" s="681"/>
      <c r="B136" s="70"/>
      <c r="C136" s="70"/>
      <c r="D136" s="70"/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102"/>
      <c r="Y136" s="102"/>
      <c r="Z136" s="102"/>
    </row>
    <row r="137" customFormat="false" ht="12.75" hidden="false" customHeight="false" outlineLevel="0" collapsed="false">
      <c r="A137" s="366"/>
      <c r="B137" s="70"/>
      <c r="C137" s="70"/>
      <c r="D137" s="70"/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  <c r="Z137" s="102"/>
    </row>
    <row r="138" customFormat="false" ht="12.75" hidden="false" customHeight="false" outlineLevel="0" collapsed="false">
      <c r="A138" s="388"/>
      <c r="B138" s="70"/>
      <c r="C138" s="70"/>
      <c r="D138" s="70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</row>
    <row r="139" customFormat="false" ht="12.75" hidden="false" customHeight="false" outlineLevel="0" collapsed="false">
      <c r="A139" s="388"/>
      <c r="B139" s="70"/>
      <c r="C139" s="70"/>
      <c r="D139" s="70"/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  <c r="Z139" s="102"/>
    </row>
    <row r="140" customFormat="false" ht="15" hidden="false" customHeight="true" outlineLevel="0" collapsed="false">
      <c r="A140" s="388"/>
      <c r="B140" s="70"/>
      <c r="C140" s="70"/>
      <c r="D140" s="70"/>
      <c r="E140" s="70"/>
      <c r="F140" s="245"/>
      <c r="G140" s="245"/>
      <c r="H140" s="245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</row>
    <row r="141" customFormat="false" ht="12.75" hidden="false" customHeight="false" outlineLevel="0" collapsed="false">
      <c r="A141" s="388"/>
      <c r="B141" s="70"/>
      <c r="C141" s="70"/>
      <c r="D141" s="70"/>
      <c r="E141" s="70"/>
      <c r="F141" s="245"/>
      <c r="G141" s="245"/>
      <c r="H141" s="245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102"/>
      <c r="Y141" s="102"/>
      <c r="Z141" s="102"/>
    </row>
    <row r="142" customFormat="false" ht="14.25" hidden="false" customHeight="true" outlineLevel="0" collapsed="false">
      <c r="A142" s="388"/>
      <c r="B142" s="70"/>
      <c r="C142" s="70"/>
      <c r="D142" s="70"/>
      <c r="E142" s="70"/>
      <c r="F142" s="245"/>
      <c r="G142" s="245"/>
      <c r="H142" s="245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  <c r="Z142" s="102"/>
    </row>
    <row r="143" customFormat="false" ht="12.75" hidden="false" customHeight="false" outlineLevel="0" collapsed="false">
      <c r="A143" s="388"/>
      <c r="B143" s="70"/>
      <c r="C143" s="70"/>
      <c r="D143" s="70"/>
      <c r="E143" s="70"/>
      <c r="F143" s="245"/>
      <c r="G143" s="245"/>
      <c r="H143" s="245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</row>
    <row r="144" customFormat="false" ht="12.75" hidden="false" customHeight="false" outlineLevel="0" collapsed="false">
      <c r="A144" s="388"/>
      <c r="B144" s="70"/>
      <c r="C144" s="70"/>
      <c r="D144" s="70"/>
      <c r="E144" s="70"/>
      <c r="F144" s="245"/>
      <c r="G144" s="245"/>
      <c r="H144" s="245"/>
      <c r="I144" s="245"/>
      <c r="J144" s="245"/>
      <c r="K144" s="245"/>
      <c r="L144" s="245"/>
      <c r="M144" s="245"/>
      <c r="N144" s="245"/>
      <c r="O144" s="245"/>
      <c r="P144" s="245"/>
      <c r="Q144" s="245"/>
      <c r="R144" s="245"/>
      <c r="S144" s="245"/>
      <c r="T144" s="245"/>
      <c r="U144" s="245"/>
      <c r="V144" s="245"/>
      <c r="W144" s="245"/>
      <c r="X144" s="245"/>
      <c r="Y144" s="245"/>
      <c r="Z144" s="245"/>
    </row>
    <row r="145" customFormat="false" ht="12.75" hidden="false" customHeight="false" outlineLevel="0" collapsed="false">
      <c r="A145" s="398"/>
      <c r="B145" s="70"/>
      <c r="C145" s="70"/>
      <c r="D145" s="70"/>
      <c r="E145" s="70"/>
      <c r="F145" s="245"/>
      <c r="G145" s="245"/>
      <c r="H145" s="245"/>
      <c r="I145" s="245"/>
      <c r="J145" s="245"/>
      <c r="K145" s="245"/>
      <c r="L145" s="245"/>
      <c r="M145" s="245"/>
      <c r="N145" s="245"/>
      <c r="O145" s="245"/>
      <c r="P145" s="245"/>
      <c r="Q145" s="245"/>
      <c r="R145" s="245"/>
      <c r="S145" s="245"/>
      <c r="T145" s="245"/>
      <c r="U145" s="245"/>
      <c r="V145" s="245"/>
      <c r="W145" s="245"/>
      <c r="X145" s="245"/>
      <c r="Y145" s="245"/>
      <c r="Z145" s="245"/>
    </row>
    <row r="146" customFormat="false" ht="12.75" hidden="false" customHeight="false" outlineLevel="0" collapsed="false">
      <c r="A146" s="398"/>
      <c r="B146" s="70"/>
      <c r="C146" s="70"/>
      <c r="D146" s="70"/>
      <c r="E146" s="70"/>
      <c r="F146" s="245"/>
      <c r="G146" s="245"/>
      <c r="H146" s="245"/>
      <c r="I146" s="245"/>
      <c r="J146" s="245"/>
      <c r="K146" s="245"/>
      <c r="L146" s="245"/>
      <c r="M146" s="245"/>
      <c r="N146" s="245"/>
      <c r="O146" s="245"/>
      <c r="P146" s="245"/>
      <c r="Q146" s="245"/>
      <c r="R146" s="245"/>
      <c r="S146" s="245"/>
      <c r="T146" s="245"/>
      <c r="U146" s="245"/>
      <c r="V146" s="245"/>
      <c r="W146" s="245"/>
      <c r="X146" s="245"/>
      <c r="Y146" s="245"/>
      <c r="Z146" s="245"/>
    </row>
    <row r="147" customFormat="false" ht="12.75" hidden="false" customHeight="false" outlineLevel="0" collapsed="false">
      <c r="A147" s="398"/>
      <c r="B147" s="70"/>
      <c r="C147" s="70"/>
      <c r="D147" s="70"/>
      <c r="E147" s="70"/>
      <c r="F147" s="245"/>
      <c r="G147" s="245"/>
      <c r="H147" s="245"/>
      <c r="I147" s="245"/>
      <c r="J147" s="245"/>
      <c r="K147" s="245"/>
      <c r="L147" s="245"/>
      <c r="M147" s="245"/>
      <c r="N147" s="245"/>
      <c r="O147" s="245"/>
      <c r="P147" s="245"/>
      <c r="Q147" s="245"/>
      <c r="R147" s="245"/>
      <c r="S147" s="245"/>
      <c r="T147" s="245"/>
      <c r="U147" s="245"/>
      <c r="V147" s="245"/>
      <c r="W147" s="245"/>
      <c r="X147" s="245"/>
      <c r="Y147" s="245"/>
      <c r="Z147" s="245"/>
    </row>
    <row r="148" customFormat="false" ht="12.75" hidden="false" customHeight="false" outlineLevel="0" collapsed="false">
      <c r="A148" s="245"/>
      <c r="B148" s="70"/>
      <c r="C148" s="70"/>
      <c r="D148" s="70"/>
      <c r="E148" s="70"/>
      <c r="F148" s="245"/>
      <c r="G148" s="245"/>
      <c r="H148" s="245"/>
      <c r="I148" s="245"/>
      <c r="J148" s="245"/>
      <c r="K148" s="245"/>
      <c r="L148" s="245"/>
      <c r="M148" s="245"/>
      <c r="N148" s="245"/>
      <c r="O148" s="245"/>
      <c r="P148" s="245"/>
      <c r="Q148" s="245"/>
      <c r="R148" s="245"/>
      <c r="S148" s="245"/>
      <c r="T148" s="245"/>
      <c r="U148" s="245"/>
      <c r="V148" s="245"/>
      <c r="W148" s="245"/>
      <c r="X148" s="245"/>
      <c r="Y148" s="245"/>
      <c r="Z148" s="245"/>
    </row>
    <row r="149" customFormat="false" ht="12.75" hidden="false" customHeight="false" outlineLevel="0" collapsed="false">
      <c r="A149" s="70"/>
      <c r="B149" s="70"/>
      <c r="C149" s="70"/>
      <c r="D149" s="70"/>
      <c r="E149" s="70"/>
      <c r="F149" s="245"/>
      <c r="G149" s="245"/>
      <c r="H149" s="245"/>
      <c r="I149" s="245"/>
      <c r="J149" s="245"/>
      <c r="K149" s="245"/>
      <c r="L149" s="245"/>
      <c r="M149" s="245"/>
      <c r="N149" s="245"/>
      <c r="O149" s="245"/>
      <c r="P149" s="245"/>
      <c r="Q149" s="245"/>
      <c r="R149" s="245"/>
      <c r="S149" s="245"/>
      <c r="T149" s="245"/>
      <c r="U149" s="245"/>
      <c r="V149" s="245"/>
      <c r="W149" s="245"/>
      <c r="X149" s="245"/>
      <c r="Y149" s="245"/>
      <c r="Z149" s="245"/>
    </row>
    <row r="150" customFormat="false" ht="12.75" hidden="false" customHeight="false" outlineLevel="0" collapsed="false">
      <c r="A150" s="70"/>
      <c r="B150" s="70"/>
      <c r="C150" s="70"/>
      <c r="D150" s="70"/>
      <c r="E150" s="70"/>
      <c r="F150" s="245"/>
      <c r="G150" s="245"/>
      <c r="H150" s="245"/>
      <c r="I150" s="245"/>
      <c r="J150" s="245"/>
      <c r="K150" s="245"/>
      <c r="L150" s="245"/>
      <c r="M150" s="245"/>
      <c r="N150" s="245"/>
      <c r="O150" s="245"/>
      <c r="P150" s="245"/>
      <c r="Q150" s="245"/>
      <c r="R150" s="245"/>
      <c r="S150" s="245"/>
      <c r="T150" s="245"/>
      <c r="U150" s="245"/>
      <c r="V150" s="245"/>
      <c r="W150" s="245"/>
      <c r="X150" s="245"/>
      <c r="Y150" s="245"/>
      <c r="Z150" s="245"/>
    </row>
    <row r="151" customFormat="false" ht="12.75" hidden="false" customHeight="false" outlineLevel="0" collapsed="false">
      <c r="A151" s="70"/>
      <c r="B151" s="70"/>
      <c r="C151" s="70"/>
      <c r="D151" s="70"/>
      <c r="E151" s="70"/>
      <c r="F151" s="245"/>
      <c r="G151" s="245"/>
      <c r="H151" s="245"/>
      <c r="I151" s="245"/>
      <c r="J151" s="245"/>
      <c r="K151" s="245"/>
      <c r="L151" s="245"/>
      <c r="M151" s="245"/>
      <c r="N151" s="245"/>
      <c r="O151" s="245"/>
      <c r="P151" s="245"/>
      <c r="Q151" s="245"/>
      <c r="R151" s="245"/>
      <c r="S151" s="245"/>
      <c r="T151" s="245"/>
      <c r="U151" s="245"/>
      <c r="V151" s="245"/>
      <c r="W151" s="245"/>
      <c r="X151" s="245"/>
      <c r="Y151" s="245"/>
      <c r="Z151" s="245"/>
    </row>
    <row r="152" customFormat="false" ht="18.75" hidden="false" customHeight="false" outlineLevel="0" collapsed="false">
      <c r="A152" s="682"/>
      <c r="B152" s="70"/>
      <c r="C152" s="70"/>
      <c r="D152" s="70"/>
      <c r="E152" s="70"/>
      <c r="F152" s="245"/>
      <c r="G152" s="245"/>
      <c r="H152" s="245"/>
      <c r="I152" s="245"/>
      <c r="J152" s="245"/>
      <c r="K152" s="245"/>
      <c r="L152" s="245"/>
      <c r="M152" s="245"/>
      <c r="N152" s="245"/>
      <c r="O152" s="245"/>
      <c r="P152" s="245"/>
      <c r="Q152" s="245"/>
      <c r="R152" s="245"/>
      <c r="S152" s="245"/>
      <c r="T152" s="245"/>
      <c r="U152" s="245"/>
      <c r="V152" s="245"/>
      <c r="W152" s="245"/>
      <c r="X152" s="245"/>
      <c r="Y152" s="245"/>
      <c r="Z152" s="245"/>
    </row>
    <row r="153" customFormat="false" ht="12.75" hidden="false" customHeight="false" outlineLevel="0" collapsed="false">
      <c r="A153" s="395"/>
      <c r="B153" s="70"/>
      <c r="C153" s="70"/>
      <c r="D153" s="70"/>
      <c r="E153" s="70"/>
      <c r="F153" s="245"/>
      <c r="G153" s="245"/>
      <c r="H153" s="245"/>
      <c r="I153" s="245"/>
      <c r="J153" s="245"/>
      <c r="K153" s="245"/>
      <c r="L153" s="245"/>
      <c r="M153" s="245"/>
      <c r="N153" s="245"/>
      <c r="O153" s="245"/>
      <c r="P153" s="245"/>
      <c r="Q153" s="245"/>
      <c r="R153" s="245"/>
      <c r="S153" s="245"/>
      <c r="T153" s="245"/>
      <c r="U153" s="245"/>
      <c r="V153" s="245"/>
      <c r="W153" s="245"/>
      <c r="X153" s="245"/>
      <c r="Y153" s="245"/>
      <c r="Z153" s="245"/>
    </row>
    <row r="154" customFormat="false" ht="12.75" hidden="false" customHeight="false" outlineLevel="0" collapsed="false">
      <c r="A154" s="395"/>
      <c r="B154" s="70"/>
      <c r="C154" s="70"/>
      <c r="D154" s="70"/>
      <c r="E154" s="70"/>
      <c r="F154" s="245"/>
      <c r="G154" s="245"/>
      <c r="H154" s="245"/>
      <c r="I154" s="245"/>
      <c r="J154" s="245"/>
      <c r="K154" s="245"/>
      <c r="L154" s="245"/>
      <c r="M154" s="245"/>
      <c r="N154" s="245"/>
      <c r="O154" s="245"/>
      <c r="P154" s="245"/>
      <c r="Q154" s="245"/>
      <c r="R154" s="245"/>
      <c r="S154" s="245"/>
      <c r="T154" s="245"/>
      <c r="U154" s="245"/>
      <c r="V154" s="245"/>
      <c r="W154" s="245"/>
      <c r="X154" s="245"/>
      <c r="Y154" s="245"/>
      <c r="Z154" s="245"/>
    </row>
    <row r="155" customFormat="false" ht="12.75" hidden="false" customHeight="false" outlineLevel="0" collapsed="false">
      <c r="A155" s="70"/>
      <c r="B155" s="70"/>
      <c r="C155" s="70"/>
      <c r="D155" s="70"/>
      <c r="E155" s="70"/>
      <c r="F155" s="245"/>
      <c r="G155" s="245"/>
      <c r="H155" s="245"/>
      <c r="I155" s="245"/>
      <c r="J155" s="245"/>
      <c r="K155" s="245"/>
      <c r="L155" s="245"/>
      <c r="M155" s="245"/>
      <c r="N155" s="245"/>
      <c r="O155" s="245"/>
      <c r="P155" s="245"/>
      <c r="Q155" s="245"/>
      <c r="R155" s="245"/>
      <c r="S155" s="245"/>
      <c r="T155" s="245"/>
      <c r="U155" s="245"/>
      <c r="V155" s="245"/>
      <c r="W155" s="245"/>
      <c r="X155" s="245"/>
      <c r="Y155" s="245"/>
      <c r="Z155" s="245"/>
    </row>
    <row r="156" customFormat="false" ht="12.75" hidden="false" customHeight="false" outlineLevel="0" collapsed="false">
      <c r="A156" s="70"/>
      <c r="B156" s="70"/>
      <c r="C156" s="70"/>
      <c r="D156" s="70"/>
      <c r="E156" s="70"/>
      <c r="F156" s="245"/>
      <c r="G156" s="245"/>
      <c r="H156" s="245"/>
      <c r="I156" s="245"/>
      <c r="J156" s="245"/>
      <c r="K156" s="245"/>
      <c r="L156" s="245"/>
      <c r="M156" s="245"/>
      <c r="N156" s="245"/>
      <c r="O156" s="245"/>
      <c r="P156" s="245"/>
      <c r="Q156" s="245"/>
      <c r="R156" s="245"/>
      <c r="S156" s="245"/>
      <c r="T156" s="245"/>
      <c r="U156" s="245"/>
      <c r="V156" s="245"/>
      <c r="W156" s="245"/>
      <c r="X156" s="245"/>
      <c r="Y156" s="245"/>
      <c r="Z156" s="245"/>
    </row>
    <row r="157" customFormat="false" ht="12.75" hidden="false" customHeight="false" outlineLevel="0" collapsed="false">
      <c r="A157" s="322"/>
      <c r="B157" s="322"/>
      <c r="C157" s="322"/>
      <c r="D157" s="322"/>
      <c r="E157" s="321"/>
      <c r="F157" s="321"/>
      <c r="G157" s="321"/>
      <c r="H157" s="321"/>
      <c r="I157" s="321"/>
      <c r="J157" s="321"/>
      <c r="K157" s="321"/>
      <c r="L157" s="321"/>
      <c r="M157" s="321"/>
      <c r="N157" s="321"/>
      <c r="O157" s="321"/>
      <c r="P157" s="321"/>
      <c r="Q157" s="321"/>
      <c r="R157" s="321"/>
      <c r="S157" s="321"/>
      <c r="T157" s="321"/>
      <c r="U157" s="321"/>
      <c r="V157" s="321"/>
      <c r="W157" s="321"/>
      <c r="X157" s="321"/>
      <c r="Y157" s="321"/>
      <c r="Z157" s="321"/>
    </row>
    <row r="158" customFormat="false" ht="12.75" hidden="false" customHeight="false" outlineLevel="0" collapsed="false">
      <c r="A158" s="388"/>
      <c r="B158" s="70"/>
      <c r="C158" s="70"/>
      <c r="D158" s="70"/>
      <c r="E158" s="70"/>
      <c r="F158" s="245"/>
      <c r="G158" s="245"/>
      <c r="H158" s="245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</row>
    <row r="159" customFormat="false" ht="12.75" hidden="false" customHeight="false" outlineLevel="0" collapsed="false">
      <c r="A159" s="367"/>
      <c r="B159" s="70"/>
      <c r="C159" s="70"/>
      <c r="D159" s="70"/>
      <c r="E159" s="70"/>
      <c r="F159" s="245"/>
      <c r="G159" s="245"/>
      <c r="H159" s="245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</row>
    <row r="160" customFormat="false" ht="12.75" hidden="false" customHeight="false" outlineLevel="0" collapsed="false">
      <c r="A160" s="367"/>
      <c r="B160" s="70"/>
      <c r="C160" s="70"/>
      <c r="D160" s="70"/>
      <c r="E160" s="70"/>
      <c r="F160" s="245"/>
      <c r="G160" s="245"/>
      <c r="H160" s="245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</row>
    <row r="161" customFormat="false" ht="12.75" hidden="false" customHeight="false" outlineLevel="0" collapsed="false">
      <c r="A161" s="366"/>
      <c r="B161" s="70"/>
      <c r="C161" s="70"/>
      <c r="D161" s="70"/>
      <c r="E161" s="70"/>
      <c r="F161" s="245"/>
      <c r="G161" s="245"/>
      <c r="H161" s="245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</row>
    <row r="162" customFormat="false" ht="12.75" hidden="false" customHeight="false" outlineLevel="0" collapsed="false">
      <c r="A162" s="245"/>
      <c r="B162" s="70"/>
      <c r="C162" s="70"/>
      <c r="D162" s="70"/>
      <c r="E162" s="70"/>
      <c r="F162" s="245"/>
      <c r="G162" s="245"/>
      <c r="H162" s="245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</row>
    <row r="163" customFormat="false" ht="12.75" hidden="false" customHeight="false" outlineLevel="0" collapsed="false">
      <c r="A163" s="388"/>
      <c r="B163" s="70"/>
      <c r="C163" s="70"/>
      <c r="D163" s="70"/>
      <c r="E163" s="70"/>
      <c r="F163" s="245"/>
      <c r="G163" s="245"/>
      <c r="H163" s="245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</row>
    <row r="164" customFormat="false" ht="12.75" hidden="false" customHeight="false" outlineLevel="0" collapsed="false">
      <c r="A164" s="367"/>
      <c r="B164" s="70"/>
      <c r="C164" s="70"/>
      <c r="D164" s="70"/>
      <c r="E164" s="70"/>
      <c r="F164" s="245"/>
      <c r="G164" s="245"/>
      <c r="H164" s="245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</row>
    <row r="165" customFormat="false" ht="12.75" hidden="false" customHeight="false" outlineLevel="0" collapsed="false">
      <c r="A165" s="367"/>
      <c r="B165" s="70"/>
      <c r="C165" s="70"/>
      <c r="D165" s="70"/>
      <c r="E165" s="70"/>
      <c r="F165" s="245"/>
      <c r="G165" s="245"/>
      <c r="H165" s="245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</row>
    <row r="166" customFormat="false" ht="12.75" hidden="false" customHeight="false" outlineLevel="0" collapsed="false">
      <c r="A166" s="367"/>
      <c r="B166" s="70"/>
      <c r="C166" s="70"/>
      <c r="D166" s="70"/>
      <c r="E166" s="102"/>
      <c r="F166" s="245"/>
      <c r="G166" s="245"/>
      <c r="H166" s="245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</row>
    <row r="167" customFormat="false" ht="12.75" hidden="false" customHeight="false" outlineLevel="0" collapsed="false">
      <c r="A167" s="367"/>
      <c r="B167" s="70"/>
      <c r="C167" s="70"/>
      <c r="D167" s="70"/>
      <c r="E167" s="70"/>
      <c r="F167" s="245"/>
      <c r="G167" s="245"/>
      <c r="H167" s="245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</row>
    <row r="168" customFormat="false" ht="12.75" hidden="false" customHeight="false" outlineLevel="0" collapsed="false">
      <c r="A168" s="245"/>
      <c r="B168" s="70"/>
      <c r="C168" s="70"/>
      <c r="D168" s="70"/>
      <c r="E168" s="70"/>
      <c r="F168" s="245"/>
      <c r="G168" s="245"/>
      <c r="H168" s="245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</row>
    <row r="169" customFormat="false" ht="12.75" hidden="false" customHeight="false" outlineLevel="0" collapsed="false">
      <c r="A169" s="388"/>
      <c r="B169" s="70"/>
      <c r="C169" s="70"/>
      <c r="D169" s="70"/>
      <c r="E169" s="70"/>
      <c r="F169" s="245"/>
      <c r="G169" s="245"/>
      <c r="H169" s="245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</row>
    <row r="170" customFormat="false" ht="12.75" hidden="false" customHeight="false" outlineLevel="0" collapsed="false">
      <c r="A170" s="245"/>
      <c r="B170" s="70"/>
      <c r="C170" s="70"/>
      <c r="D170" s="70"/>
      <c r="E170" s="70"/>
      <c r="F170" s="245"/>
      <c r="G170" s="245"/>
      <c r="H170" s="245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</row>
    <row r="171" customFormat="false" ht="12.75" hidden="false" customHeight="false" outlineLevel="0" collapsed="false">
      <c r="A171" s="388"/>
      <c r="B171" s="70"/>
      <c r="C171" s="70"/>
      <c r="D171" s="70"/>
      <c r="E171" s="70"/>
      <c r="F171" s="245"/>
      <c r="G171" s="245"/>
      <c r="H171" s="245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</row>
    <row r="172" customFormat="false" ht="12.75" hidden="false" customHeight="false" outlineLevel="0" collapsed="false">
      <c r="A172" s="367"/>
      <c r="B172" s="70"/>
      <c r="C172" s="70"/>
      <c r="D172" s="70"/>
      <c r="E172" s="70"/>
      <c r="F172" s="245"/>
      <c r="G172" s="245"/>
      <c r="H172" s="245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</row>
    <row r="173" customFormat="false" ht="12.75" hidden="false" customHeight="false" outlineLevel="0" collapsed="false">
      <c r="A173" s="388"/>
      <c r="B173" s="70"/>
      <c r="C173" s="70"/>
      <c r="D173" s="70"/>
      <c r="E173" s="70"/>
      <c r="F173" s="245"/>
      <c r="G173" s="245"/>
      <c r="H173" s="245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</row>
    <row r="174" customFormat="false" ht="12.75" hidden="false" customHeight="false" outlineLevel="0" collapsed="false">
      <c r="A174" s="681"/>
      <c r="B174" s="70"/>
      <c r="C174" s="70"/>
      <c r="D174" s="70"/>
      <c r="E174" s="70"/>
      <c r="F174" s="245"/>
      <c r="G174" s="245"/>
      <c r="H174" s="245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</row>
    <row r="175" customFormat="false" ht="12.75" hidden="false" customHeight="false" outlineLevel="0" collapsed="false">
      <c r="A175" s="367"/>
      <c r="B175" s="70"/>
      <c r="C175" s="70"/>
      <c r="D175" s="70"/>
      <c r="E175" s="70"/>
      <c r="F175" s="245"/>
      <c r="G175" s="245"/>
      <c r="H175" s="245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</row>
    <row r="176" customFormat="false" ht="12.75" hidden="false" customHeight="false" outlineLevel="0" collapsed="false">
      <c r="A176" s="366"/>
      <c r="B176" s="70"/>
      <c r="C176" s="70"/>
      <c r="D176" s="70"/>
      <c r="E176" s="70"/>
      <c r="F176" s="245"/>
      <c r="G176" s="245"/>
      <c r="H176" s="245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</row>
    <row r="177" customFormat="false" ht="12.75" hidden="false" customHeight="false" outlineLevel="0" collapsed="false">
      <c r="A177" s="367"/>
      <c r="B177" s="70"/>
      <c r="C177" s="70"/>
      <c r="D177" s="70"/>
      <c r="E177" s="70"/>
      <c r="F177" s="245"/>
      <c r="G177" s="245"/>
      <c r="H177" s="245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</row>
    <row r="178" customFormat="false" ht="12.75" hidden="false" customHeight="false" outlineLevel="0" collapsed="false">
      <c r="A178" s="366"/>
      <c r="B178" s="70"/>
      <c r="C178" s="70"/>
      <c r="D178" s="70"/>
      <c r="E178" s="70"/>
      <c r="F178" s="245"/>
      <c r="G178" s="245"/>
      <c r="H178" s="245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</row>
    <row r="179" customFormat="false" ht="12.75" hidden="false" customHeight="false" outlineLevel="0" collapsed="false">
      <c r="A179" s="367"/>
      <c r="B179" s="70"/>
      <c r="C179" s="70"/>
      <c r="D179" s="70"/>
      <c r="E179" s="70"/>
      <c r="F179" s="245"/>
      <c r="G179" s="245"/>
      <c r="H179" s="245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</row>
    <row r="180" customFormat="false" ht="12.75" hidden="false" customHeight="false" outlineLevel="0" collapsed="false">
      <c r="A180" s="367"/>
      <c r="B180" s="70"/>
      <c r="C180" s="70"/>
      <c r="D180" s="70"/>
      <c r="E180" s="70"/>
      <c r="F180" s="245"/>
      <c r="G180" s="245"/>
      <c r="H180" s="245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</row>
    <row r="181" customFormat="false" ht="12.75" hidden="false" customHeight="false" outlineLevel="0" collapsed="false">
      <c r="A181" s="367"/>
      <c r="B181" s="70"/>
      <c r="C181" s="70"/>
      <c r="D181" s="70"/>
      <c r="E181" s="70"/>
      <c r="F181" s="245"/>
      <c r="G181" s="245"/>
      <c r="H181" s="245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</row>
    <row r="182" customFormat="false" ht="12.75" hidden="false" customHeight="false" outlineLevel="0" collapsed="false">
      <c r="A182" s="367"/>
      <c r="B182" s="70"/>
      <c r="C182" s="70"/>
      <c r="D182" s="70"/>
      <c r="E182" s="70"/>
      <c r="F182" s="245"/>
      <c r="G182" s="245"/>
      <c r="H182" s="245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</row>
    <row r="183" customFormat="false" ht="12.75" hidden="false" customHeight="false" outlineLevel="0" collapsed="false">
      <c r="A183" s="367"/>
      <c r="B183" s="70"/>
      <c r="C183" s="70"/>
      <c r="D183" s="70"/>
      <c r="E183" s="70"/>
      <c r="F183" s="245"/>
      <c r="G183" s="245"/>
      <c r="H183" s="245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</row>
    <row r="184" customFormat="false" ht="12.75" hidden="false" customHeight="false" outlineLevel="0" collapsed="false">
      <c r="A184" s="367"/>
      <c r="B184" s="70"/>
      <c r="C184" s="70"/>
      <c r="D184" s="70"/>
      <c r="E184" s="70"/>
      <c r="F184" s="245"/>
      <c r="G184" s="245"/>
      <c r="H184" s="245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</row>
    <row r="185" customFormat="false" ht="12.75" hidden="false" customHeight="false" outlineLevel="0" collapsed="false">
      <c r="A185" s="388"/>
      <c r="B185" s="70"/>
      <c r="C185" s="70"/>
      <c r="D185" s="70"/>
      <c r="E185" s="70"/>
      <c r="F185" s="245"/>
      <c r="G185" s="245"/>
      <c r="H185" s="245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</row>
    <row r="186" customFormat="false" ht="12.75" hidden="false" customHeight="false" outlineLevel="0" collapsed="false">
      <c r="A186" s="670"/>
      <c r="B186" s="70"/>
      <c r="C186" s="70"/>
      <c r="D186" s="70"/>
      <c r="E186" s="70"/>
      <c r="F186" s="245"/>
      <c r="G186" s="245"/>
      <c r="H186" s="245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</row>
    <row r="187" customFormat="false" ht="12.75" hidden="false" customHeight="false" outlineLevel="0" collapsed="false">
      <c r="A187" s="367"/>
      <c r="B187" s="70"/>
      <c r="C187" s="70"/>
      <c r="D187" s="70"/>
      <c r="E187" s="70"/>
      <c r="F187" s="245"/>
      <c r="G187" s="245"/>
      <c r="H187" s="245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</row>
    <row r="188" customFormat="false" ht="12.75" hidden="false" customHeight="false" outlineLevel="0" collapsed="false">
      <c r="A188" s="681"/>
      <c r="B188" s="70"/>
      <c r="C188" s="70"/>
      <c r="D188" s="70"/>
      <c r="E188" s="70"/>
      <c r="F188" s="245"/>
      <c r="G188" s="245"/>
      <c r="H188" s="245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</row>
    <row r="189" customFormat="false" ht="12.75" hidden="false" customHeight="false" outlineLevel="0" collapsed="false">
      <c r="A189" s="681"/>
      <c r="B189" s="70"/>
      <c r="C189" s="70"/>
      <c r="D189" s="70"/>
      <c r="E189" s="70"/>
      <c r="F189" s="245"/>
      <c r="G189" s="245"/>
      <c r="H189" s="245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</row>
    <row r="190" customFormat="false" ht="12.75" hidden="false" customHeight="false" outlineLevel="0" collapsed="false">
      <c r="A190" s="367"/>
      <c r="B190" s="70"/>
      <c r="C190" s="70"/>
      <c r="D190" s="70"/>
      <c r="E190" s="70"/>
      <c r="F190" s="245"/>
      <c r="G190" s="245"/>
      <c r="H190" s="245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</row>
    <row r="191" customFormat="false" ht="12.75" hidden="false" customHeight="false" outlineLevel="0" collapsed="false">
      <c r="A191" s="367"/>
      <c r="B191" s="70"/>
      <c r="C191" s="70"/>
      <c r="D191" s="70"/>
      <c r="E191" s="70"/>
      <c r="F191" s="245"/>
      <c r="G191" s="245"/>
      <c r="H191" s="245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</row>
    <row r="192" customFormat="false" ht="12.75" hidden="false" customHeight="false" outlineLevel="0" collapsed="false">
      <c r="A192" s="366"/>
      <c r="B192" s="70"/>
      <c r="C192" s="70"/>
      <c r="D192" s="70"/>
      <c r="E192" s="70"/>
      <c r="F192" s="245"/>
      <c r="G192" s="245"/>
      <c r="H192" s="245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</row>
    <row r="193" customFormat="false" ht="12.75" hidden="false" customHeight="false" outlineLevel="0" collapsed="false">
      <c r="A193" s="388"/>
      <c r="B193" s="70"/>
      <c r="C193" s="70"/>
      <c r="D193" s="70"/>
      <c r="E193" s="70"/>
      <c r="F193" s="245"/>
      <c r="G193" s="245"/>
      <c r="H193" s="245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</row>
    <row r="194" customFormat="false" ht="12.75" hidden="false" customHeight="false" outlineLevel="0" collapsed="false">
      <c r="A194" s="388"/>
      <c r="B194" s="70"/>
      <c r="C194" s="70"/>
      <c r="D194" s="70"/>
      <c r="E194" s="70"/>
      <c r="F194" s="245"/>
      <c r="G194" s="245"/>
      <c r="H194" s="245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</row>
    <row r="195" customFormat="false" ht="12.75" hidden="false" customHeight="false" outlineLevel="0" collapsed="false">
      <c r="A195" s="388"/>
      <c r="B195" s="70"/>
      <c r="C195" s="70"/>
      <c r="D195" s="70"/>
      <c r="E195" s="70"/>
      <c r="F195" s="245"/>
      <c r="G195" s="245"/>
      <c r="H195" s="245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</row>
    <row r="196" customFormat="false" ht="12.75" hidden="false" customHeight="false" outlineLevel="0" collapsed="false">
      <c r="A196" s="388"/>
      <c r="B196" s="70"/>
      <c r="C196" s="70"/>
      <c r="D196" s="70"/>
      <c r="E196" s="70"/>
      <c r="F196" s="245"/>
      <c r="G196" s="245"/>
      <c r="H196" s="245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</row>
    <row r="197" customFormat="false" ht="12.75" hidden="false" customHeight="false" outlineLevel="0" collapsed="false">
      <c r="A197" s="388"/>
      <c r="B197" s="70"/>
      <c r="C197" s="70"/>
      <c r="D197" s="70"/>
      <c r="E197" s="70"/>
      <c r="F197" s="245"/>
      <c r="G197" s="245"/>
      <c r="H197" s="245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</row>
    <row r="198" customFormat="false" ht="12.75" hidden="false" customHeight="false" outlineLevel="0" collapsed="false">
      <c r="A198" s="388"/>
      <c r="B198" s="70"/>
      <c r="C198" s="70"/>
      <c r="D198" s="70"/>
      <c r="E198" s="70"/>
      <c r="F198" s="245"/>
      <c r="G198" s="245"/>
      <c r="H198" s="245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</row>
    <row r="199" customFormat="false" ht="12.75" hidden="false" customHeight="false" outlineLevel="0" collapsed="false">
      <c r="A199" s="388"/>
      <c r="B199" s="70"/>
      <c r="C199" s="70"/>
      <c r="D199" s="70"/>
      <c r="E199" s="70"/>
      <c r="F199" s="245"/>
      <c r="G199" s="245"/>
      <c r="H199" s="245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</row>
    <row r="200" customFormat="false" ht="12.75" hidden="false" customHeight="false" outlineLevel="0" collapsed="false">
      <c r="A200" s="70"/>
      <c r="B200" s="70"/>
      <c r="C200" s="70"/>
      <c r="D200" s="70"/>
      <c r="E200" s="70"/>
      <c r="F200" s="245"/>
      <c r="G200" s="245"/>
      <c r="H200" s="245"/>
      <c r="I200" s="245"/>
      <c r="J200" s="245"/>
      <c r="K200" s="245"/>
      <c r="L200" s="245"/>
      <c r="M200" s="245"/>
      <c r="N200" s="245"/>
      <c r="O200" s="245"/>
      <c r="P200" s="245"/>
      <c r="Q200" s="245"/>
      <c r="R200" s="245"/>
      <c r="S200" s="245"/>
      <c r="T200" s="245"/>
      <c r="U200" s="245"/>
      <c r="V200" s="245"/>
      <c r="W200" s="245"/>
      <c r="X200" s="245"/>
      <c r="Y200" s="245"/>
      <c r="Z200" s="245"/>
    </row>
    <row r="201" customFormat="false" ht="12.75" hidden="false" customHeight="false" outlineLevel="0" collapsed="false">
      <c r="A201" s="70"/>
      <c r="B201" s="70"/>
      <c r="C201" s="70"/>
      <c r="D201" s="70"/>
      <c r="E201" s="70"/>
      <c r="F201" s="245"/>
      <c r="G201" s="245"/>
      <c r="H201" s="245"/>
      <c r="I201" s="245"/>
      <c r="J201" s="245"/>
      <c r="K201" s="245"/>
      <c r="L201" s="245"/>
      <c r="M201" s="245"/>
      <c r="N201" s="245"/>
      <c r="O201" s="245"/>
      <c r="P201" s="245"/>
      <c r="Q201" s="245"/>
      <c r="R201" s="245"/>
      <c r="S201" s="245"/>
      <c r="T201" s="245"/>
      <c r="U201" s="245"/>
      <c r="V201" s="245"/>
      <c r="W201" s="245"/>
      <c r="X201" s="245"/>
      <c r="Y201" s="245"/>
      <c r="Z201" s="245"/>
    </row>
    <row r="202" customFormat="false" ht="12.75" hidden="false" customHeight="false" outlineLevel="0" collapsed="false">
      <c r="A202" s="70"/>
      <c r="B202" s="70"/>
      <c r="C202" s="70"/>
      <c r="D202" s="70"/>
      <c r="E202" s="70"/>
      <c r="F202" s="70"/>
      <c r="G202" s="70"/>
      <c r="H202" s="70"/>
      <c r="I202" s="245"/>
      <c r="J202" s="245"/>
      <c r="K202" s="245"/>
      <c r="L202" s="245"/>
      <c r="M202" s="245"/>
      <c r="N202" s="245"/>
      <c r="O202" s="245"/>
      <c r="P202" s="245"/>
      <c r="Q202" s="245"/>
      <c r="R202" s="245"/>
      <c r="S202" s="245"/>
      <c r="T202" s="245"/>
      <c r="U202" s="245"/>
      <c r="V202" s="245"/>
      <c r="W202" s="245"/>
      <c r="X202" s="245"/>
      <c r="Y202" s="245"/>
      <c r="Z202" s="245"/>
    </row>
    <row r="203" customFormat="false" ht="18.75" hidden="false" customHeight="false" outlineLevel="0" collapsed="false">
      <c r="A203" s="683"/>
      <c r="B203" s="683"/>
      <c r="C203" s="683"/>
      <c r="D203" s="683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</row>
    <row r="204" customFormat="false" ht="12.75" hidden="false" customHeight="false" outlineLevel="0" collapsed="false">
      <c r="A204" s="395"/>
      <c r="B204" s="395"/>
      <c r="C204" s="395"/>
      <c r="D204" s="395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</row>
    <row r="205" customFormat="false" ht="12.75" hidden="false" customHeight="false" outlineLevel="0" collapsed="false">
      <c r="A205" s="395"/>
      <c r="B205" s="684"/>
      <c r="C205" s="684"/>
      <c r="D205" s="684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</row>
    <row r="206" customFormat="false" ht="12.75" hidden="false" customHeight="false" outlineLevel="0" collapsed="false">
      <c r="A206" s="70"/>
      <c r="B206" s="70"/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</row>
    <row r="207" customFormat="false" ht="12.75" hidden="false" customHeight="false" outlineLevel="0" collapsed="false">
      <c r="A207" s="322"/>
      <c r="B207" s="321"/>
      <c r="C207" s="321"/>
      <c r="D207" s="321"/>
      <c r="E207" s="321"/>
      <c r="F207" s="321"/>
      <c r="G207" s="321"/>
      <c r="H207" s="321"/>
      <c r="I207" s="321"/>
      <c r="J207" s="321"/>
      <c r="K207" s="321"/>
      <c r="L207" s="321"/>
      <c r="M207" s="321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</row>
    <row r="208" customFormat="false" ht="12.75" hidden="false" customHeight="false" outlineLevel="0" collapsed="false">
      <c r="A208" s="395"/>
      <c r="B208" s="395"/>
      <c r="C208" s="395"/>
      <c r="D208" s="395"/>
      <c r="E208" s="395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</row>
    <row r="209" customFormat="false" ht="12.75" hidden="false" customHeight="false" outlineLevel="0" collapsed="false">
      <c r="A209" s="685"/>
      <c r="B209" s="395"/>
      <c r="C209" s="395"/>
      <c r="D209" s="395"/>
      <c r="E209" s="395"/>
      <c r="F209" s="686"/>
      <c r="G209" s="686"/>
      <c r="H209" s="686"/>
      <c r="I209" s="686"/>
      <c r="J209" s="686"/>
      <c r="K209" s="686"/>
      <c r="L209" s="686"/>
      <c r="M209" s="686"/>
      <c r="N209" s="70"/>
      <c r="O209" s="686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</row>
    <row r="210" customFormat="false" ht="12.75" hidden="false" customHeight="false" outlineLevel="0" collapsed="false">
      <c r="A210" s="685"/>
      <c r="B210" s="395"/>
      <c r="C210" s="395"/>
      <c r="D210" s="395"/>
      <c r="E210" s="395"/>
      <c r="F210" s="686"/>
      <c r="G210" s="686"/>
      <c r="H210" s="686"/>
      <c r="I210" s="686"/>
      <c r="J210" s="686"/>
      <c r="K210" s="686"/>
      <c r="L210" s="686"/>
      <c r="M210" s="686"/>
      <c r="N210" s="70"/>
      <c r="O210" s="686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</row>
    <row r="211" customFormat="false" ht="12.75" hidden="false" customHeight="false" outlineLevel="0" collapsed="false">
      <c r="A211" s="685"/>
      <c r="B211" s="685"/>
      <c r="C211" s="685"/>
      <c r="D211" s="685"/>
      <c r="E211" s="685"/>
      <c r="F211" s="686"/>
      <c r="G211" s="686"/>
      <c r="H211" s="686"/>
      <c r="I211" s="686"/>
      <c r="J211" s="686"/>
      <c r="K211" s="686"/>
      <c r="L211" s="686"/>
      <c r="M211" s="686"/>
      <c r="N211" s="70"/>
      <c r="O211" s="686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</row>
    <row r="212" customFormat="false" ht="12.75" hidden="false" customHeight="false" outlineLevel="0" collapsed="false">
      <c r="A212" s="685"/>
      <c r="B212" s="685"/>
      <c r="C212" s="685"/>
      <c r="D212" s="685"/>
      <c r="E212" s="685"/>
      <c r="F212" s="686"/>
      <c r="G212" s="686"/>
      <c r="H212" s="686"/>
      <c r="I212" s="686"/>
      <c r="J212" s="686"/>
      <c r="K212" s="686"/>
      <c r="L212" s="686"/>
      <c r="M212" s="686"/>
      <c r="N212" s="70"/>
      <c r="O212" s="686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</row>
    <row r="213" customFormat="false" ht="12.75" hidden="false" customHeight="false" outlineLevel="0" collapsed="false">
      <c r="A213" s="685"/>
      <c r="B213" s="322"/>
      <c r="C213" s="322"/>
      <c r="D213" s="322"/>
      <c r="E213" s="322"/>
      <c r="F213" s="686"/>
      <c r="G213" s="686"/>
      <c r="H213" s="686"/>
      <c r="I213" s="686"/>
      <c r="J213" s="686"/>
      <c r="K213" s="686"/>
      <c r="L213" s="686"/>
      <c r="M213" s="686"/>
      <c r="N213" s="70"/>
      <c r="O213" s="686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</row>
    <row r="214" customFormat="false" ht="12.75" hidden="false" customHeight="false" outlineLevel="0" collapsed="false">
      <c r="A214" s="70"/>
      <c r="B214" s="70"/>
      <c r="C214" s="70"/>
      <c r="D214" s="70"/>
      <c r="E214" s="70"/>
      <c r="F214" s="686"/>
      <c r="G214" s="686"/>
      <c r="H214" s="686"/>
      <c r="I214" s="686"/>
      <c r="J214" s="686"/>
      <c r="K214" s="686"/>
      <c r="L214" s="686"/>
      <c r="M214" s="686"/>
      <c r="N214" s="70"/>
      <c r="O214" s="686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</row>
    <row r="215" customFormat="false" ht="12.75" hidden="false" customHeight="false" outlineLevel="0" collapsed="false">
      <c r="A215" s="395"/>
      <c r="B215" s="395"/>
      <c r="C215" s="395"/>
      <c r="D215" s="395"/>
      <c r="E215" s="395"/>
      <c r="F215" s="686"/>
      <c r="G215" s="686"/>
      <c r="H215" s="686"/>
      <c r="I215" s="686"/>
      <c r="J215" s="686"/>
      <c r="K215" s="686"/>
      <c r="L215" s="686"/>
      <c r="M215" s="686"/>
      <c r="N215" s="70"/>
      <c r="O215" s="686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</row>
    <row r="216" customFormat="false" ht="12.75" hidden="false" customHeight="false" outlineLevel="0" collapsed="false">
      <c r="A216" s="685"/>
      <c r="B216" s="395"/>
      <c r="C216" s="395"/>
      <c r="D216" s="395"/>
      <c r="E216" s="395"/>
      <c r="F216" s="686"/>
      <c r="G216" s="686"/>
      <c r="H216" s="686"/>
      <c r="I216" s="686"/>
      <c r="J216" s="686"/>
      <c r="K216" s="686"/>
      <c r="L216" s="686"/>
      <c r="M216" s="686"/>
      <c r="N216" s="70"/>
      <c r="O216" s="686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</row>
    <row r="217" customFormat="false" ht="12.75" hidden="false" customHeight="false" outlineLevel="0" collapsed="false">
      <c r="A217" s="685"/>
      <c r="B217" s="395"/>
      <c r="C217" s="395"/>
      <c r="D217" s="395"/>
      <c r="E217" s="395"/>
      <c r="F217" s="686"/>
      <c r="G217" s="686"/>
      <c r="H217" s="686"/>
      <c r="I217" s="686"/>
      <c r="J217" s="686"/>
      <c r="K217" s="686"/>
      <c r="L217" s="686"/>
      <c r="M217" s="686"/>
      <c r="N217" s="70"/>
      <c r="O217" s="686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</row>
    <row r="218" customFormat="false" ht="12.75" hidden="false" customHeight="false" outlineLevel="0" collapsed="false">
      <c r="A218" s="685"/>
      <c r="B218" s="395"/>
      <c r="C218" s="395"/>
      <c r="D218" s="395"/>
      <c r="E218" s="395"/>
      <c r="F218" s="686"/>
      <c r="G218" s="686"/>
      <c r="H218" s="686"/>
      <c r="I218" s="686"/>
      <c r="J218" s="686"/>
      <c r="K218" s="686"/>
      <c r="L218" s="686"/>
      <c r="M218" s="686"/>
      <c r="N218" s="70"/>
      <c r="O218" s="686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</row>
    <row r="219" customFormat="false" ht="12.75" hidden="false" customHeight="false" outlineLevel="0" collapsed="false">
      <c r="A219" s="685"/>
      <c r="B219" s="395"/>
      <c r="C219" s="395"/>
      <c r="D219" s="395"/>
      <c r="E219" s="395"/>
      <c r="F219" s="686"/>
      <c r="G219" s="686"/>
      <c r="H219" s="686"/>
      <c r="I219" s="686"/>
      <c r="J219" s="686"/>
      <c r="K219" s="686"/>
      <c r="L219" s="686"/>
      <c r="M219" s="686"/>
      <c r="N219" s="70"/>
      <c r="O219" s="686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</row>
    <row r="220" customFormat="false" ht="12.75" hidden="false" customHeight="false" outlineLevel="0" collapsed="false">
      <c r="A220" s="685"/>
      <c r="B220" s="395"/>
      <c r="C220" s="395"/>
      <c r="D220" s="395"/>
      <c r="E220" s="395"/>
      <c r="F220" s="686"/>
      <c r="G220" s="686"/>
      <c r="H220" s="686"/>
      <c r="I220" s="686"/>
      <c r="J220" s="686"/>
      <c r="K220" s="686"/>
      <c r="L220" s="686"/>
      <c r="M220" s="686"/>
      <c r="N220" s="70"/>
      <c r="O220" s="686"/>
      <c r="P220" s="70"/>
      <c r="Q220" s="70"/>
      <c r="R220" s="70"/>
      <c r="S220" s="70"/>
      <c r="T220" s="70"/>
      <c r="U220" s="70"/>
      <c r="V220" s="70"/>
      <c r="W220" s="70"/>
      <c r="X220" s="70"/>
      <c r="Y220" s="70"/>
      <c r="Z220" s="70"/>
    </row>
    <row r="221" customFormat="false" ht="12.75" hidden="false" customHeight="false" outlineLevel="0" collapsed="false">
      <c r="A221" s="685"/>
      <c r="B221" s="395"/>
      <c r="C221" s="395"/>
      <c r="D221" s="395"/>
      <c r="E221" s="395"/>
      <c r="F221" s="686"/>
      <c r="G221" s="686"/>
      <c r="H221" s="686"/>
      <c r="I221" s="686"/>
      <c r="J221" s="686"/>
      <c r="K221" s="686"/>
      <c r="L221" s="686"/>
      <c r="M221" s="686"/>
      <c r="N221" s="70"/>
      <c r="O221" s="686"/>
      <c r="P221" s="70"/>
      <c r="Q221" s="70"/>
      <c r="R221" s="70"/>
      <c r="S221" s="70"/>
      <c r="T221" s="70"/>
      <c r="U221" s="70"/>
      <c r="V221" s="70"/>
      <c r="W221" s="70"/>
      <c r="X221" s="70"/>
      <c r="Y221" s="70"/>
      <c r="Z221" s="70"/>
    </row>
    <row r="222" customFormat="false" ht="12.75" hidden="false" customHeight="false" outlineLevel="0" collapsed="false">
      <c r="A222" s="685"/>
      <c r="B222" s="395"/>
      <c r="C222" s="395"/>
      <c r="D222" s="395"/>
      <c r="E222" s="395"/>
      <c r="F222" s="686"/>
      <c r="G222" s="686"/>
      <c r="H222" s="686"/>
      <c r="I222" s="686"/>
      <c r="J222" s="686"/>
      <c r="K222" s="686"/>
      <c r="L222" s="686"/>
      <c r="M222" s="686"/>
      <c r="N222" s="70"/>
      <c r="O222" s="686"/>
      <c r="P222" s="70"/>
      <c r="Q222" s="70"/>
      <c r="R222" s="70"/>
      <c r="S222" s="70"/>
      <c r="T222" s="70"/>
      <c r="U222" s="70"/>
      <c r="V222" s="70"/>
      <c r="W222" s="70"/>
      <c r="X222" s="70"/>
      <c r="Y222" s="70"/>
      <c r="Z222" s="70"/>
    </row>
    <row r="223" customFormat="false" ht="12.75" hidden="false" customHeight="false" outlineLevel="0" collapsed="false">
      <c r="A223" s="685"/>
      <c r="B223" s="395"/>
      <c r="C223" s="395"/>
      <c r="D223" s="395"/>
      <c r="E223" s="395"/>
      <c r="F223" s="686"/>
      <c r="G223" s="686"/>
      <c r="H223" s="686"/>
      <c r="I223" s="686"/>
      <c r="J223" s="686"/>
      <c r="K223" s="686"/>
      <c r="L223" s="686"/>
      <c r="M223" s="686"/>
      <c r="N223" s="70"/>
      <c r="O223" s="686"/>
      <c r="P223" s="70"/>
      <c r="Q223" s="70"/>
      <c r="R223" s="70"/>
      <c r="S223" s="70"/>
      <c r="T223" s="70"/>
      <c r="U223" s="70"/>
      <c r="V223" s="70"/>
      <c r="W223" s="70"/>
      <c r="X223" s="70"/>
      <c r="Y223" s="70"/>
      <c r="Z223" s="70"/>
    </row>
    <row r="224" customFormat="false" ht="12.75" hidden="false" customHeight="false" outlineLevel="0" collapsed="false">
      <c r="A224" s="685"/>
      <c r="B224" s="395"/>
      <c r="C224" s="395"/>
      <c r="D224" s="395"/>
      <c r="E224" s="395"/>
      <c r="F224" s="686"/>
      <c r="G224" s="686"/>
      <c r="H224" s="686"/>
      <c r="I224" s="686"/>
      <c r="J224" s="686"/>
      <c r="K224" s="686"/>
      <c r="L224" s="686"/>
      <c r="M224" s="686"/>
      <c r="N224" s="70"/>
      <c r="O224" s="686"/>
      <c r="P224" s="70"/>
      <c r="Q224" s="70"/>
      <c r="R224" s="70"/>
      <c r="S224" s="70"/>
      <c r="T224" s="70"/>
      <c r="U224" s="70"/>
      <c r="V224" s="70"/>
      <c r="W224" s="70"/>
      <c r="X224" s="70"/>
      <c r="Y224" s="70"/>
      <c r="Z224" s="70"/>
    </row>
    <row r="225" customFormat="false" ht="12.75" hidden="false" customHeight="false" outlineLevel="0" collapsed="false">
      <c r="A225" s="685"/>
      <c r="B225" s="685"/>
      <c r="C225" s="685"/>
      <c r="D225" s="685"/>
      <c r="E225" s="685"/>
      <c r="F225" s="686"/>
      <c r="G225" s="686"/>
      <c r="H225" s="686"/>
      <c r="I225" s="686"/>
      <c r="J225" s="686"/>
      <c r="K225" s="686"/>
      <c r="L225" s="686"/>
      <c r="M225" s="686"/>
      <c r="N225" s="70"/>
      <c r="O225" s="686"/>
      <c r="P225" s="70"/>
      <c r="Q225" s="70"/>
      <c r="R225" s="70"/>
      <c r="S225" s="70"/>
      <c r="T225" s="70"/>
      <c r="U225" s="70"/>
      <c r="V225" s="70"/>
      <c r="W225" s="70"/>
      <c r="X225" s="70"/>
      <c r="Y225" s="70"/>
      <c r="Z225" s="70"/>
    </row>
    <row r="226" customFormat="false" ht="12.75" hidden="false" customHeight="false" outlineLevel="0" collapsed="false">
      <c r="A226" s="685"/>
      <c r="B226" s="685"/>
      <c r="C226" s="685"/>
      <c r="D226" s="685"/>
      <c r="E226" s="685"/>
      <c r="F226" s="686"/>
      <c r="G226" s="686"/>
      <c r="H226" s="686"/>
      <c r="I226" s="686"/>
      <c r="J226" s="686"/>
      <c r="K226" s="686"/>
      <c r="L226" s="686"/>
      <c r="M226" s="686"/>
      <c r="N226" s="70"/>
      <c r="O226" s="686"/>
      <c r="P226" s="70"/>
      <c r="Q226" s="70"/>
      <c r="R226" s="70"/>
      <c r="S226" s="70"/>
      <c r="T226" s="70"/>
      <c r="U226" s="70"/>
      <c r="V226" s="70"/>
      <c r="W226" s="70"/>
      <c r="X226" s="70"/>
      <c r="Y226" s="70"/>
      <c r="Z226" s="70"/>
    </row>
    <row r="227" customFormat="false" ht="12.75" hidden="false" customHeight="false" outlineLevel="0" collapsed="false">
      <c r="A227" s="395"/>
      <c r="B227" s="395"/>
      <c r="C227" s="395"/>
      <c r="D227" s="395"/>
      <c r="E227" s="395"/>
      <c r="F227" s="686"/>
      <c r="G227" s="686"/>
      <c r="H227" s="686"/>
      <c r="I227" s="686"/>
      <c r="J227" s="686"/>
      <c r="K227" s="686"/>
      <c r="L227" s="686"/>
      <c r="M227" s="686"/>
      <c r="N227" s="70"/>
      <c r="O227" s="686"/>
      <c r="P227" s="70"/>
      <c r="Q227" s="70"/>
      <c r="R227" s="70"/>
      <c r="S227" s="70"/>
      <c r="T227" s="70"/>
      <c r="U227" s="70"/>
      <c r="V227" s="70"/>
      <c r="W227" s="70"/>
      <c r="X227" s="70"/>
      <c r="Y227" s="70"/>
      <c r="Z227" s="70"/>
    </row>
    <row r="228" customFormat="false" ht="12.75" hidden="false" customHeight="false" outlineLevel="0" collapsed="false">
      <c r="A228" s="685"/>
      <c r="B228" s="685"/>
      <c r="C228" s="685"/>
      <c r="D228" s="685"/>
      <c r="E228" s="685"/>
      <c r="F228" s="686"/>
      <c r="G228" s="686"/>
      <c r="H228" s="686"/>
      <c r="I228" s="686"/>
      <c r="J228" s="686"/>
      <c r="K228" s="686"/>
      <c r="L228" s="686"/>
      <c r="M228" s="686"/>
      <c r="N228" s="70"/>
      <c r="O228" s="686"/>
      <c r="P228" s="70"/>
      <c r="Q228" s="70"/>
      <c r="R228" s="70"/>
      <c r="S228" s="70"/>
      <c r="T228" s="70"/>
      <c r="U228" s="70"/>
      <c r="V228" s="70"/>
      <c r="W228" s="70"/>
      <c r="X228" s="70"/>
      <c r="Y228" s="70"/>
      <c r="Z228" s="70"/>
    </row>
    <row r="229" customFormat="false" ht="12.75" hidden="false" customHeight="false" outlineLevel="0" collapsed="false">
      <c r="A229" s="685"/>
      <c r="B229" s="685"/>
      <c r="C229" s="685"/>
      <c r="D229" s="685"/>
      <c r="E229" s="685"/>
      <c r="F229" s="686"/>
      <c r="G229" s="686"/>
      <c r="H229" s="686"/>
      <c r="I229" s="686"/>
      <c r="J229" s="686"/>
      <c r="K229" s="686"/>
      <c r="L229" s="686"/>
      <c r="M229" s="686"/>
      <c r="N229" s="70"/>
      <c r="O229" s="686"/>
      <c r="P229" s="70"/>
      <c r="Q229" s="70"/>
      <c r="R229" s="70"/>
      <c r="S229" s="70"/>
      <c r="T229" s="70"/>
      <c r="U229" s="70"/>
      <c r="V229" s="70"/>
      <c r="W229" s="70"/>
      <c r="X229" s="70"/>
      <c r="Y229" s="70"/>
      <c r="Z229" s="70"/>
    </row>
    <row r="230" customFormat="false" ht="12.75" hidden="false" customHeight="false" outlineLevel="0" collapsed="false">
      <c r="A230" s="395"/>
      <c r="B230" s="395"/>
      <c r="C230" s="395"/>
      <c r="D230" s="395"/>
      <c r="E230" s="395"/>
      <c r="F230" s="686"/>
      <c r="G230" s="686"/>
      <c r="H230" s="686"/>
      <c r="I230" s="686"/>
      <c r="J230" s="686"/>
      <c r="K230" s="686"/>
      <c r="L230" s="686"/>
      <c r="M230" s="686"/>
      <c r="N230" s="70"/>
      <c r="O230" s="686"/>
      <c r="P230" s="70"/>
      <c r="Q230" s="70"/>
      <c r="R230" s="70"/>
      <c r="S230" s="70"/>
      <c r="T230" s="70"/>
      <c r="U230" s="70"/>
      <c r="V230" s="70"/>
      <c r="W230" s="70"/>
      <c r="X230" s="70"/>
      <c r="Y230" s="70"/>
      <c r="Z230" s="70"/>
    </row>
    <row r="231" customFormat="false" ht="12.75" hidden="false" customHeight="false" outlineLevel="0" collapsed="false">
      <c r="A231" s="395"/>
      <c r="B231" s="395"/>
      <c r="C231" s="395"/>
      <c r="D231" s="395"/>
      <c r="E231" s="395"/>
      <c r="F231" s="686"/>
      <c r="G231" s="686"/>
      <c r="H231" s="686"/>
      <c r="I231" s="686"/>
      <c r="J231" s="686"/>
      <c r="K231" s="686"/>
      <c r="L231" s="686"/>
      <c r="M231" s="686"/>
      <c r="N231" s="70"/>
      <c r="O231" s="686"/>
      <c r="P231" s="70"/>
      <c r="Q231" s="70"/>
      <c r="R231" s="70"/>
      <c r="S231" s="70"/>
      <c r="T231" s="70"/>
      <c r="U231" s="70"/>
      <c r="V231" s="70"/>
      <c r="W231" s="70"/>
      <c r="X231" s="70"/>
      <c r="Y231" s="70"/>
      <c r="Z231" s="70"/>
    </row>
    <row r="232" customFormat="false" ht="12.75" hidden="false" customHeight="false" outlineLevel="0" collapsed="false">
      <c r="A232" s="70"/>
      <c r="B232" s="395"/>
      <c r="C232" s="395"/>
      <c r="D232" s="395"/>
      <c r="E232" s="395"/>
      <c r="F232" s="686"/>
      <c r="G232" s="686"/>
      <c r="H232" s="686"/>
      <c r="I232" s="686"/>
      <c r="J232" s="686"/>
      <c r="K232" s="686"/>
      <c r="L232" s="686"/>
      <c r="M232" s="686"/>
      <c r="N232" s="70"/>
      <c r="O232" s="686"/>
      <c r="P232" s="70"/>
      <c r="Q232" s="70"/>
      <c r="R232" s="70"/>
      <c r="S232" s="70"/>
      <c r="T232" s="70"/>
      <c r="U232" s="70"/>
      <c r="V232" s="70"/>
      <c r="W232" s="70"/>
      <c r="X232" s="70"/>
      <c r="Y232" s="70"/>
      <c r="Z232" s="70"/>
    </row>
    <row r="233" customFormat="false" ht="12.75" hidden="false" customHeight="false" outlineLevel="0" collapsed="false">
      <c r="A233" s="70"/>
      <c r="B233" s="687"/>
      <c r="C233" s="687"/>
      <c r="D233" s="687"/>
      <c r="E233" s="687"/>
      <c r="F233" s="686"/>
      <c r="G233" s="686"/>
      <c r="H233" s="686"/>
      <c r="I233" s="686"/>
      <c r="J233" s="686"/>
      <c r="K233" s="686"/>
      <c r="L233" s="686"/>
      <c r="M233" s="686"/>
      <c r="N233" s="70"/>
      <c r="O233" s="686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</row>
    <row r="234" customFormat="false" ht="12.75" hidden="false" customHeight="false" outlineLevel="0" collapsed="false">
      <c r="A234" s="395"/>
      <c r="B234" s="687"/>
      <c r="C234" s="687"/>
      <c r="D234" s="687"/>
      <c r="E234" s="687"/>
      <c r="F234" s="686"/>
      <c r="G234" s="686"/>
      <c r="H234" s="686"/>
      <c r="I234" s="686"/>
      <c r="J234" s="686"/>
      <c r="K234" s="686"/>
      <c r="L234" s="686"/>
      <c r="M234" s="686"/>
      <c r="N234" s="70"/>
      <c r="O234" s="686"/>
      <c r="P234" s="70"/>
      <c r="Q234" s="70"/>
      <c r="R234" s="70"/>
      <c r="S234" s="70"/>
      <c r="T234" s="70"/>
      <c r="U234" s="70"/>
      <c r="V234" s="70"/>
      <c r="W234" s="70"/>
      <c r="X234" s="70"/>
      <c r="Y234" s="70"/>
      <c r="Z234" s="70"/>
    </row>
    <row r="235" customFormat="false" ht="12.75" hidden="false" customHeight="false" outlineLevel="0" collapsed="false">
      <c r="A235" s="685"/>
      <c r="B235" s="687"/>
      <c r="C235" s="687"/>
      <c r="D235" s="687"/>
      <c r="E235" s="687"/>
      <c r="F235" s="686"/>
      <c r="G235" s="686"/>
      <c r="H235" s="686"/>
      <c r="I235" s="686"/>
      <c r="J235" s="686"/>
      <c r="K235" s="686"/>
      <c r="L235" s="686"/>
      <c r="M235" s="686"/>
      <c r="N235" s="70"/>
      <c r="O235" s="686"/>
      <c r="P235" s="70"/>
      <c r="Q235" s="70"/>
      <c r="R235" s="70"/>
      <c r="S235" s="70"/>
      <c r="T235" s="70"/>
      <c r="U235" s="70"/>
      <c r="V235" s="70"/>
      <c r="W235" s="70"/>
      <c r="X235" s="70"/>
      <c r="Y235" s="70"/>
      <c r="Z235" s="70"/>
    </row>
    <row r="236" customFormat="false" ht="12.75" hidden="false" customHeight="false" outlineLevel="0" collapsed="false">
      <c r="A236" s="395"/>
      <c r="B236" s="395"/>
      <c r="C236" s="395"/>
      <c r="D236" s="395"/>
      <c r="E236" s="395"/>
      <c r="F236" s="686"/>
      <c r="G236" s="686"/>
      <c r="H236" s="686"/>
      <c r="I236" s="686"/>
      <c r="J236" s="686"/>
      <c r="K236" s="686"/>
      <c r="L236" s="686"/>
      <c r="M236" s="686"/>
      <c r="N236" s="70"/>
      <c r="O236" s="686"/>
      <c r="P236" s="70"/>
      <c r="Q236" s="70"/>
      <c r="R236" s="70"/>
      <c r="S236" s="70"/>
      <c r="T236" s="70"/>
      <c r="U236" s="70"/>
      <c r="V236" s="70"/>
      <c r="W236" s="70"/>
      <c r="X236" s="70"/>
      <c r="Y236" s="70"/>
      <c r="Z236" s="70"/>
    </row>
    <row r="237" customFormat="false" ht="12.75" hidden="false" customHeight="false" outlineLevel="0" collapsed="false">
      <c r="A237" s="70"/>
      <c r="B237" s="70"/>
      <c r="C237" s="70"/>
      <c r="D237" s="70"/>
      <c r="E237" s="70"/>
      <c r="F237" s="686"/>
      <c r="G237" s="686"/>
      <c r="H237" s="686"/>
      <c r="I237" s="686"/>
      <c r="J237" s="686"/>
      <c r="K237" s="686"/>
      <c r="L237" s="686"/>
      <c r="M237" s="686"/>
      <c r="N237" s="70"/>
      <c r="O237" s="686"/>
      <c r="P237" s="70"/>
      <c r="Q237" s="70"/>
      <c r="R237" s="70"/>
      <c r="S237" s="70"/>
      <c r="T237" s="70"/>
      <c r="U237" s="70"/>
      <c r="V237" s="70"/>
      <c r="W237" s="70"/>
      <c r="X237" s="70"/>
      <c r="Y237" s="70"/>
      <c r="Z237" s="70"/>
    </row>
    <row r="238" customFormat="false" ht="12.75" hidden="false" customHeight="false" outlineLevel="0" collapsed="false">
      <c r="A238" s="395"/>
      <c r="B238" s="395"/>
      <c r="C238" s="395"/>
      <c r="D238" s="395"/>
      <c r="E238" s="395"/>
      <c r="F238" s="686"/>
      <c r="G238" s="686"/>
      <c r="H238" s="686"/>
      <c r="I238" s="686"/>
      <c r="J238" s="686"/>
      <c r="K238" s="686"/>
      <c r="L238" s="686"/>
      <c r="M238" s="686"/>
      <c r="N238" s="70"/>
      <c r="O238" s="686"/>
      <c r="P238" s="70"/>
      <c r="Q238" s="70"/>
      <c r="R238" s="70"/>
      <c r="S238" s="70"/>
      <c r="T238" s="70"/>
      <c r="U238" s="70"/>
      <c r="V238" s="70"/>
      <c r="W238" s="70"/>
      <c r="X238" s="70"/>
      <c r="Y238" s="70"/>
      <c r="Z238" s="70"/>
    </row>
    <row r="239" customFormat="false" ht="12.75" hidden="false" customHeight="false" outlineLevel="0" collapsed="false">
      <c r="A239" s="685"/>
      <c r="B239" s="685"/>
      <c r="C239" s="685"/>
      <c r="D239" s="685"/>
      <c r="E239" s="685"/>
      <c r="F239" s="686"/>
      <c r="G239" s="686"/>
      <c r="H239" s="686"/>
      <c r="I239" s="686"/>
      <c r="J239" s="686"/>
      <c r="K239" s="686"/>
      <c r="L239" s="686"/>
      <c r="M239" s="686"/>
      <c r="N239" s="70"/>
      <c r="O239" s="686"/>
      <c r="P239" s="70"/>
      <c r="Q239" s="70"/>
      <c r="R239" s="70"/>
      <c r="S239" s="70"/>
      <c r="T239" s="70"/>
      <c r="U239" s="70"/>
      <c r="V239" s="70"/>
      <c r="W239" s="70"/>
      <c r="X239" s="70"/>
      <c r="Y239" s="70"/>
      <c r="Z239" s="70"/>
    </row>
    <row r="240" customFormat="false" ht="12.75" hidden="false" customHeight="false" outlineLevel="0" collapsed="false">
      <c r="A240" s="685"/>
      <c r="B240" s="685"/>
      <c r="C240" s="685"/>
      <c r="D240" s="685"/>
      <c r="E240" s="685"/>
      <c r="F240" s="686"/>
      <c r="G240" s="686"/>
      <c r="H240" s="686"/>
      <c r="I240" s="686"/>
      <c r="J240" s="686"/>
      <c r="K240" s="686"/>
      <c r="L240" s="686"/>
      <c r="M240" s="686"/>
      <c r="N240" s="70"/>
      <c r="O240" s="686"/>
      <c r="P240" s="70"/>
      <c r="Q240" s="70"/>
      <c r="R240" s="70"/>
      <c r="S240" s="70"/>
      <c r="T240" s="70"/>
      <c r="U240" s="70"/>
      <c r="V240" s="70"/>
      <c r="W240" s="70"/>
      <c r="X240" s="70"/>
      <c r="Y240" s="70"/>
      <c r="Z240" s="70"/>
    </row>
    <row r="241" customFormat="false" ht="12.75" hidden="false" customHeight="false" outlineLevel="0" collapsed="false">
      <c r="A241" s="685"/>
      <c r="B241" s="685"/>
      <c r="C241" s="685"/>
      <c r="D241" s="685"/>
      <c r="E241" s="685"/>
      <c r="F241" s="686"/>
      <c r="G241" s="686"/>
      <c r="H241" s="686"/>
      <c r="I241" s="686"/>
      <c r="J241" s="686"/>
      <c r="K241" s="686"/>
      <c r="L241" s="686"/>
      <c r="M241" s="686"/>
      <c r="N241" s="70"/>
      <c r="O241" s="686"/>
      <c r="P241" s="70"/>
      <c r="Q241" s="70"/>
      <c r="R241" s="70"/>
      <c r="S241" s="70"/>
      <c r="T241" s="70"/>
      <c r="U241" s="70"/>
      <c r="V241" s="70"/>
      <c r="W241" s="70"/>
      <c r="X241" s="70"/>
      <c r="Y241" s="70"/>
      <c r="Z241" s="70"/>
    </row>
    <row r="242" customFormat="false" ht="12.75" hidden="false" customHeight="false" outlineLevel="0" collapsed="false">
      <c r="A242" s="685"/>
      <c r="B242" s="685"/>
      <c r="C242" s="685"/>
      <c r="D242" s="685"/>
      <c r="E242" s="685"/>
      <c r="F242" s="686"/>
      <c r="G242" s="686"/>
      <c r="H242" s="686"/>
      <c r="I242" s="686"/>
      <c r="J242" s="686"/>
      <c r="K242" s="686"/>
      <c r="L242" s="686"/>
      <c r="M242" s="686"/>
      <c r="N242" s="70"/>
      <c r="O242" s="686"/>
      <c r="P242" s="70"/>
      <c r="Q242" s="70"/>
      <c r="R242" s="70"/>
      <c r="S242" s="70"/>
      <c r="T242" s="70"/>
      <c r="U242" s="70"/>
      <c r="V242" s="70"/>
      <c r="W242" s="70"/>
      <c r="X242" s="70"/>
      <c r="Y242" s="70"/>
      <c r="Z242" s="70"/>
    </row>
    <row r="243" customFormat="false" ht="12.75" hidden="false" customHeight="false" outlineLevel="0" collapsed="false">
      <c r="A243" s="685"/>
      <c r="B243" s="685"/>
      <c r="C243" s="685"/>
      <c r="D243" s="685"/>
      <c r="E243" s="685"/>
      <c r="F243" s="686"/>
      <c r="G243" s="686"/>
      <c r="H243" s="686"/>
      <c r="I243" s="686"/>
      <c r="J243" s="686"/>
      <c r="K243" s="686"/>
      <c r="L243" s="686"/>
      <c r="M243" s="686"/>
      <c r="N243" s="70"/>
      <c r="O243" s="686"/>
      <c r="P243" s="70"/>
      <c r="Q243" s="70"/>
      <c r="R243" s="70"/>
      <c r="S243" s="70"/>
      <c r="T243" s="70"/>
      <c r="U243" s="70"/>
      <c r="V243" s="70"/>
      <c r="W243" s="70"/>
      <c r="X243" s="70"/>
      <c r="Y243" s="70"/>
      <c r="Z243" s="70"/>
    </row>
    <row r="244" customFormat="false" ht="12.75" hidden="false" customHeight="false" outlineLevel="0" collapsed="false">
      <c r="A244" s="685"/>
      <c r="B244" s="70"/>
      <c r="C244" s="70"/>
      <c r="D244" s="70"/>
      <c r="E244" s="70"/>
      <c r="F244" s="686"/>
      <c r="G244" s="686"/>
      <c r="H244" s="686"/>
      <c r="I244" s="686"/>
      <c r="J244" s="686"/>
      <c r="K244" s="686"/>
      <c r="L244" s="686"/>
      <c r="M244" s="686"/>
      <c r="N244" s="70"/>
      <c r="O244" s="686"/>
      <c r="P244" s="70"/>
      <c r="Q244" s="70"/>
      <c r="R244" s="70"/>
      <c r="S244" s="70"/>
      <c r="T244" s="70"/>
      <c r="U244" s="70"/>
      <c r="V244" s="70"/>
      <c r="W244" s="70"/>
      <c r="X244" s="70"/>
      <c r="Y244" s="70"/>
      <c r="Z244" s="70"/>
    </row>
    <row r="245" customFormat="false" ht="12.75" hidden="false" customHeight="false" outlineLevel="0" collapsed="false">
      <c r="A245" s="395"/>
      <c r="B245" s="395"/>
      <c r="C245" s="395"/>
      <c r="D245" s="395"/>
      <c r="E245" s="395"/>
      <c r="F245" s="686"/>
      <c r="G245" s="686"/>
      <c r="H245" s="686"/>
      <c r="I245" s="686"/>
      <c r="J245" s="686"/>
      <c r="K245" s="686"/>
      <c r="L245" s="686"/>
      <c r="M245" s="686"/>
      <c r="N245" s="70"/>
      <c r="O245" s="686"/>
      <c r="P245" s="70"/>
      <c r="Q245" s="70"/>
      <c r="R245" s="70"/>
      <c r="S245" s="70"/>
      <c r="T245" s="70"/>
      <c r="U245" s="70"/>
      <c r="V245" s="70"/>
      <c r="W245" s="70"/>
      <c r="X245" s="70"/>
      <c r="Y245" s="70"/>
      <c r="Z245" s="70"/>
    </row>
    <row r="246" customFormat="false" ht="12.75" hidden="false" customHeight="false" outlineLevel="0" collapsed="false">
      <c r="A246" s="395"/>
      <c r="B246" s="395"/>
      <c r="C246" s="395"/>
      <c r="D246" s="395"/>
      <c r="E246" s="395"/>
      <c r="F246" s="686"/>
      <c r="G246" s="686"/>
      <c r="H246" s="686"/>
      <c r="I246" s="686"/>
      <c r="J246" s="686"/>
      <c r="K246" s="686"/>
      <c r="L246" s="686"/>
      <c r="M246" s="686"/>
      <c r="N246" s="70"/>
      <c r="O246" s="686"/>
      <c r="P246" s="70"/>
      <c r="Q246" s="70"/>
      <c r="R246" s="70"/>
      <c r="S246" s="70"/>
      <c r="T246" s="70"/>
      <c r="U246" s="70"/>
      <c r="V246" s="70"/>
      <c r="W246" s="70"/>
      <c r="X246" s="70"/>
      <c r="Y246" s="70"/>
      <c r="Z246" s="70"/>
    </row>
    <row r="247" customFormat="false" ht="12.75" hidden="false" customHeight="false" outlineLevel="0" collapsed="false">
      <c r="A247" s="70"/>
      <c r="B247" s="70"/>
      <c r="C247" s="70"/>
      <c r="D247" s="70"/>
      <c r="E247" s="70"/>
      <c r="F247" s="686"/>
      <c r="G247" s="686"/>
      <c r="H247" s="686"/>
      <c r="I247" s="686"/>
      <c r="J247" s="686"/>
      <c r="K247" s="686"/>
      <c r="L247" s="686"/>
      <c r="M247" s="686"/>
      <c r="N247" s="70"/>
      <c r="O247" s="686"/>
      <c r="P247" s="70"/>
      <c r="Q247" s="70"/>
      <c r="R247" s="70"/>
      <c r="S247" s="70"/>
      <c r="T247" s="70"/>
      <c r="U247" s="70"/>
      <c r="V247" s="70"/>
      <c r="W247" s="70"/>
      <c r="X247" s="70"/>
      <c r="Y247" s="70"/>
      <c r="Z247" s="70"/>
    </row>
    <row r="248" customFormat="false" ht="12.75" hidden="false" customHeight="false" outlineLevel="0" collapsed="false">
      <c r="A248" s="395"/>
      <c r="B248" s="688"/>
      <c r="C248" s="688"/>
      <c r="D248" s="688"/>
      <c r="E248" s="70"/>
      <c r="F248" s="686"/>
      <c r="G248" s="686"/>
      <c r="H248" s="686"/>
      <c r="I248" s="686"/>
      <c r="J248" s="686"/>
      <c r="K248" s="686"/>
      <c r="L248" s="686"/>
      <c r="M248" s="686"/>
      <c r="N248" s="70"/>
      <c r="O248" s="686"/>
      <c r="P248" s="70"/>
      <c r="Q248" s="70"/>
      <c r="R248" s="70"/>
      <c r="S248" s="70"/>
      <c r="T248" s="70"/>
      <c r="U248" s="70"/>
      <c r="V248" s="70"/>
      <c r="W248" s="70"/>
      <c r="X248" s="70"/>
      <c r="Y248" s="70"/>
      <c r="Z248" s="70"/>
    </row>
    <row r="249" customFormat="false" ht="12.75" hidden="false" customHeight="false" outlineLevel="0" collapsed="false">
      <c r="A249" s="395"/>
      <c r="B249" s="684"/>
      <c r="C249" s="684"/>
      <c r="D249" s="684"/>
      <c r="E249" s="684"/>
      <c r="F249" s="686"/>
      <c r="G249" s="686"/>
      <c r="H249" s="686"/>
      <c r="I249" s="686"/>
      <c r="J249" s="686"/>
      <c r="K249" s="686"/>
      <c r="L249" s="686"/>
      <c r="M249" s="686"/>
      <c r="N249" s="70"/>
      <c r="O249" s="686"/>
      <c r="P249" s="70"/>
      <c r="Q249" s="70"/>
      <c r="R249" s="70"/>
      <c r="S249" s="70"/>
      <c r="T249" s="70"/>
      <c r="U249" s="70"/>
      <c r="V249" s="70"/>
      <c r="W249" s="70"/>
      <c r="X249" s="70"/>
      <c r="Y249" s="70"/>
      <c r="Z249" s="70"/>
    </row>
    <row r="250" customFormat="false" ht="12.75" hidden="false" customHeight="false" outlineLevel="0" collapsed="false">
      <c r="A250" s="70"/>
      <c r="B250" s="70"/>
      <c r="C250" s="70"/>
      <c r="D250" s="70"/>
      <c r="E250" s="70"/>
      <c r="F250" s="70"/>
      <c r="G250" s="70"/>
      <c r="H250" s="70"/>
      <c r="I250" s="70"/>
      <c r="J250" s="70"/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  <c r="Z250" s="70"/>
    </row>
    <row r="251" customFormat="false" ht="12.75" hidden="false" customHeight="false" outlineLevel="0" collapsed="false">
      <c r="A251" s="395"/>
      <c r="B251" s="689"/>
      <c r="C251" s="689"/>
      <c r="D251" s="689"/>
      <c r="E251" s="70"/>
      <c r="F251" s="70"/>
      <c r="G251" s="70"/>
      <c r="H251" s="102"/>
      <c r="I251" s="102"/>
      <c r="J251" s="102"/>
      <c r="K251" s="102"/>
      <c r="L251" s="102"/>
      <c r="M251" s="102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  <c r="Z251" s="70"/>
    </row>
    <row r="252" customFormat="false" ht="12.75" hidden="false" customHeight="false" outlineLevel="0" collapsed="false">
      <c r="A252" s="395"/>
      <c r="B252" s="70"/>
      <c r="C252" s="70"/>
      <c r="D252" s="70"/>
      <c r="E252" s="70"/>
      <c r="F252" s="70"/>
      <c r="G252" s="70"/>
      <c r="H252" s="102"/>
      <c r="I252" s="102"/>
      <c r="J252" s="102"/>
      <c r="K252" s="102"/>
      <c r="L252" s="102"/>
      <c r="M252" s="102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  <c r="Z252" s="70"/>
    </row>
    <row r="253" customFormat="false" ht="12.75" hidden="false" customHeight="false" outlineLevel="0" collapsed="false">
      <c r="A253" s="395"/>
      <c r="B253" s="70"/>
      <c r="C253" s="70"/>
      <c r="D253" s="70"/>
      <c r="E253" s="70"/>
      <c r="F253" s="70"/>
      <c r="G253" s="70"/>
      <c r="H253" s="102"/>
      <c r="I253" s="102"/>
      <c r="J253" s="102"/>
      <c r="K253" s="102"/>
      <c r="L253" s="102"/>
      <c r="M253" s="102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  <c r="Z253" s="70"/>
    </row>
    <row r="254" customFormat="false" ht="12.75" hidden="false" customHeight="false" outlineLevel="0" collapsed="false">
      <c r="A254" s="395"/>
      <c r="B254" s="70"/>
      <c r="C254" s="70"/>
      <c r="D254" s="70"/>
      <c r="E254" s="70"/>
      <c r="F254" s="70"/>
      <c r="G254" s="70"/>
      <c r="H254" s="102"/>
      <c r="I254" s="102"/>
      <c r="J254" s="102"/>
      <c r="K254" s="102"/>
      <c r="L254" s="102"/>
      <c r="M254" s="102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  <c r="Z254" s="70"/>
    </row>
    <row r="255" customFormat="false" ht="12.75" hidden="false" customHeight="false" outlineLevel="0" collapsed="false">
      <c r="A255" s="70"/>
      <c r="B255" s="70"/>
      <c r="C255" s="70"/>
      <c r="D255" s="70"/>
      <c r="E255" s="70"/>
      <c r="F255" s="70"/>
      <c r="G255" s="70"/>
      <c r="H255" s="70"/>
      <c r="I255" s="70"/>
      <c r="J255" s="70"/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  <c r="Z255" s="70"/>
    </row>
    <row r="256" customFormat="false" ht="18.75" hidden="false" customHeight="false" outlineLevel="0" collapsed="false">
      <c r="A256" s="682"/>
      <c r="B256" s="70"/>
      <c r="C256" s="70"/>
      <c r="D256" s="70"/>
      <c r="E256" s="70"/>
      <c r="F256" s="70"/>
      <c r="G256" s="70"/>
      <c r="H256" s="70"/>
      <c r="I256" s="70"/>
      <c r="J256" s="70"/>
      <c r="K256" s="70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  <c r="Z256" s="70"/>
    </row>
    <row r="257" customFormat="false" ht="12.75" hidden="false" customHeight="false" outlineLevel="0" collapsed="false">
      <c r="A257" s="395"/>
      <c r="B257" s="70"/>
      <c r="C257" s="70"/>
      <c r="D257" s="70"/>
      <c r="E257" s="70"/>
      <c r="F257" s="70"/>
      <c r="G257" s="70"/>
      <c r="H257" s="70"/>
      <c r="I257" s="70"/>
      <c r="J257" s="70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  <c r="Z257" s="70"/>
    </row>
    <row r="258" customFormat="false" ht="12.75" hidden="false" customHeight="false" outlineLevel="0" collapsed="false">
      <c r="A258" s="70"/>
      <c r="B258" s="70"/>
      <c r="C258" s="70"/>
      <c r="D258" s="70"/>
      <c r="E258" s="70"/>
      <c r="F258" s="70"/>
      <c r="G258" s="70"/>
      <c r="H258" s="70"/>
      <c r="I258" s="70"/>
      <c r="J258" s="70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  <c r="Z258" s="70"/>
    </row>
    <row r="259" customFormat="false" ht="12.75" hidden="false" customHeight="false" outlineLevel="0" collapsed="false">
      <c r="A259" s="70"/>
      <c r="B259" s="70"/>
      <c r="C259" s="70"/>
      <c r="D259" s="70"/>
      <c r="E259" s="70"/>
      <c r="F259" s="70"/>
      <c r="G259" s="70"/>
      <c r="H259" s="70"/>
      <c r="I259" s="70"/>
      <c r="J259" s="70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  <c r="Z259" s="70"/>
    </row>
    <row r="260" customFormat="false" ht="12.75" hidden="false" customHeight="false" outlineLevel="0" collapsed="false">
      <c r="A260" s="690"/>
      <c r="B260" s="691"/>
      <c r="C260" s="691"/>
      <c r="D260" s="691"/>
      <c r="E260" s="691"/>
      <c r="F260" s="691"/>
      <c r="G260" s="691"/>
      <c r="H260" s="691"/>
      <c r="I260" s="691"/>
      <c r="J260" s="691"/>
      <c r="K260" s="691"/>
      <c r="L260" s="691"/>
      <c r="M260" s="691"/>
      <c r="N260" s="691"/>
      <c r="O260" s="691"/>
      <c r="P260" s="691"/>
      <c r="Q260" s="691"/>
      <c r="R260" s="691"/>
      <c r="S260" s="691"/>
      <c r="T260" s="691"/>
      <c r="U260" s="691"/>
      <c r="V260" s="691"/>
      <c r="W260" s="691"/>
      <c r="X260" s="691"/>
      <c r="Y260" s="691"/>
      <c r="Z260" s="691"/>
      <c r="AA260" s="691"/>
      <c r="AB260" s="691"/>
      <c r="AC260" s="691"/>
      <c r="AD260" s="691"/>
      <c r="AE260" s="691"/>
      <c r="AF260" s="691"/>
      <c r="AG260" s="691"/>
      <c r="AH260" s="691"/>
      <c r="AI260" s="691"/>
      <c r="AJ260" s="691"/>
      <c r="AK260" s="691"/>
      <c r="AL260" s="691"/>
      <c r="AM260" s="691"/>
      <c r="AN260" s="691"/>
      <c r="AO260" s="691"/>
      <c r="AP260" s="691"/>
      <c r="AQ260" s="691"/>
      <c r="AR260" s="691"/>
      <c r="AS260" s="691"/>
      <c r="AT260" s="691"/>
      <c r="AU260" s="691"/>
      <c r="AV260" s="691"/>
      <c r="AW260" s="691"/>
      <c r="AX260" s="691"/>
      <c r="AY260" s="691"/>
      <c r="AZ260" s="691"/>
      <c r="BA260" s="691"/>
      <c r="BB260" s="691"/>
      <c r="BC260" s="691"/>
      <c r="BD260" s="691"/>
      <c r="BE260" s="691"/>
      <c r="BF260" s="691"/>
      <c r="BG260" s="691"/>
      <c r="BH260" s="691"/>
      <c r="BI260" s="691"/>
      <c r="BJ260" s="691"/>
      <c r="BK260" s="691"/>
      <c r="BL260" s="691"/>
      <c r="BM260" s="691"/>
      <c r="BN260" s="691"/>
      <c r="BO260" s="691"/>
      <c r="BP260" s="691"/>
      <c r="BQ260" s="691"/>
      <c r="BR260" s="691"/>
      <c r="BS260" s="691"/>
      <c r="BT260" s="691"/>
      <c r="BU260" s="691"/>
      <c r="BV260" s="691"/>
      <c r="BW260" s="691"/>
      <c r="BX260" s="691"/>
      <c r="BY260" s="691"/>
      <c r="BZ260" s="691"/>
      <c r="CA260" s="691"/>
      <c r="CB260" s="691"/>
      <c r="CC260" s="691"/>
      <c r="CD260" s="691"/>
      <c r="CE260" s="691"/>
      <c r="CF260" s="691"/>
      <c r="CG260" s="691"/>
      <c r="CH260" s="691"/>
      <c r="CI260" s="691"/>
      <c r="CJ260" s="691"/>
      <c r="CK260" s="691"/>
      <c r="CL260" s="691"/>
      <c r="CM260" s="691"/>
      <c r="CN260" s="691"/>
      <c r="CO260" s="691"/>
      <c r="CP260" s="691"/>
      <c r="CQ260" s="691"/>
      <c r="CR260" s="691"/>
      <c r="CS260" s="691"/>
      <c r="CT260" s="691"/>
      <c r="CU260" s="691"/>
      <c r="CV260" s="691"/>
      <c r="CW260" s="691"/>
      <c r="CX260" s="691"/>
      <c r="CY260" s="691"/>
      <c r="CZ260" s="691"/>
      <c r="DA260" s="691"/>
      <c r="DB260" s="691"/>
      <c r="DC260" s="691"/>
      <c r="DD260" s="691"/>
      <c r="DE260" s="691"/>
      <c r="DF260" s="691"/>
      <c r="DG260" s="691"/>
      <c r="DH260" s="691"/>
      <c r="DI260" s="691"/>
      <c r="DJ260" s="691"/>
      <c r="DK260" s="691"/>
      <c r="DL260" s="691"/>
      <c r="DM260" s="691"/>
      <c r="DN260" s="691"/>
      <c r="DO260" s="691"/>
      <c r="DP260" s="691"/>
      <c r="DQ260" s="691"/>
      <c r="DR260" s="691"/>
      <c r="DS260" s="691"/>
      <c r="DT260" s="691"/>
      <c r="DU260" s="691"/>
      <c r="DV260" s="691"/>
      <c r="DW260" s="691"/>
      <c r="DX260" s="691"/>
      <c r="DY260" s="691"/>
      <c r="DZ260" s="691"/>
      <c r="EA260" s="691"/>
      <c r="EB260" s="691"/>
      <c r="EC260" s="691"/>
      <c r="ED260" s="691"/>
      <c r="EE260" s="691"/>
      <c r="EF260" s="691"/>
      <c r="EG260" s="691"/>
      <c r="EH260" s="691"/>
      <c r="EI260" s="691"/>
      <c r="EJ260" s="691"/>
      <c r="EK260" s="691"/>
      <c r="EL260" s="691"/>
      <c r="EM260" s="691"/>
      <c r="EN260" s="691"/>
      <c r="EO260" s="691"/>
      <c r="EP260" s="691"/>
      <c r="EQ260" s="691"/>
      <c r="ER260" s="691"/>
      <c r="ES260" s="691"/>
      <c r="ET260" s="691"/>
      <c r="EU260" s="691"/>
      <c r="EV260" s="691"/>
      <c r="EW260" s="691"/>
      <c r="EX260" s="691"/>
      <c r="EY260" s="691"/>
      <c r="EZ260" s="691"/>
      <c r="FA260" s="691"/>
      <c r="FB260" s="691"/>
      <c r="FC260" s="691"/>
      <c r="FD260" s="691"/>
      <c r="FE260" s="691"/>
      <c r="FF260" s="691"/>
      <c r="FG260" s="691"/>
      <c r="FH260" s="691"/>
      <c r="FI260" s="691"/>
      <c r="FJ260" s="691"/>
      <c r="FK260" s="691"/>
      <c r="FL260" s="691"/>
      <c r="FM260" s="691"/>
      <c r="FN260" s="691"/>
      <c r="FO260" s="691"/>
      <c r="FP260" s="691"/>
      <c r="FQ260" s="691"/>
      <c r="FR260" s="691"/>
      <c r="FS260" s="691"/>
      <c r="FT260" s="691"/>
      <c r="FU260" s="691"/>
      <c r="FV260" s="691"/>
      <c r="FW260" s="691"/>
      <c r="FX260" s="691"/>
      <c r="FY260" s="691"/>
      <c r="FZ260" s="691"/>
      <c r="GA260" s="691"/>
      <c r="GB260" s="691"/>
      <c r="GC260" s="691"/>
      <c r="GD260" s="691"/>
      <c r="GE260" s="691"/>
      <c r="GF260" s="691"/>
      <c r="GG260" s="691"/>
      <c r="GH260" s="691"/>
      <c r="GI260" s="691"/>
      <c r="GJ260" s="691"/>
      <c r="GK260" s="691"/>
      <c r="GL260" s="691"/>
      <c r="GM260" s="691"/>
      <c r="GN260" s="691"/>
      <c r="GO260" s="691"/>
      <c r="GP260" s="691"/>
      <c r="GQ260" s="691"/>
      <c r="GR260" s="691"/>
      <c r="GS260" s="691"/>
      <c r="GT260" s="691"/>
      <c r="GU260" s="691"/>
      <c r="GV260" s="691"/>
      <c r="GW260" s="691"/>
      <c r="GX260" s="691"/>
      <c r="GY260" s="691"/>
      <c r="GZ260" s="691"/>
      <c r="HA260" s="691"/>
      <c r="HB260" s="691"/>
      <c r="HC260" s="691"/>
      <c r="HD260" s="691"/>
      <c r="HE260" s="691"/>
      <c r="HF260" s="691"/>
      <c r="HG260" s="691"/>
      <c r="HH260" s="691"/>
      <c r="HI260" s="691"/>
      <c r="HJ260" s="691"/>
      <c r="HK260" s="691"/>
      <c r="HL260" s="691"/>
      <c r="HM260" s="691"/>
      <c r="HN260" s="691"/>
      <c r="HO260" s="691"/>
      <c r="HP260" s="691"/>
      <c r="HQ260" s="691"/>
      <c r="HR260" s="691"/>
      <c r="HS260" s="691"/>
      <c r="HT260" s="691"/>
      <c r="HU260" s="691"/>
      <c r="HV260" s="691"/>
      <c r="HW260" s="691"/>
      <c r="HX260" s="691"/>
      <c r="HY260" s="691"/>
      <c r="HZ260" s="691"/>
      <c r="IA260" s="691"/>
      <c r="IB260" s="691"/>
      <c r="IC260" s="691"/>
      <c r="ID260" s="691"/>
      <c r="IE260" s="691"/>
      <c r="IF260" s="691"/>
      <c r="IG260" s="691"/>
      <c r="IH260" s="691"/>
      <c r="II260" s="691"/>
      <c r="IJ260" s="691"/>
      <c r="IK260" s="691"/>
      <c r="IL260" s="691"/>
      <c r="IM260" s="691"/>
      <c r="IN260" s="691"/>
      <c r="IO260" s="691"/>
      <c r="IP260" s="691"/>
      <c r="IQ260" s="691"/>
      <c r="IR260" s="691"/>
      <c r="IS260" s="691"/>
      <c r="IT260" s="691"/>
      <c r="IU260" s="691"/>
      <c r="IV260" s="691"/>
      <c r="IW260" s="691"/>
    </row>
    <row r="261" customFormat="false" ht="12.75" hidden="false" customHeight="false" outlineLevel="0" collapsed="false">
      <c r="A261" s="395"/>
      <c r="B261" s="70"/>
      <c r="C261" s="70"/>
      <c r="D261" s="70"/>
      <c r="E261" s="70"/>
      <c r="F261" s="70"/>
      <c r="G261" s="70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  <c r="Z261" s="70"/>
    </row>
    <row r="262" customFormat="false" ht="12.75" hidden="false" customHeight="false" outlineLevel="0" collapsed="false">
      <c r="A262" s="395"/>
      <c r="B262" s="70"/>
      <c r="C262" s="70"/>
      <c r="D262" s="70"/>
      <c r="E262" s="70"/>
      <c r="F262" s="70"/>
      <c r="G262" s="70"/>
      <c r="H262" s="417"/>
      <c r="I262" s="417"/>
      <c r="J262" s="417"/>
      <c r="K262" s="417"/>
      <c r="L262" s="417"/>
      <c r="M262" s="417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  <c r="Y262" s="70"/>
      <c r="Z262" s="70"/>
    </row>
    <row r="263" customFormat="false" ht="12.75" hidden="false" customHeight="false" outlineLevel="0" collapsed="false">
      <c r="A263" s="395"/>
      <c r="B263" s="70"/>
      <c r="C263" s="70"/>
      <c r="D263" s="70"/>
      <c r="E263" s="70"/>
      <c r="F263" s="70"/>
      <c r="G263" s="70"/>
      <c r="H263" s="417"/>
      <c r="I263" s="417"/>
      <c r="J263" s="417"/>
      <c r="K263" s="417"/>
      <c r="L263" s="417"/>
      <c r="M263" s="417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  <c r="Z263" s="70"/>
    </row>
    <row r="264" customFormat="false" ht="12.75" hidden="false" customHeight="false" outlineLevel="0" collapsed="false">
      <c r="A264" s="70"/>
      <c r="B264" s="692"/>
      <c r="C264" s="692"/>
      <c r="D264" s="692"/>
      <c r="E264" s="692"/>
      <c r="F264" s="70"/>
      <c r="G264" s="70"/>
      <c r="H264" s="693"/>
      <c r="I264" s="693"/>
      <c r="J264" s="693"/>
      <c r="K264" s="693"/>
      <c r="L264" s="693"/>
      <c r="M264" s="693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  <c r="Z264" s="70"/>
    </row>
    <row r="265" customFormat="false" ht="12.75" hidden="false" customHeight="false" outlineLevel="0" collapsed="false">
      <c r="A265" s="395"/>
      <c r="B265" s="694"/>
      <c r="C265" s="694"/>
      <c r="D265" s="694"/>
      <c r="E265" s="694"/>
      <c r="F265" s="70"/>
      <c r="G265" s="70"/>
      <c r="H265" s="70"/>
      <c r="I265" s="70"/>
      <c r="J265" s="70"/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  <c r="Z265" s="70"/>
    </row>
    <row r="266" customFormat="false" ht="12.75" hidden="false" customHeight="false" outlineLevel="0" collapsed="false">
      <c r="A266" s="690"/>
      <c r="B266" s="70"/>
      <c r="C266" s="70"/>
      <c r="D266" s="70"/>
      <c r="E266" s="70"/>
      <c r="F266" s="70"/>
      <c r="G266" s="70"/>
      <c r="H266" s="70"/>
      <c r="I266" s="70"/>
      <c r="J266" s="70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  <c r="Z266" s="70"/>
    </row>
    <row r="267" customFormat="false" ht="12.75" hidden="false" customHeight="false" outlineLevel="0" collapsed="false">
      <c r="A267" s="695"/>
      <c r="B267" s="70"/>
      <c r="C267" s="70"/>
      <c r="D267" s="70"/>
      <c r="E267" s="70"/>
      <c r="F267" s="70"/>
      <c r="G267" s="70"/>
      <c r="H267" s="102"/>
      <c r="I267" s="102"/>
      <c r="J267" s="102"/>
      <c r="K267" s="102"/>
      <c r="L267" s="102"/>
      <c r="M267" s="102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  <c r="Z267" s="70"/>
    </row>
    <row r="268" customFormat="false" ht="12.75" hidden="false" customHeight="false" outlineLevel="0" collapsed="false">
      <c r="A268" s="695"/>
      <c r="B268" s="70"/>
      <c r="C268" s="70"/>
      <c r="D268" s="70"/>
      <c r="E268" s="70"/>
      <c r="F268" s="70"/>
      <c r="G268" s="70"/>
      <c r="H268" s="102"/>
      <c r="I268" s="102"/>
      <c r="J268" s="102"/>
      <c r="K268" s="102"/>
      <c r="L268" s="102"/>
      <c r="M268" s="102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  <c r="Y268" s="70"/>
      <c r="Z268" s="70"/>
    </row>
    <row r="269" customFormat="false" ht="12.75" hidden="false" customHeight="false" outlineLevel="0" collapsed="false">
      <c r="A269" s="695"/>
      <c r="B269" s="70"/>
      <c r="C269" s="70"/>
      <c r="D269" s="70"/>
      <c r="E269" s="70"/>
      <c r="F269" s="70"/>
      <c r="G269" s="70"/>
      <c r="H269" s="102"/>
      <c r="I269" s="102"/>
      <c r="J269" s="102"/>
      <c r="K269" s="102"/>
      <c r="L269" s="102"/>
      <c r="M269" s="102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  <c r="Z269" s="70"/>
    </row>
    <row r="270" customFormat="false" ht="12.75" hidden="false" customHeight="false" outlineLevel="0" collapsed="false">
      <c r="A270" s="695"/>
      <c r="B270" s="70"/>
      <c r="C270" s="70"/>
      <c r="D270" s="70"/>
      <c r="E270" s="70"/>
      <c r="F270" s="70"/>
      <c r="G270" s="70"/>
      <c r="H270" s="102"/>
      <c r="I270" s="102"/>
      <c r="J270" s="102"/>
      <c r="K270" s="102"/>
      <c r="L270" s="102"/>
      <c r="M270" s="102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  <c r="Z270" s="70"/>
    </row>
    <row r="271" customFormat="false" ht="12.75" hidden="false" customHeight="false" outlineLevel="0" collapsed="false">
      <c r="A271" s="695"/>
      <c r="B271" s="70"/>
      <c r="C271" s="70"/>
      <c r="D271" s="70"/>
      <c r="E271" s="70"/>
      <c r="F271" s="70"/>
      <c r="G271" s="70"/>
      <c r="H271" s="417"/>
      <c r="I271" s="417"/>
      <c r="J271" s="417"/>
      <c r="K271" s="417"/>
      <c r="L271" s="417"/>
      <c r="M271" s="417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  <c r="Z271" s="70"/>
    </row>
    <row r="272" customFormat="false" ht="12.75" hidden="false" customHeight="false" outlineLevel="0" collapsed="false">
      <c r="A272" s="395"/>
      <c r="B272" s="70"/>
      <c r="C272" s="70"/>
      <c r="D272" s="70"/>
      <c r="E272" s="70"/>
      <c r="F272" s="70"/>
      <c r="G272" s="70"/>
      <c r="H272" s="696"/>
      <c r="I272" s="696"/>
      <c r="J272" s="696"/>
      <c r="K272" s="696"/>
      <c r="L272" s="696"/>
      <c r="M272" s="696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  <c r="Z272" s="70"/>
    </row>
    <row r="273" customFormat="false" ht="12.75" hidden="false" customHeight="false" outlineLevel="0" collapsed="false">
      <c r="A273" s="695"/>
      <c r="B273" s="697"/>
      <c r="C273" s="697"/>
      <c r="D273" s="697"/>
      <c r="E273" s="697"/>
      <c r="F273" s="70"/>
      <c r="G273" s="70"/>
      <c r="H273" s="698"/>
      <c r="I273" s="698"/>
      <c r="J273" s="698"/>
      <c r="K273" s="698"/>
      <c r="L273" s="698"/>
      <c r="M273" s="698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  <c r="Z273" s="70"/>
    </row>
    <row r="274" customFormat="false" ht="12.75" hidden="false" customHeight="false" outlineLevel="0" collapsed="false">
      <c r="A274" s="695"/>
      <c r="B274" s="70"/>
      <c r="C274" s="70"/>
      <c r="D274" s="70"/>
      <c r="E274" s="70"/>
      <c r="F274" s="70"/>
      <c r="G274" s="70"/>
      <c r="H274" s="698"/>
      <c r="I274" s="698"/>
      <c r="J274" s="698"/>
      <c r="K274" s="698"/>
      <c r="L274" s="698"/>
      <c r="M274" s="698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  <c r="Z274" s="70"/>
    </row>
    <row r="275" customFormat="false" ht="12.75" hidden="false" customHeight="false" outlineLevel="0" collapsed="false">
      <c r="A275" s="695"/>
      <c r="B275" s="70"/>
      <c r="C275" s="70"/>
      <c r="D275" s="70"/>
      <c r="E275" s="70"/>
      <c r="F275" s="70"/>
      <c r="G275" s="70"/>
      <c r="H275" s="698"/>
      <c r="I275" s="698"/>
      <c r="J275" s="698"/>
      <c r="K275" s="698"/>
      <c r="L275" s="698"/>
      <c r="M275" s="698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  <c r="Z275" s="70"/>
    </row>
    <row r="276" customFormat="false" ht="12.75" hidden="false" customHeight="false" outlineLevel="0" collapsed="false">
      <c r="A276" s="695"/>
      <c r="B276" s="70"/>
      <c r="C276" s="70"/>
      <c r="D276" s="70"/>
      <c r="E276" s="70"/>
      <c r="F276" s="70"/>
      <c r="G276" s="70"/>
      <c r="H276" s="698"/>
      <c r="I276" s="698"/>
      <c r="J276" s="698"/>
      <c r="K276" s="698"/>
      <c r="L276" s="698"/>
      <c r="M276" s="698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/>
    </row>
    <row r="277" customFormat="false" ht="12.75" hidden="false" customHeight="false" outlineLevel="0" collapsed="false">
      <c r="A277" s="695"/>
      <c r="B277" s="70"/>
      <c r="C277" s="70"/>
      <c r="D277" s="70"/>
      <c r="E277" s="70"/>
      <c r="F277" s="70"/>
      <c r="G277" s="70"/>
      <c r="H277" s="696"/>
      <c r="I277" s="696"/>
      <c r="J277" s="696"/>
      <c r="K277" s="696"/>
      <c r="L277" s="696"/>
      <c r="M277" s="696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/>
    </row>
    <row r="278" customFormat="false" ht="12.75" hidden="false" customHeight="false" outlineLevel="0" collapsed="false">
      <c r="A278" s="395"/>
      <c r="B278" s="70"/>
      <c r="C278" s="70"/>
      <c r="D278" s="70"/>
      <c r="E278" s="70"/>
      <c r="F278" s="70"/>
      <c r="G278" s="70"/>
      <c r="H278" s="70"/>
      <c r="I278" s="70"/>
      <c r="J278" s="70"/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/>
    </row>
    <row r="279" customFormat="false" ht="12.75" hidden="false" customHeight="false" outlineLevel="0" collapsed="false">
      <c r="A279" s="70"/>
      <c r="B279" s="70"/>
      <c r="C279" s="70"/>
      <c r="D279" s="70"/>
      <c r="E279" s="70"/>
      <c r="F279" s="70"/>
      <c r="G279" s="70"/>
      <c r="H279" s="102"/>
      <c r="I279" s="102"/>
      <c r="J279" s="102"/>
      <c r="K279" s="102"/>
      <c r="L279" s="102"/>
      <c r="M279" s="102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/>
    </row>
    <row r="280" customFormat="false" ht="12.75" hidden="false" customHeight="false" outlineLevel="0" collapsed="false">
      <c r="A280" s="70"/>
      <c r="B280" s="70"/>
      <c r="C280" s="70"/>
      <c r="D280" s="70"/>
      <c r="E280" s="70"/>
      <c r="F280" s="70"/>
      <c r="G280" s="70"/>
      <c r="H280" s="102"/>
      <c r="I280" s="102"/>
      <c r="J280" s="102"/>
      <c r="K280" s="102"/>
      <c r="L280" s="102"/>
      <c r="M280" s="102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  <c r="Z280" s="70"/>
    </row>
    <row r="281" customFormat="false" ht="12.75" hidden="false" customHeight="false" outlineLevel="0" collapsed="false">
      <c r="A281" s="70"/>
      <c r="B281" s="70"/>
      <c r="C281" s="70"/>
      <c r="D281" s="70"/>
      <c r="E281" s="70"/>
      <c r="F281" s="70"/>
      <c r="G281" s="70"/>
      <c r="H281" s="102"/>
      <c r="I281" s="102"/>
      <c r="J281" s="102"/>
      <c r="K281" s="102"/>
      <c r="L281" s="102"/>
      <c r="M281" s="102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  <c r="Z281" s="70"/>
    </row>
    <row r="282" customFormat="false" ht="12.75" hidden="false" customHeight="false" outlineLevel="0" collapsed="false">
      <c r="A282" s="70"/>
      <c r="B282" s="70"/>
      <c r="C282" s="70"/>
      <c r="D282" s="70"/>
      <c r="E282" s="70"/>
      <c r="F282" s="639"/>
      <c r="G282" s="639"/>
      <c r="H282" s="102"/>
      <c r="I282" s="102"/>
      <c r="J282" s="102"/>
      <c r="K282" s="102"/>
      <c r="L282" s="102"/>
      <c r="M282" s="102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  <c r="Z282" s="70"/>
    </row>
    <row r="283" customFormat="false" ht="12.75" hidden="false" customHeight="false" outlineLevel="0" collapsed="false">
      <c r="A283" s="70"/>
      <c r="B283" s="70"/>
      <c r="C283" s="70"/>
      <c r="D283" s="70"/>
      <c r="E283" s="70"/>
      <c r="F283" s="70"/>
      <c r="G283" s="70"/>
      <c r="H283" s="70"/>
      <c r="I283" s="70"/>
      <c r="J283" s="70"/>
      <c r="K283" s="70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  <c r="Z283" s="70"/>
    </row>
    <row r="284" customFormat="false" ht="12.75" hidden="false" customHeight="false" outlineLevel="0" collapsed="false">
      <c r="A284" s="395"/>
      <c r="B284" s="70"/>
      <c r="C284" s="70"/>
      <c r="D284" s="70"/>
      <c r="E284" s="70"/>
      <c r="F284" s="70"/>
      <c r="G284" s="70"/>
      <c r="H284" s="70"/>
      <c r="I284" s="70"/>
      <c r="J284" s="70"/>
      <c r="K284" s="70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  <c r="Z284" s="70"/>
    </row>
    <row r="285" customFormat="false" ht="12.75" hidden="false" customHeight="false" outlineLevel="0" collapsed="false">
      <c r="A285" s="70"/>
      <c r="B285" s="70"/>
      <c r="C285" s="70"/>
      <c r="D285" s="70"/>
      <c r="E285" s="70"/>
      <c r="F285" s="70"/>
      <c r="G285" s="70"/>
      <c r="H285" s="417"/>
      <c r="I285" s="417"/>
      <c r="J285" s="417"/>
      <c r="K285" s="417"/>
      <c r="L285" s="417"/>
      <c r="M285" s="417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  <c r="Z285" s="70"/>
    </row>
    <row r="286" customFormat="false" ht="12.75" hidden="false" customHeight="false" outlineLevel="0" collapsed="false">
      <c r="A286" s="695"/>
      <c r="B286" s="70"/>
      <c r="C286" s="70"/>
      <c r="D286" s="70"/>
      <c r="E286" s="70"/>
      <c r="F286" s="70"/>
      <c r="G286" s="70"/>
      <c r="H286" s="417"/>
      <c r="I286" s="417"/>
      <c r="J286" s="417"/>
      <c r="K286" s="417"/>
      <c r="L286" s="417"/>
      <c r="M286" s="417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  <c r="Z286" s="70"/>
    </row>
    <row r="287" customFormat="false" ht="12.75" hidden="false" customHeight="false" outlineLevel="0" collapsed="false">
      <c r="A287" s="695"/>
      <c r="B287" s="70"/>
      <c r="C287" s="70"/>
      <c r="D287" s="70"/>
      <c r="E287" s="70"/>
      <c r="F287" s="70"/>
      <c r="G287" s="70"/>
      <c r="H287" s="417"/>
      <c r="I287" s="417"/>
      <c r="J287" s="417"/>
      <c r="K287" s="417"/>
      <c r="L287" s="417"/>
      <c r="M287" s="417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  <c r="Z287" s="70"/>
    </row>
    <row r="288" customFormat="false" ht="12.75" hidden="false" customHeight="false" outlineLevel="0" collapsed="false">
      <c r="A288" s="695"/>
      <c r="B288" s="70"/>
      <c r="C288" s="70"/>
      <c r="D288" s="70"/>
      <c r="E288" s="70"/>
      <c r="F288" s="639"/>
      <c r="G288" s="639"/>
      <c r="H288" s="417"/>
      <c r="I288" s="417"/>
      <c r="J288" s="417"/>
      <c r="K288" s="417"/>
      <c r="L288" s="417"/>
      <c r="M288" s="417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  <c r="Z288" s="70"/>
    </row>
    <row r="289" customFormat="false" ht="12.75" hidden="false" customHeight="false" outlineLevel="0" collapsed="false">
      <c r="A289" s="70"/>
      <c r="B289" s="70"/>
      <c r="C289" s="70"/>
      <c r="D289" s="70"/>
      <c r="E289" s="70"/>
      <c r="F289" s="70"/>
      <c r="G289" s="70"/>
      <c r="H289" s="417"/>
      <c r="I289" s="417"/>
      <c r="J289" s="417"/>
      <c r="K289" s="417"/>
      <c r="L289" s="417"/>
      <c r="M289" s="417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  <c r="Z289" s="70"/>
    </row>
    <row r="290" customFormat="false" ht="12.75" hidden="false" customHeight="false" outlineLevel="0" collapsed="false">
      <c r="A290" s="70"/>
      <c r="B290" s="70"/>
      <c r="C290" s="70"/>
      <c r="D290" s="70"/>
      <c r="E290" s="70"/>
      <c r="F290" s="70"/>
      <c r="G290" s="70"/>
      <c r="H290" s="417"/>
      <c r="I290" s="417"/>
      <c r="J290" s="417"/>
      <c r="K290" s="417"/>
      <c r="L290" s="417"/>
      <c r="M290" s="417"/>
      <c r="N290" s="70"/>
      <c r="O290" s="70"/>
      <c r="P290" s="70"/>
      <c r="Q290" s="70"/>
      <c r="R290" s="70"/>
      <c r="S290" s="70"/>
      <c r="T290" s="70"/>
      <c r="U290" s="70"/>
      <c r="V290" s="70"/>
      <c r="W290" s="70"/>
      <c r="X290" s="70"/>
      <c r="Y290" s="70"/>
      <c r="Z290" s="70"/>
    </row>
    <row r="291" customFormat="false" ht="12.75" hidden="false" customHeight="false" outlineLevel="0" collapsed="false">
      <c r="A291" s="70"/>
      <c r="B291" s="70"/>
      <c r="C291" s="70"/>
      <c r="D291" s="70"/>
      <c r="E291" s="70"/>
      <c r="F291" s="70"/>
      <c r="G291" s="70"/>
      <c r="H291" s="417"/>
      <c r="I291" s="417"/>
      <c r="J291" s="417"/>
      <c r="K291" s="417"/>
      <c r="L291" s="417"/>
      <c r="M291" s="417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  <c r="Y291" s="70"/>
      <c r="Z291" s="70"/>
    </row>
    <row r="292" customFormat="false" ht="12.75" hidden="false" customHeight="false" outlineLevel="0" collapsed="false">
      <c r="A292" s="70"/>
      <c r="B292" s="70"/>
      <c r="C292" s="70"/>
      <c r="D292" s="70"/>
      <c r="E292" s="70"/>
      <c r="F292" s="70"/>
      <c r="G292" s="70"/>
      <c r="H292" s="417"/>
      <c r="I292" s="417"/>
      <c r="J292" s="417"/>
      <c r="K292" s="417"/>
      <c r="L292" s="417"/>
      <c r="M292" s="417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  <c r="Z292" s="70"/>
    </row>
    <row r="293" customFormat="false" ht="12.75" hidden="false" customHeight="false" outlineLevel="0" collapsed="false">
      <c r="A293" s="70"/>
      <c r="B293" s="70"/>
      <c r="C293" s="70"/>
      <c r="D293" s="70"/>
      <c r="E293" s="70"/>
      <c r="F293" s="70"/>
      <c r="G293" s="70"/>
      <c r="H293" s="417"/>
      <c r="I293" s="417"/>
      <c r="J293" s="417"/>
      <c r="K293" s="417"/>
      <c r="L293" s="417"/>
      <c r="M293" s="417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  <c r="Z293" s="70"/>
    </row>
    <row r="294" customFormat="false" ht="12.75" hidden="false" customHeight="false" outlineLevel="0" collapsed="false">
      <c r="A294" s="70"/>
      <c r="B294" s="70"/>
      <c r="C294" s="70"/>
      <c r="D294" s="70"/>
      <c r="E294" s="70"/>
      <c r="F294" s="70"/>
      <c r="G294" s="70"/>
      <c r="H294" s="417"/>
      <c r="I294" s="417"/>
      <c r="J294" s="417"/>
      <c r="K294" s="417"/>
      <c r="L294" s="417"/>
      <c r="M294" s="417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  <c r="Y294" s="70"/>
      <c r="Z294" s="70"/>
    </row>
    <row r="295" customFormat="false" ht="12.75" hidden="false" customHeight="false" outlineLevel="0" collapsed="false">
      <c r="A295" s="70"/>
      <c r="B295" s="70"/>
      <c r="C295" s="70"/>
      <c r="D295" s="70"/>
      <c r="E295" s="70"/>
      <c r="F295" s="70"/>
      <c r="G295" s="70"/>
      <c r="H295" s="70"/>
      <c r="I295" s="70"/>
      <c r="J295" s="70"/>
      <c r="K295" s="70"/>
      <c r="L295" s="70"/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  <c r="Y295" s="70"/>
      <c r="Z295" s="70"/>
    </row>
    <row r="296" customFormat="false" ht="12.75" hidden="false" customHeight="false" outlineLevel="0" collapsed="false">
      <c r="A296" s="395"/>
      <c r="B296" s="70"/>
      <c r="C296" s="70"/>
      <c r="D296" s="70"/>
      <c r="E296" s="70"/>
      <c r="F296" s="399"/>
      <c r="G296" s="399"/>
      <c r="H296" s="399"/>
      <c r="I296" s="399"/>
      <c r="J296" s="399"/>
      <c r="K296" s="399"/>
      <c r="L296" s="399"/>
      <c r="M296" s="399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  <c r="Y296" s="70"/>
      <c r="Z296" s="70"/>
    </row>
    <row r="297" customFormat="false" ht="12.75" hidden="false" customHeight="false" outlineLevel="0" collapsed="false">
      <c r="A297" s="395"/>
      <c r="B297" s="70"/>
      <c r="C297" s="70"/>
      <c r="D297" s="70"/>
      <c r="E297" s="697"/>
      <c r="F297" s="639"/>
      <c r="G297" s="639"/>
      <c r="H297" s="399"/>
      <c r="I297" s="399"/>
      <c r="J297" s="399"/>
      <c r="K297" s="399"/>
      <c r="L297" s="399"/>
      <c r="M297" s="399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  <c r="Y297" s="70"/>
      <c r="Z297" s="70"/>
    </row>
    <row r="298" customFormat="false" ht="12.75" hidden="false" customHeight="false" outlineLevel="0" collapsed="false">
      <c r="A298" s="395"/>
      <c r="B298" s="70"/>
      <c r="C298" s="70"/>
      <c r="D298" s="70"/>
      <c r="E298" s="70"/>
      <c r="F298" s="399"/>
      <c r="G298" s="399"/>
      <c r="H298" s="399"/>
      <c r="I298" s="399"/>
      <c r="J298" s="399"/>
      <c r="K298" s="399"/>
      <c r="L298" s="399"/>
      <c r="M298" s="399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  <c r="Y298" s="70"/>
      <c r="Z298" s="70"/>
    </row>
    <row r="299" customFormat="false" ht="12.75" hidden="false" customHeight="false" outlineLevel="0" collapsed="false">
      <c r="A299" s="395"/>
      <c r="B299" s="70"/>
      <c r="C299" s="70"/>
      <c r="D299" s="70"/>
      <c r="E299" s="70"/>
      <c r="F299" s="70"/>
      <c r="G299" s="70"/>
      <c r="H299" s="399"/>
      <c r="I299" s="399"/>
      <c r="J299" s="399"/>
      <c r="K299" s="399"/>
      <c r="L299" s="399"/>
      <c r="M299" s="399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  <c r="Y299" s="70"/>
      <c r="Z299" s="70"/>
    </row>
    <row r="300" customFormat="false" ht="12.75" hidden="false" customHeight="false" outlineLevel="0" collapsed="false">
      <c r="A300" s="70"/>
      <c r="B300" s="70"/>
      <c r="C300" s="70"/>
      <c r="D300" s="70"/>
      <c r="E300" s="70"/>
      <c r="F300" s="70"/>
      <c r="G300" s="70"/>
      <c r="H300" s="70"/>
      <c r="I300" s="70"/>
      <c r="J300" s="70"/>
      <c r="K300" s="70"/>
      <c r="L300" s="70"/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  <c r="Y300" s="70"/>
      <c r="Z300" s="70"/>
    </row>
    <row r="301" customFormat="false" ht="12.75" hidden="false" customHeight="false" outlineLevel="0" collapsed="false">
      <c r="A301" s="395"/>
      <c r="B301" s="70"/>
      <c r="C301" s="70"/>
      <c r="D301" s="70"/>
      <c r="E301" s="70"/>
      <c r="F301" s="70"/>
      <c r="G301" s="70"/>
      <c r="H301" s="70"/>
      <c r="I301" s="70"/>
      <c r="J301" s="70"/>
      <c r="K301" s="70"/>
      <c r="L301" s="70"/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  <c r="Y301" s="70"/>
      <c r="Z301" s="70"/>
    </row>
    <row r="302" customFormat="false" ht="12.75" hidden="false" customHeight="false" outlineLevel="0" collapsed="false">
      <c r="A302" s="395"/>
      <c r="B302" s="70"/>
      <c r="C302" s="70"/>
      <c r="D302" s="70"/>
      <c r="E302" s="70"/>
      <c r="F302" s="70"/>
      <c r="G302" s="70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  <c r="Y302" s="70"/>
      <c r="Z302" s="70"/>
    </row>
    <row r="303" customFormat="false" ht="12.75" hidden="false" customHeight="false" outlineLevel="0" collapsed="false">
      <c r="A303" s="70"/>
      <c r="B303" s="70"/>
      <c r="C303" s="70"/>
      <c r="D303" s="70"/>
      <c r="E303" s="70"/>
      <c r="F303" s="70"/>
      <c r="G303" s="70"/>
      <c r="H303" s="70"/>
      <c r="I303" s="70"/>
      <c r="J303" s="70"/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  <c r="Y303" s="70"/>
      <c r="Z303" s="70"/>
    </row>
    <row r="304" customFormat="false" ht="12.75" hidden="false" customHeight="false" outlineLevel="0" collapsed="false">
      <c r="A304" s="70"/>
      <c r="B304" s="70"/>
      <c r="C304" s="70"/>
      <c r="D304" s="70"/>
      <c r="E304" s="70"/>
      <c r="F304" s="70"/>
      <c r="G304" s="70"/>
      <c r="H304" s="686"/>
      <c r="I304" s="686"/>
      <c r="J304" s="686"/>
      <c r="K304" s="686"/>
      <c r="L304" s="686"/>
      <c r="M304" s="686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  <c r="Z304" s="70"/>
    </row>
    <row r="305" customFormat="false" ht="12.75" hidden="false" customHeight="false" outlineLevel="0" collapsed="false">
      <c r="A305" s="70"/>
      <c r="B305" s="70"/>
      <c r="C305" s="70"/>
      <c r="D305" s="70"/>
      <c r="E305" s="70"/>
      <c r="F305" s="70"/>
      <c r="G305" s="70"/>
      <c r="H305" s="399"/>
      <c r="I305" s="399"/>
      <c r="J305" s="399"/>
      <c r="K305" s="399"/>
      <c r="L305" s="399"/>
      <c r="M305" s="399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  <c r="Y305" s="70"/>
      <c r="Z305" s="70"/>
    </row>
    <row r="306" customFormat="false" ht="12.75" hidden="false" customHeight="false" outlineLevel="0" collapsed="false">
      <c r="A306" s="70"/>
      <c r="B306" s="70"/>
      <c r="C306" s="70"/>
      <c r="D306" s="70"/>
      <c r="E306" s="70"/>
      <c r="F306" s="70"/>
      <c r="G306" s="70"/>
      <c r="H306" s="699"/>
      <c r="I306" s="699"/>
      <c r="J306" s="699"/>
      <c r="K306" s="699"/>
      <c r="L306" s="699"/>
      <c r="M306" s="699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  <c r="Y306" s="70"/>
      <c r="Z306" s="70"/>
    </row>
    <row r="307" customFormat="false" ht="12.75" hidden="false" customHeight="false" outlineLevel="0" collapsed="false">
      <c r="A307" s="70"/>
      <c r="B307" s="70"/>
      <c r="C307" s="70"/>
      <c r="D307" s="70"/>
      <c r="E307" s="70"/>
      <c r="F307" s="70"/>
      <c r="G307" s="70"/>
      <c r="H307" s="686"/>
      <c r="I307" s="686"/>
      <c r="J307" s="686"/>
      <c r="K307" s="686"/>
      <c r="L307" s="686"/>
      <c r="M307" s="686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  <c r="Z307" s="70"/>
    </row>
    <row r="308" customFormat="false" ht="12.75" hidden="false" customHeight="false" outlineLevel="0" collapsed="false">
      <c r="A308" s="70"/>
      <c r="B308" s="70"/>
      <c r="C308" s="70"/>
      <c r="D308" s="70"/>
      <c r="E308" s="70"/>
      <c r="F308" s="70"/>
      <c r="G308" s="70"/>
      <c r="H308" s="699"/>
      <c r="I308" s="699"/>
      <c r="J308" s="699"/>
      <c r="K308" s="699"/>
      <c r="L308" s="699"/>
      <c r="M308" s="699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  <c r="Y308" s="70"/>
      <c r="Z308" s="70"/>
    </row>
    <row r="309" customFormat="false" ht="12.75" hidden="false" customHeight="false" outlineLevel="0" collapsed="false">
      <c r="A309" s="70"/>
      <c r="B309" s="70"/>
      <c r="C309" s="70"/>
      <c r="D309" s="70"/>
      <c r="E309" s="70"/>
      <c r="F309" s="70"/>
      <c r="G309" s="70"/>
      <c r="H309" s="700"/>
      <c r="I309" s="700"/>
      <c r="J309" s="700"/>
      <c r="K309" s="700"/>
      <c r="L309" s="700"/>
      <c r="M309" s="700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  <c r="Y309" s="70"/>
      <c r="Z309" s="70"/>
    </row>
    <row r="310" customFormat="false" ht="12.75" hidden="false" customHeight="false" outlineLevel="0" collapsed="false">
      <c r="A310" s="70"/>
      <c r="B310" s="70"/>
      <c r="C310" s="70"/>
      <c r="D310" s="70"/>
      <c r="E310" s="70"/>
      <c r="F310" s="70"/>
      <c r="G310" s="70"/>
      <c r="H310" s="700"/>
      <c r="I310" s="700"/>
      <c r="J310" s="700"/>
      <c r="K310" s="700"/>
      <c r="L310" s="700"/>
      <c r="M310" s="700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  <c r="Y310" s="70"/>
      <c r="Z310" s="70"/>
    </row>
    <row r="311" customFormat="false" ht="18.75" hidden="true" customHeight="false" outlineLevel="1" collapsed="false">
      <c r="A311" s="682"/>
      <c r="B311" s="70"/>
      <c r="C311" s="70"/>
      <c r="D311" s="70"/>
      <c r="E311" s="70"/>
      <c r="F311" s="70"/>
      <c r="G311" s="70"/>
      <c r="H311" s="700"/>
      <c r="I311" s="700"/>
      <c r="J311" s="700"/>
      <c r="K311" s="700"/>
      <c r="L311" s="700"/>
      <c r="M311" s="700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  <c r="Y311" s="70"/>
      <c r="Z311" s="70"/>
    </row>
    <row r="312" customFormat="false" ht="12.75" hidden="true" customHeight="false" outlineLevel="1" collapsed="false">
      <c r="A312" s="395"/>
      <c r="B312" s="70"/>
      <c r="C312" s="70"/>
      <c r="D312" s="70"/>
      <c r="E312" s="70"/>
      <c r="F312" s="70"/>
      <c r="G312" s="70"/>
      <c r="H312" s="700"/>
      <c r="I312" s="700"/>
      <c r="J312" s="700"/>
      <c r="K312" s="700"/>
      <c r="L312" s="700"/>
      <c r="M312" s="700"/>
      <c r="N312" s="70"/>
      <c r="O312" s="70"/>
      <c r="P312" s="70"/>
      <c r="Q312" s="70"/>
      <c r="R312" s="70"/>
      <c r="S312" s="70"/>
      <c r="T312" s="70"/>
      <c r="U312" s="70"/>
      <c r="V312" s="70"/>
      <c r="W312" s="70"/>
      <c r="X312" s="70"/>
      <c r="Y312" s="70"/>
      <c r="Z312" s="70"/>
    </row>
    <row r="313" customFormat="false" ht="12.75" hidden="true" customHeight="false" outlineLevel="1" collapsed="false">
      <c r="A313" s="70"/>
      <c r="B313" s="70"/>
      <c r="C313" s="70"/>
      <c r="D313" s="70"/>
      <c r="E313" s="70"/>
      <c r="F313" s="70"/>
      <c r="G313" s="70"/>
      <c r="H313" s="700"/>
      <c r="I313" s="700"/>
      <c r="J313" s="700"/>
      <c r="K313" s="700"/>
      <c r="L313" s="700"/>
      <c r="M313" s="700"/>
      <c r="N313" s="70"/>
      <c r="O313" s="70"/>
      <c r="P313" s="70"/>
      <c r="Q313" s="70"/>
      <c r="R313" s="70"/>
      <c r="S313" s="70"/>
      <c r="T313" s="70"/>
      <c r="U313" s="70"/>
      <c r="V313" s="70"/>
      <c r="W313" s="70"/>
      <c r="X313" s="70"/>
      <c r="Y313" s="70"/>
      <c r="Z313" s="70"/>
    </row>
    <row r="314" customFormat="false" ht="12.75" hidden="true" customHeight="false" outlineLevel="1" collapsed="false">
      <c r="A314" s="395"/>
      <c r="B314" s="321"/>
      <c r="C314" s="321"/>
      <c r="D314" s="321"/>
      <c r="E314" s="321"/>
      <c r="F314" s="474"/>
      <c r="G314" s="474"/>
      <c r="H314" s="474"/>
      <c r="I314" s="321"/>
      <c r="J314" s="321"/>
      <c r="K314" s="474"/>
      <c r="L314" s="474"/>
      <c r="M314" s="321"/>
      <c r="N314" s="474"/>
      <c r="O314" s="474"/>
      <c r="P314" s="474"/>
      <c r="Q314" s="321"/>
      <c r="R314" s="474"/>
      <c r="S314" s="474"/>
      <c r="T314" s="70"/>
      <c r="U314" s="70"/>
      <c r="V314" s="70"/>
      <c r="W314" s="70"/>
      <c r="X314" s="70"/>
      <c r="Y314" s="474"/>
      <c r="Z314" s="70"/>
    </row>
    <row r="315" customFormat="false" ht="12.75" hidden="true" customHeight="false" outlineLevel="1" collapsed="false">
      <c r="A315" s="395"/>
      <c r="B315" s="70"/>
      <c r="C315" s="70"/>
      <c r="D315" s="70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  <c r="Z315" s="70"/>
    </row>
    <row r="316" customFormat="false" ht="12.75" hidden="true" customHeight="false" outlineLevel="1" collapsed="false">
      <c r="A316" s="70"/>
      <c r="B316" s="70"/>
      <c r="C316" s="70"/>
      <c r="D316" s="70"/>
      <c r="E316" s="70"/>
      <c r="F316" s="70"/>
      <c r="G316" s="70"/>
      <c r="H316" s="70"/>
      <c r="I316" s="70"/>
      <c r="J316" s="70"/>
      <c r="K316" s="70"/>
      <c r="L316" s="70"/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  <c r="Y316" s="70"/>
      <c r="Z316" s="70"/>
    </row>
    <row r="317" customFormat="false" ht="12.75" hidden="true" customHeight="false" outlineLevel="1" collapsed="false">
      <c r="A317" s="70"/>
      <c r="B317" s="686"/>
      <c r="C317" s="686"/>
      <c r="D317" s="686"/>
      <c r="E317" s="686"/>
      <c r="F317" s="686"/>
      <c r="G317" s="686"/>
      <c r="H317" s="686"/>
      <c r="I317" s="686"/>
      <c r="J317" s="686"/>
      <c r="K317" s="686"/>
      <c r="L317" s="686"/>
      <c r="M317" s="686"/>
      <c r="N317" s="686"/>
      <c r="O317" s="686"/>
      <c r="P317" s="686"/>
      <c r="Q317" s="686"/>
      <c r="R317" s="686"/>
      <c r="S317" s="686"/>
      <c r="T317" s="70"/>
      <c r="U317" s="70"/>
      <c r="V317" s="70"/>
      <c r="W317" s="70"/>
      <c r="X317" s="70"/>
      <c r="Y317" s="686"/>
      <c r="Z317" s="70"/>
    </row>
    <row r="318" customFormat="false" ht="12.75" hidden="true" customHeight="false" outlineLevel="1" collapsed="false">
      <c r="A318" s="70"/>
      <c r="B318" s="70"/>
      <c r="C318" s="70"/>
      <c r="D318" s="70"/>
      <c r="E318" s="70"/>
      <c r="F318" s="70"/>
      <c r="G318" s="70"/>
      <c r="H318" s="70"/>
      <c r="I318" s="70"/>
      <c r="J318" s="70"/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  <c r="Y318" s="70"/>
      <c r="Z318" s="70"/>
    </row>
    <row r="319" customFormat="false" ht="12.75" hidden="true" customHeight="false" outlineLevel="1" collapsed="false">
      <c r="A319" s="70"/>
      <c r="B319" s="399"/>
      <c r="C319" s="399"/>
      <c r="D319" s="399"/>
      <c r="E319" s="399"/>
      <c r="F319" s="399"/>
      <c r="G319" s="399"/>
      <c r="H319" s="399"/>
      <c r="I319" s="686"/>
      <c r="J319" s="686"/>
      <c r="K319" s="686"/>
      <c r="L319" s="686"/>
      <c r="M319" s="686"/>
      <c r="N319" s="686"/>
      <c r="O319" s="686"/>
      <c r="P319" s="686"/>
      <c r="Q319" s="686"/>
      <c r="R319" s="686"/>
      <c r="S319" s="686"/>
      <c r="T319" s="70"/>
      <c r="U319" s="70"/>
      <c r="V319" s="70"/>
      <c r="W319" s="70"/>
      <c r="X319" s="70"/>
      <c r="Y319" s="686"/>
      <c r="Z319" s="70"/>
    </row>
    <row r="320" customFormat="false" ht="12.75" hidden="true" customHeight="false" outlineLevel="1" collapsed="false">
      <c r="A320" s="70"/>
      <c r="B320" s="70"/>
      <c r="C320" s="70"/>
      <c r="D320" s="70"/>
      <c r="E320" s="70"/>
      <c r="F320" s="70"/>
      <c r="G320" s="70"/>
      <c r="H320" s="70"/>
      <c r="I320" s="70"/>
      <c r="J320" s="70"/>
      <c r="K320" s="70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0"/>
      <c r="X320" s="70"/>
      <c r="Y320" s="70"/>
      <c r="Z320" s="70"/>
    </row>
    <row r="321" customFormat="false" ht="12.75" hidden="true" customHeight="false" outlineLevel="1" collapsed="false">
      <c r="A321" s="70"/>
      <c r="B321" s="686"/>
      <c r="C321" s="686"/>
      <c r="D321" s="686"/>
      <c r="E321" s="686"/>
      <c r="F321" s="686"/>
      <c r="G321" s="686"/>
      <c r="H321" s="686"/>
      <c r="I321" s="686"/>
      <c r="J321" s="686"/>
      <c r="K321" s="686"/>
      <c r="L321" s="686"/>
      <c r="M321" s="686"/>
      <c r="N321" s="686"/>
      <c r="O321" s="686"/>
      <c r="P321" s="686"/>
      <c r="Q321" s="686"/>
      <c r="R321" s="686"/>
      <c r="S321" s="686"/>
      <c r="T321" s="70"/>
      <c r="U321" s="70"/>
      <c r="V321" s="70"/>
      <c r="W321" s="70"/>
      <c r="X321" s="70"/>
      <c r="Y321" s="686"/>
      <c r="Z321" s="686"/>
      <c r="AA321" s="686"/>
      <c r="AB321" s="686"/>
      <c r="AC321" s="686"/>
      <c r="AD321" s="686"/>
      <c r="AE321" s="686"/>
    </row>
    <row r="322" customFormat="false" ht="12.75" hidden="true" customHeight="false" outlineLevel="1" collapsed="false">
      <c r="A322" s="70"/>
      <c r="B322" s="70"/>
      <c r="C322" s="70"/>
      <c r="D322" s="70"/>
      <c r="E322" s="70"/>
      <c r="F322" s="70"/>
      <c r="G322" s="70"/>
      <c r="H322" s="70"/>
      <c r="I322" s="70"/>
      <c r="J322" s="70"/>
      <c r="K322" s="70"/>
      <c r="L322" s="70"/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  <c r="Y322" s="70"/>
      <c r="Z322" s="70"/>
    </row>
    <row r="323" customFormat="false" ht="12.75" hidden="true" customHeight="false" outlineLevel="1" collapsed="false">
      <c r="A323" s="70"/>
      <c r="B323" s="686"/>
      <c r="C323" s="686"/>
      <c r="D323" s="686"/>
      <c r="E323" s="686"/>
      <c r="F323" s="686"/>
      <c r="G323" s="686"/>
      <c r="H323" s="686"/>
      <c r="I323" s="686"/>
      <c r="J323" s="686"/>
      <c r="K323" s="686"/>
      <c r="L323" s="686"/>
      <c r="M323" s="686"/>
      <c r="N323" s="686"/>
      <c r="O323" s="686"/>
      <c r="P323" s="686"/>
      <c r="Q323" s="686"/>
      <c r="R323" s="686"/>
      <c r="S323" s="686"/>
      <c r="T323" s="70"/>
      <c r="U323" s="70"/>
      <c r="V323" s="70"/>
      <c r="W323" s="70"/>
      <c r="X323" s="70"/>
      <c r="Y323" s="686"/>
      <c r="Z323" s="70"/>
    </row>
    <row r="324" customFormat="false" ht="12.75" hidden="true" customHeight="false" outlineLevel="1" collapsed="false">
      <c r="A324" s="70"/>
      <c r="B324" s="70"/>
      <c r="C324" s="70"/>
      <c r="D324" s="70"/>
      <c r="E324" s="70"/>
      <c r="F324" s="70"/>
      <c r="G324" s="70"/>
      <c r="H324" s="70"/>
      <c r="I324" s="70"/>
      <c r="J324" s="70"/>
      <c r="K324" s="70"/>
      <c r="L324" s="70"/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70"/>
      <c r="X324" s="70"/>
      <c r="Y324" s="70"/>
      <c r="Z324" s="70"/>
    </row>
    <row r="325" customFormat="false" ht="12.75" hidden="true" customHeight="false" outlineLevel="1" collapsed="false">
      <c r="A325" s="70"/>
      <c r="B325" s="686"/>
      <c r="C325" s="686"/>
      <c r="D325" s="686"/>
      <c r="E325" s="686"/>
      <c r="F325" s="686"/>
      <c r="G325" s="686"/>
      <c r="H325" s="686"/>
      <c r="I325" s="686"/>
      <c r="J325" s="686"/>
      <c r="K325" s="686"/>
      <c r="L325" s="686"/>
      <c r="M325" s="686"/>
      <c r="N325" s="686"/>
      <c r="O325" s="686"/>
      <c r="P325" s="686"/>
      <c r="Q325" s="686"/>
      <c r="R325" s="686"/>
      <c r="S325" s="686"/>
      <c r="T325" s="70"/>
      <c r="U325" s="70"/>
      <c r="V325" s="70"/>
      <c r="W325" s="70"/>
      <c r="X325" s="70"/>
      <c r="Y325" s="686"/>
      <c r="Z325" s="686"/>
    </row>
    <row r="326" customFormat="false" ht="12.75" hidden="true" customHeight="false" outlineLevel="1" collapsed="false">
      <c r="A326" s="70"/>
      <c r="B326" s="70"/>
      <c r="C326" s="70"/>
      <c r="D326" s="70"/>
      <c r="E326" s="70"/>
      <c r="F326" s="70"/>
      <c r="G326" s="70"/>
      <c r="H326" s="70"/>
      <c r="I326" s="70"/>
      <c r="J326" s="70"/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0"/>
      <c r="X326" s="70"/>
      <c r="Y326" s="70"/>
      <c r="Z326" s="70"/>
    </row>
    <row r="327" customFormat="false" ht="12.75" hidden="true" customHeight="false" outlineLevel="1" collapsed="false">
      <c r="A327" s="70"/>
      <c r="B327" s="686"/>
      <c r="C327" s="686"/>
      <c r="D327" s="686"/>
      <c r="E327" s="686"/>
      <c r="F327" s="686"/>
      <c r="G327" s="686"/>
      <c r="H327" s="686"/>
      <c r="I327" s="686"/>
      <c r="J327" s="686"/>
      <c r="K327" s="686"/>
      <c r="L327" s="686"/>
      <c r="M327" s="686"/>
      <c r="N327" s="686"/>
      <c r="O327" s="686"/>
      <c r="P327" s="686"/>
      <c r="Q327" s="686"/>
      <c r="R327" s="686"/>
      <c r="S327" s="686"/>
      <c r="T327" s="70"/>
      <c r="U327" s="70"/>
      <c r="V327" s="70"/>
      <c r="W327" s="70"/>
      <c r="X327" s="70"/>
      <c r="Y327" s="686"/>
      <c r="Z327" s="686"/>
    </row>
    <row r="328" customFormat="false" ht="12.75" hidden="true" customHeight="false" outlineLevel="1" collapsed="false">
      <c r="A328" s="70"/>
      <c r="B328" s="70"/>
      <c r="C328" s="70"/>
      <c r="D328" s="70"/>
      <c r="E328" s="70"/>
      <c r="F328" s="70"/>
      <c r="G328" s="70"/>
      <c r="H328" s="70"/>
      <c r="I328" s="70"/>
      <c r="J328" s="70"/>
      <c r="K328" s="70"/>
      <c r="L328" s="70"/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70"/>
      <c r="X328" s="70"/>
      <c r="Y328" s="70"/>
      <c r="Z328" s="70"/>
    </row>
    <row r="329" customFormat="false" ht="12.75" hidden="false" customHeight="false" outlineLevel="0" collapsed="false">
      <c r="A329" s="70"/>
      <c r="B329" s="70"/>
      <c r="C329" s="70"/>
      <c r="D329" s="70"/>
      <c r="E329" s="70"/>
      <c r="F329" s="70"/>
      <c r="G329" s="70"/>
      <c r="H329" s="70"/>
      <c r="I329" s="70"/>
      <c r="J329" s="70"/>
      <c r="K329" s="70"/>
      <c r="L329" s="70"/>
      <c r="M329" s="70"/>
      <c r="N329" s="70"/>
      <c r="O329" s="70"/>
      <c r="P329" s="70"/>
      <c r="Q329" s="70"/>
      <c r="R329" s="70"/>
      <c r="S329" s="70"/>
      <c r="T329" s="70"/>
      <c r="U329" s="70"/>
      <c r="V329" s="70"/>
      <c r="W329" s="70"/>
      <c r="X329" s="70"/>
      <c r="Y329" s="70"/>
      <c r="Z329" s="70"/>
    </row>
    <row r="330" customFormat="false" ht="12.75" hidden="false" customHeight="false" outlineLevel="0" collapsed="false">
      <c r="A330" s="70"/>
      <c r="B330" s="70"/>
      <c r="C330" s="70"/>
      <c r="D330" s="70"/>
      <c r="E330" s="70"/>
      <c r="F330" s="70"/>
      <c r="G330" s="70"/>
      <c r="H330" s="70"/>
      <c r="I330" s="70"/>
      <c r="J330" s="70"/>
      <c r="K330" s="70"/>
      <c r="L330" s="70"/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  <c r="Y330" s="70"/>
      <c r="Z330" s="70"/>
    </row>
    <row r="331" customFormat="false" ht="12.75" hidden="false" customHeight="false" outlineLevel="0" collapsed="false">
      <c r="A331" s="70"/>
      <c r="B331" s="70"/>
      <c r="C331" s="70"/>
      <c r="D331" s="70"/>
      <c r="E331" s="70"/>
      <c r="F331" s="70"/>
      <c r="G331" s="70"/>
      <c r="H331" s="70"/>
      <c r="I331" s="70"/>
      <c r="J331" s="70"/>
      <c r="K331" s="70"/>
      <c r="L331" s="70"/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70"/>
      <c r="X331" s="70"/>
      <c r="Y331" s="70"/>
      <c r="Z331" s="70"/>
    </row>
    <row r="332" customFormat="false" ht="18.75" hidden="false" customHeight="false" outlineLevel="0" collapsed="false">
      <c r="A332" s="683"/>
      <c r="B332" s="683"/>
      <c r="C332" s="683"/>
      <c r="D332" s="683"/>
      <c r="E332" s="70"/>
      <c r="F332" s="70"/>
      <c r="G332" s="70"/>
      <c r="H332" s="70"/>
      <c r="I332" s="70"/>
      <c r="J332" s="70"/>
      <c r="K332" s="70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0"/>
      <c r="X332" s="70"/>
      <c r="Y332" s="70"/>
      <c r="Z332" s="70"/>
    </row>
    <row r="333" customFormat="false" ht="12.75" hidden="false" customHeight="false" outlineLevel="0" collapsed="false">
      <c r="A333" s="395"/>
      <c r="B333" s="395"/>
      <c r="C333" s="395"/>
      <c r="D333" s="395"/>
      <c r="E333" s="70"/>
      <c r="F333" s="70"/>
      <c r="G333" s="70"/>
      <c r="H333" s="70"/>
      <c r="I333" s="70"/>
      <c r="J333" s="70"/>
      <c r="K333" s="70"/>
      <c r="L333" s="70"/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70"/>
      <c r="X333" s="70"/>
      <c r="Y333" s="70"/>
      <c r="Z333" s="70"/>
    </row>
    <row r="334" customFormat="false" ht="12.75" hidden="false" customHeight="false" outlineLevel="0" collapsed="false">
      <c r="A334" s="395"/>
      <c r="B334" s="684"/>
      <c r="C334" s="684"/>
      <c r="D334" s="684"/>
      <c r="E334" s="70"/>
      <c r="F334" s="70"/>
      <c r="G334" s="70"/>
      <c r="H334" s="70"/>
      <c r="I334" s="70"/>
      <c r="J334" s="70"/>
      <c r="K334" s="70"/>
      <c r="L334" s="70"/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70"/>
      <c r="X334" s="70"/>
      <c r="Y334" s="70"/>
      <c r="Z334" s="70"/>
    </row>
    <row r="335" customFormat="false" ht="12.75" hidden="false" customHeight="false" outlineLevel="0" collapsed="false">
      <c r="A335" s="70"/>
      <c r="B335" s="70"/>
      <c r="C335" s="70"/>
      <c r="D335" s="70"/>
      <c r="E335" s="70"/>
      <c r="F335" s="70"/>
      <c r="G335" s="70"/>
      <c r="H335" s="70"/>
      <c r="I335" s="70"/>
      <c r="J335" s="70"/>
      <c r="K335" s="70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0"/>
      <c r="X335" s="70"/>
      <c r="Y335" s="70"/>
      <c r="Z335" s="70"/>
    </row>
    <row r="336" customFormat="false" ht="12.75" hidden="false" customHeight="false" outlineLevel="0" collapsed="false">
      <c r="A336" s="322"/>
      <c r="B336" s="321"/>
      <c r="C336" s="321"/>
      <c r="D336" s="321"/>
      <c r="E336" s="321"/>
      <c r="F336" s="321"/>
      <c r="G336" s="321"/>
      <c r="H336" s="321"/>
      <c r="I336" s="321"/>
      <c r="J336" s="321"/>
      <c r="K336" s="321"/>
      <c r="L336" s="321"/>
      <c r="M336" s="321"/>
      <c r="N336" s="321"/>
      <c r="O336" s="321"/>
      <c r="P336" s="321"/>
      <c r="Q336" s="321"/>
      <c r="R336" s="321"/>
      <c r="S336" s="321"/>
      <c r="T336" s="321"/>
      <c r="U336" s="321"/>
      <c r="V336" s="321"/>
      <c r="W336" s="321"/>
      <c r="X336" s="321"/>
      <c r="Y336" s="321"/>
      <c r="Z336" s="321"/>
    </row>
    <row r="337" customFormat="false" ht="12.75" hidden="false" customHeight="false" outlineLevel="0" collapsed="false">
      <c r="A337" s="395"/>
      <c r="B337" s="395"/>
      <c r="C337" s="395"/>
      <c r="D337" s="395"/>
      <c r="E337" s="70"/>
      <c r="F337" s="70"/>
      <c r="G337" s="70"/>
      <c r="H337" s="70"/>
      <c r="I337" s="70"/>
      <c r="J337" s="70"/>
      <c r="K337" s="70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70"/>
      <c r="X337" s="70"/>
      <c r="Y337" s="70"/>
      <c r="Z337" s="70"/>
    </row>
    <row r="338" customFormat="false" ht="12.75" hidden="false" customHeight="false" outlineLevel="0" collapsed="false">
      <c r="A338" s="685"/>
      <c r="B338" s="395"/>
      <c r="C338" s="395"/>
      <c r="D338" s="395"/>
      <c r="E338" s="686"/>
      <c r="F338" s="686"/>
      <c r="G338" s="686"/>
      <c r="H338" s="686"/>
      <c r="I338" s="686"/>
      <c r="J338" s="686"/>
      <c r="K338" s="686"/>
      <c r="L338" s="686"/>
      <c r="M338" s="686"/>
      <c r="N338" s="686"/>
      <c r="O338" s="686"/>
      <c r="P338" s="686"/>
      <c r="Q338" s="686"/>
      <c r="R338" s="686"/>
      <c r="S338" s="686"/>
      <c r="T338" s="686"/>
      <c r="U338" s="686"/>
      <c r="V338" s="686"/>
      <c r="W338" s="686"/>
      <c r="X338" s="686"/>
      <c r="Y338" s="686"/>
      <c r="Z338" s="686"/>
    </row>
    <row r="339" customFormat="false" ht="12.75" hidden="false" customHeight="false" outlineLevel="0" collapsed="false">
      <c r="A339" s="685"/>
      <c r="B339" s="395"/>
      <c r="C339" s="395"/>
      <c r="D339" s="395"/>
      <c r="E339" s="686"/>
      <c r="F339" s="686"/>
      <c r="G339" s="686"/>
      <c r="H339" s="686"/>
      <c r="I339" s="686"/>
      <c r="J339" s="686"/>
      <c r="K339" s="686"/>
      <c r="L339" s="686"/>
      <c r="M339" s="686"/>
      <c r="N339" s="686"/>
      <c r="O339" s="686"/>
      <c r="P339" s="686"/>
      <c r="Q339" s="686"/>
      <c r="R339" s="686"/>
      <c r="S339" s="686"/>
      <c r="T339" s="686"/>
      <c r="U339" s="686"/>
      <c r="V339" s="686"/>
      <c r="W339" s="686"/>
      <c r="X339" s="686"/>
      <c r="Y339" s="686"/>
      <c r="Z339" s="686"/>
    </row>
    <row r="340" customFormat="false" ht="12.75" hidden="false" customHeight="false" outlineLevel="0" collapsed="false">
      <c r="A340" s="685"/>
      <c r="B340" s="685"/>
      <c r="C340" s="685"/>
      <c r="D340" s="685"/>
      <c r="E340" s="686"/>
      <c r="F340" s="686"/>
      <c r="G340" s="686"/>
      <c r="H340" s="686"/>
      <c r="I340" s="686"/>
      <c r="J340" s="686"/>
      <c r="K340" s="686"/>
      <c r="L340" s="686"/>
      <c r="M340" s="686"/>
      <c r="N340" s="686"/>
      <c r="O340" s="686"/>
      <c r="P340" s="686"/>
      <c r="Q340" s="686"/>
      <c r="R340" s="686"/>
      <c r="S340" s="686"/>
      <c r="T340" s="686"/>
      <c r="U340" s="686"/>
      <c r="V340" s="686"/>
      <c r="W340" s="686"/>
      <c r="X340" s="686"/>
      <c r="Y340" s="686"/>
      <c r="Z340" s="686"/>
    </row>
    <row r="341" customFormat="false" ht="12.75" hidden="false" customHeight="false" outlineLevel="0" collapsed="false">
      <c r="A341" s="685"/>
      <c r="B341" s="685"/>
      <c r="C341" s="685"/>
      <c r="D341" s="685"/>
      <c r="E341" s="686"/>
      <c r="F341" s="686"/>
      <c r="G341" s="686"/>
      <c r="H341" s="686"/>
      <c r="I341" s="686"/>
      <c r="J341" s="686"/>
      <c r="K341" s="686"/>
      <c r="L341" s="686"/>
      <c r="M341" s="686"/>
      <c r="N341" s="686"/>
      <c r="O341" s="686"/>
      <c r="P341" s="686"/>
      <c r="Q341" s="686"/>
      <c r="R341" s="686"/>
      <c r="S341" s="686"/>
      <c r="T341" s="686"/>
      <c r="U341" s="686"/>
      <c r="V341" s="686"/>
      <c r="W341" s="686"/>
      <c r="X341" s="686"/>
      <c r="Y341" s="686"/>
      <c r="Z341" s="686"/>
    </row>
    <row r="342" customFormat="false" ht="12.75" hidden="false" customHeight="false" outlineLevel="0" collapsed="false">
      <c r="A342" s="685"/>
      <c r="B342" s="322"/>
      <c r="C342" s="322"/>
      <c r="D342" s="322"/>
      <c r="E342" s="686"/>
      <c r="F342" s="686"/>
      <c r="G342" s="686"/>
      <c r="H342" s="686"/>
      <c r="I342" s="686"/>
      <c r="J342" s="686"/>
      <c r="K342" s="686"/>
      <c r="L342" s="686"/>
      <c r="M342" s="686"/>
      <c r="N342" s="686"/>
      <c r="O342" s="686"/>
      <c r="P342" s="686"/>
      <c r="Q342" s="686"/>
      <c r="R342" s="686"/>
      <c r="S342" s="686"/>
      <c r="T342" s="686"/>
      <c r="U342" s="686"/>
      <c r="V342" s="686"/>
      <c r="W342" s="686"/>
      <c r="X342" s="686"/>
      <c r="Y342" s="686"/>
      <c r="Z342" s="686"/>
    </row>
    <row r="343" customFormat="false" ht="12.75" hidden="false" customHeight="false" outlineLevel="0" collapsed="false">
      <c r="A343" s="70"/>
      <c r="B343" s="70"/>
      <c r="C343" s="70"/>
      <c r="D343" s="70"/>
      <c r="E343" s="686"/>
      <c r="F343" s="686"/>
      <c r="G343" s="686"/>
      <c r="H343" s="686"/>
      <c r="I343" s="686"/>
      <c r="J343" s="686"/>
      <c r="K343" s="686"/>
      <c r="L343" s="686"/>
      <c r="M343" s="686"/>
      <c r="N343" s="686"/>
      <c r="O343" s="686"/>
      <c r="P343" s="686"/>
      <c r="Q343" s="686"/>
      <c r="R343" s="686"/>
      <c r="S343" s="686"/>
      <c r="T343" s="686"/>
      <c r="U343" s="686"/>
      <c r="V343" s="686"/>
      <c r="W343" s="686"/>
      <c r="X343" s="686"/>
      <c r="Y343" s="686"/>
      <c r="Z343" s="686"/>
    </row>
    <row r="344" customFormat="false" ht="12.75" hidden="false" customHeight="false" outlineLevel="0" collapsed="false">
      <c r="A344" s="395"/>
      <c r="B344" s="395"/>
      <c r="C344" s="395"/>
      <c r="D344" s="395"/>
      <c r="E344" s="686"/>
      <c r="F344" s="686"/>
      <c r="G344" s="686"/>
      <c r="H344" s="686"/>
      <c r="I344" s="686"/>
      <c r="J344" s="686"/>
      <c r="K344" s="686"/>
      <c r="L344" s="686"/>
      <c r="M344" s="686"/>
      <c r="N344" s="686"/>
      <c r="O344" s="686"/>
      <c r="P344" s="686"/>
      <c r="Q344" s="686"/>
      <c r="R344" s="686"/>
      <c r="S344" s="686"/>
      <c r="T344" s="686"/>
      <c r="U344" s="686"/>
      <c r="V344" s="686"/>
      <c r="W344" s="686"/>
      <c r="X344" s="686"/>
      <c r="Y344" s="686"/>
      <c r="Z344" s="686"/>
    </row>
    <row r="345" customFormat="false" ht="12.75" hidden="false" customHeight="false" outlineLevel="0" collapsed="false">
      <c r="A345" s="685"/>
      <c r="B345" s="395"/>
      <c r="C345" s="395"/>
      <c r="D345" s="395"/>
      <c r="E345" s="686"/>
      <c r="F345" s="686"/>
      <c r="G345" s="686"/>
      <c r="H345" s="686"/>
      <c r="I345" s="686"/>
      <c r="J345" s="686"/>
      <c r="K345" s="686"/>
      <c r="L345" s="686"/>
      <c r="M345" s="686"/>
      <c r="N345" s="686"/>
      <c r="O345" s="686"/>
      <c r="P345" s="686"/>
      <c r="Q345" s="686"/>
      <c r="R345" s="686"/>
      <c r="S345" s="686"/>
      <c r="T345" s="686"/>
      <c r="U345" s="686"/>
      <c r="V345" s="686"/>
      <c r="W345" s="686"/>
      <c r="X345" s="686"/>
      <c r="Y345" s="686"/>
      <c r="Z345" s="686"/>
    </row>
    <row r="346" customFormat="false" ht="12.75" hidden="false" customHeight="false" outlineLevel="0" collapsed="false">
      <c r="A346" s="685"/>
      <c r="B346" s="395"/>
      <c r="C346" s="395"/>
      <c r="D346" s="395"/>
      <c r="E346" s="686"/>
      <c r="F346" s="686"/>
      <c r="G346" s="686"/>
      <c r="H346" s="686"/>
      <c r="I346" s="686"/>
      <c r="J346" s="686"/>
      <c r="K346" s="686"/>
      <c r="L346" s="686"/>
      <c r="M346" s="686"/>
      <c r="N346" s="686"/>
      <c r="O346" s="686"/>
      <c r="P346" s="686"/>
      <c r="Q346" s="686"/>
      <c r="R346" s="686"/>
      <c r="S346" s="686"/>
      <c r="T346" s="686"/>
      <c r="U346" s="686"/>
      <c r="V346" s="686"/>
      <c r="W346" s="686"/>
      <c r="X346" s="686"/>
      <c r="Y346" s="686"/>
      <c r="Z346" s="686"/>
    </row>
    <row r="347" customFormat="false" ht="12.75" hidden="false" customHeight="false" outlineLevel="0" collapsed="false">
      <c r="A347" s="685"/>
      <c r="B347" s="395"/>
      <c r="C347" s="395"/>
      <c r="D347" s="395"/>
      <c r="E347" s="686"/>
      <c r="F347" s="686"/>
      <c r="G347" s="686"/>
      <c r="H347" s="686"/>
      <c r="I347" s="686"/>
      <c r="J347" s="686"/>
      <c r="K347" s="686"/>
      <c r="L347" s="686"/>
      <c r="M347" s="686"/>
      <c r="N347" s="686"/>
      <c r="O347" s="686"/>
      <c r="P347" s="686"/>
      <c r="Q347" s="686"/>
      <c r="R347" s="686"/>
      <c r="S347" s="686"/>
      <c r="T347" s="686"/>
      <c r="U347" s="686"/>
      <c r="V347" s="686"/>
      <c r="W347" s="686"/>
      <c r="X347" s="686"/>
      <c r="Y347" s="686"/>
      <c r="Z347" s="686"/>
    </row>
    <row r="348" customFormat="false" ht="12.75" hidden="false" customHeight="false" outlineLevel="0" collapsed="false">
      <c r="A348" s="685"/>
      <c r="B348" s="395"/>
      <c r="C348" s="395"/>
      <c r="D348" s="395"/>
      <c r="E348" s="686"/>
      <c r="F348" s="686"/>
      <c r="G348" s="686"/>
      <c r="H348" s="686"/>
      <c r="I348" s="686"/>
      <c r="J348" s="686"/>
      <c r="K348" s="686"/>
      <c r="L348" s="686"/>
      <c r="M348" s="686"/>
      <c r="N348" s="686"/>
      <c r="O348" s="686"/>
      <c r="P348" s="686"/>
      <c r="Q348" s="686"/>
      <c r="R348" s="686"/>
      <c r="S348" s="686"/>
      <c r="T348" s="686"/>
      <c r="U348" s="686"/>
      <c r="V348" s="686"/>
      <c r="W348" s="686"/>
      <c r="X348" s="686"/>
      <c r="Y348" s="686"/>
      <c r="Z348" s="686"/>
    </row>
    <row r="349" customFormat="false" ht="12.75" hidden="false" customHeight="false" outlineLevel="0" collapsed="false">
      <c r="A349" s="685"/>
      <c r="B349" s="395"/>
      <c r="C349" s="395"/>
      <c r="D349" s="395"/>
      <c r="E349" s="686"/>
      <c r="F349" s="686"/>
      <c r="G349" s="686"/>
      <c r="H349" s="686"/>
      <c r="I349" s="686"/>
      <c r="J349" s="686"/>
      <c r="K349" s="686"/>
      <c r="L349" s="686"/>
      <c r="M349" s="686"/>
      <c r="N349" s="686"/>
      <c r="O349" s="686"/>
      <c r="P349" s="686"/>
      <c r="Q349" s="686"/>
      <c r="R349" s="686"/>
      <c r="S349" s="686"/>
      <c r="T349" s="686"/>
      <c r="U349" s="686"/>
      <c r="V349" s="686"/>
      <c r="W349" s="686"/>
      <c r="X349" s="686"/>
      <c r="Y349" s="686"/>
      <c r="Z349" s="686"/>
    </row>
    <row r="350" customFormat="false" ht="12.75" hidden="false" customHeight="false" outlineLevel="0" collapsed="false">
      <c r="A350" s="685"/>
      <c r="B350" s="395"/>
      <c r="C350" s="395"/>
      <c r="D350" s="395"/>
      <c r="E350" s="686"/>
      <c r="F350" s="686"/>
      <c r="G350" s="686"/>
      <c r="H350" s="686"/>
      <c r="I350" s="686"/>
      <c r="J350" s="686"/>
      <c r="K350" s="686"/>
      <c r="L350" s="686"/>
      <c r="M350" s="686"/>
      <c r="N350" s="686"/>
      <c r="O350" s="686"/>
      <c r="P350" s="686"/>
      <c r="Q350" s="686"/>
      <c r="R350" s="686"/>
      <c r="S350" s="686"/>
      <c r="T350" s="686"/>
      <c r="U350" s="686"/>
      <c r="V350" s="686"/>
      <c r="W350" s="686"/>
      <c r="X350" s="686"/>
      <c r="Y350" s="686"/>
      <c r="Z350" s="686"/>
    </row>
    <row r="351" customFormat="false" ht="12.75" hidden="false" customHeight="false" outlineLevel="0" collapsed="false">
      <c r="A351" s="685"/>
      <c r="B351" s="395"/>
      <c r="C351" s="395"/>
      <c r="D351" s="395"/>
      <c r="E351" s="686"/>
      <c r="F351" s="686"/>
      <c r="G351" s="686"/>
      <c r="H351" s="686"/>
      <c r="I351" s="686"/>
      <c r="J351" s="686"/>
      <c r="K351" s="686"/>
      <c r="L351" s="686"/>
      <c r="M351" s="686"/>
      <c r="N351" s="686"/>
      <c r="O351" s="686"/>
      <c r="P351" s="686"/>
      <c r="Q351" s="686"/>
      <c r="R351" s="686"/>
      <c r="S351" s="686"/>
      <c r="T351" s="686"/>
      <c r="U351" s="686"/>
      <c r="V351" s="686"/>
      <c r="W351" s="686"/>
      <c r="X351" s="686"/>
      <c r="Y351" s="686"/>
      <c r="Z351" s="686"/>
    </row>
    <row r="352" customFormat="false" ht="12.75" hidden="false" customHeight="false" outlineLevel="0" collapsed="false">
      <c r="A352" s="685"/>
      <c r="B352" s="395"/>
      <c r="C352" s="395"/>
      <c r="D352" s="395"/>
      <c r="E352" s="686"/>
      <c r="F352" s="686"/>
      <c r="G352" s="686"/>
      <c r="H352" s="686"/>
      <c r="I352" s="686"/>
      <c r="J352" s="686"/>
      <c r="K352" s="686"/>
      <c r="L352" s="686"/>
      <c r="M352" s="686"/>
      <c r="N352" s="686"/>
      <c r="O352" s="686"/>
      <c r="P352" s="686"/>
      <c r="Q352" s="686"/>
      <c r="R352" s="686"/>
      <c r="S352" s="686"/>
      <c r="T352" s="686"/>
      <c r="U352" s="686"/>
      <c r="V352" s="686"/>
      <c r="W352" s="686"/>
      <c r="X352" s="686"/>
      <c r="Y352" s="686"/>
      <c r="Z352" s="686"/>
    </row>
    <row r="353" customFormat="false" ht="12.75" hidden="false" customHeight="false" outlineLevel="0" collapsed="false">
      <c r="A353" s="685"/>
      <c r="B353" s="395"/>
      <c r="C353" s="395"/>
      <c r="D353" s="395"/>
      <c r="E353" s="686"/>
      <c r="F353" s="686"/>
      <c r="G353" s="686"/>
      <c r="H353" s="686"/>
      <c r="I353" s="686"/>
      <c r="J353" s="686"/>
      <c r="K353" s="686"/>
      <c r="L353" s="686"/>
      <c r="M353" s="686"/>
      <c r="N353" s="686"/>
      <c r="O353" s="686"/>
      <c r="P353" s="686"/>
      <c r="Q353" s="686"/>
      <c r="R353" s="686"/>
      <c r="S353" s="686"/>
      <c r="T353" s="686"/>
      <c r="U353" s="686"/>
      <c r="V353" s="686"/>
      <c r="W353" s="686"/>
      <c r="X353" s="686"/>
      <c r="Y353" s="686"/>
      <c r="Z353" s="686"/>
    </row>
    <row r="354" customFormat="false" ht="12.75" hidden="false" customHeight="false" outlineLevel="0" collapsed="false">
      <c r="A354" s="685"/>
      <c r="B354" s="685"/>
      <c r="C354" s="685"/>
      <c r="D354" s="685"/>
      <c r="E354" s="686"/>
      <c r="F354" s="686"/>
      <c r="G354" s="686"/>
      <c r="H354" s="686"/>
      <c r="I354" s="686"/>
      <c r="J354" s="686"/>
      <c r="K354" s="686"/>
      <c r="L354" s="686"/>
      <c r="M354" s="686"/>
      <c r="N354" s="686"/>
      <c r="O354" s="686"/>
      <c r="P354" s="686"/>
      <c r="Q354" s="686"/>
      <c r="R354" s="686"/>
      <c r="S354" s="686"/>
      <c r="T354" s="686"/>
      <c r="U354" s="686"/>
      <c r="V354" s="686"/>
      <c r="W354" s="686"/>
      <c r="X354" s="686"/>
      <c r="Y354" s="686"/>
      <c r="Z354" s="686"/>
    </row>
    <row r="355" customFormat="false" ht="12.75" hidden="false" customHeight="false" outlineLevel="0" collapsed="false">
      <c r="A355" s="685"/>
      <c r="B355" s="685"/>
      <c r="C355" s="685"/>
      <c r="D355" s="685"/>
      <c r="E355" s="686"/>
      <c r="F355" s="686"/>
      <c r="G355" s="686"/>
      <c r="H355" s="686"/>
      <c r="I355" s="686"/>
      <c r="J355" s="686"/>
      <c r="K355" s="686"/>
      <c r="L355" s="686"/>
      <c r="M355" s="686"/>
      <c r="N355" s="686"/>
      <c r="O355" s="686"/>
      <c r="P355" s="686"/>
      <c r="Q355" s="686"/>
      <c r="R355" s="686"/>
      <c r="S355" s="686"/>
      <c r="T355" s="686"/>
      <c r="U355" s="686"/>
      <c r="V355" s="686"/>
      <c r="W355" s="686"/>
      <c r="X355" s="686"/>
      <c r="Y355" s="686"/>
      <c r="Z355" s="686"/>
    </row>
    <row r="356" customFormat="false" ht="12.75" hidden="false" customHeight="false" outlineLevel="0" collapsed="false">
      <c r="A356" s="395"/>
      <c r="B356" s="395"/>
      <c r="C356" s="395"/>
      <c r="D356" s="395"/>
      <c r="E356" s="686"/>
      <c r="F356" s="686"/>
      <c r="G356" s="686"/>
      <c r="H356" s="686"/>
      <c r="I356" s="686"/>
      <c r="J356" s="686"/>
      <c r="K356" s="686"/>
      <c r="L356" s="686"/>
      <c r="M356" s="686"/>
      <c r="N356" s="686"/>
      <c r="O356" s="686"/>
      <c r="P356" s="686"/>
      <c r="Q356" s="686"/>
      <c r="R356" s="686"/>
      <c r="S356" s="686"/>
      <c r="T356" s="686"/>
      <c r="U356" s="686"/>
      <c r="V356" s="686"/>
      <c r="W356" s="686"/>
      <c r="X356" s="686"/>
      <c r="Y356" s="686"/>
      <c r="Z356" s="686"/>
    </row>
    <row r="357" customFormat="false" ht="12.75" hidden="false" customHeight="false" outlineLevel="0" collapsed="false">
      <c r="A357" s="685"/>
      <c r="B357" s="685"/>
      <c r="C357" s="685"/>
      <c r="D357" s="685"/>
      <c r="E357" s="686"/>
      <c r="F357" s="686"/>
      <c r="G357" s="686"/>
      <c r="H357" s="686"/>
      <c r="I357" s="686"/>
      <c r="J357" s="686"/>
      <c r="K357" s="686"/>
      <c r="L357" s="686"/>
      <c r="M357" s="686"/>
      <c r="N357" s="686"/>
      <c r="O357" s="686"/>
      <c r="P357" s="686"/>
      <c r="Q357" s="686"/>
      <c r="R357" s="686"/>
      <c r="S357" s="686"/>
      <c r="T357" s="686"/>
      <c r="U357" s="686"/>
      <c r="V357" s="686"/>
      <c r="W357" s="686"/>
      <c r="X357" s="686"/>
      <c r="Y357" s="686"/>
      <c r="Z357" s="686"/>
    </row>
    <row r="358" customFormat="false" ht="12.75" hidden="false" customHeight="false" outlineLevel="0" collapsed="false">
      <c r="A358" s="395"/>
      <c r="B358" s="395"/>
      <c r="C358" s="395"/>
      <c r="D358" s="395"/>
      <c r="E358" s="686"/>
      <c r="F358" s="686"/>
      <c r="G358" s="686"/>
      <c r="H358" s="686"/>
      <c r="I358" s="686"/>
      <c r="J358" s="686"/>
      <c r="K358" s="686"/>
      <c r="L358" s="686"/>
      <c r="M358" s="686"/>
      <c r="N358" s="686"/>
      <c r="O358" s="686"/>
      <c r="P358" s="686"/>
      <c r="Q358" s="686"/>
      <c r="R358" s="686"/>
      <c r="S358" s="686"/>
      <c r="T358" s="686"/>
      <c r="U358" s="686"/>
      <c r="V358" s="686"/>
      <c r="W358" s="686"/>
      <c r="X358" s="686"/>
      <c r="Y358" s="686"/>
      <c r="Z358" s="686"/>
    </row>
    <row r="359" customFormat="false" ht="12.75" hidden="false" customHeight="false" outlineLevel="0" collapsed="false">
      <c r="A359" s="685"/>
      <c r="B359" s="687"/>
      <c r="C359" s="687"/>
      <c r="D359" s="687"/>
      <c r="E359" s="686"/>
      <c r="F359" s="686"/>
      <c r="G359" s="686"/>
      <c r="H359" s="686"/>
      <c r="I359" s="686"/>
      <c r="J359" s="686"/>
      <c r="K359" s="686"/>
      <c r="L359" s="686"/>
      <c r="M359" s="686"/>
      <c r="N359" s="686"/>
      <c r="O359" s="686"/>
      <c r="P359" s="686"/>
      <c r="Q359" s="686"/>
      <c r="R359" s="686"/>
      <c r="S359" s="686"/>
      <c r="T359" s="686"/>
      <c r="U359" s="686"/>
      <c r="V359" s="686"/>
      <c r="W359" s="686"/>
      <c r="X359" s="686"/>
      <c r="Y359" s="686"/>
      <c r="Z359" s="686"/>
    </row>
    <row r="360" customFormat="false" ht="12.75" hidden="false" customHeight="false" outlineLevel="0" collapsed="false">
      <c r="A360" s="395"/>
      <c r="B360" s="395"/>
      <c r="C360" s="395"/>
      <c r="D360" s="395"/>
      <c r="E360" s="686"/>
      <c r="F360" s="686"/>
      <c r="G360" s="686"/>
      <c r="H360" s="686"/>
      <c r="I360" s="686"/>
      <c r="J360" s="686"/>
      <c r="K360" s="686"/>
      <c r="L360" s="686"/>
      <c r="M360" s="686"/>
      <c r="N360" s="686"/>
      <c r="O360" s="686"/>
      <c r="P360" s="686"/>
      <c r="Q360" s="686"/>
      <c r="R360" s="686"/>
      <c r="S360" s="686"/>
      <c r="T360" s="686"/>
      <c r="U360" s="686"/>
      <c r="V360" s="686"/>
      <c r="W360" s="686"/>
      <c r="X360" s="686"/>
      <c r="Y360" s="686"/>
      <c r="Z360" s="686"/>
    </row>
    <row r="361" customFormat="false" ht="12.75" hidden="false" customHeight="false" outlineLevel="0" collapsed="false">
      <c r="A361" s="70"/>
      <c r="B361" s="70"/>
      <c r="C361" s="70"/>
      <c r="D361" s="70"/>
      <c r="E361" s="686"/>
      <c r="F361" s="686"/>
      <c r="G361" s="686"/>
      <c r="H361" s="686"/>
      <c r="I361" s="686"/>
      <c r="J361" s="686"/>
      <c r="K361" s="686"/>
      <c r="L361" s="686"/>
      <c r="M361" s="686"/>
      <c r="N361" s="686"/>
      <c r="O361" s="686"/>
      <c r="P361" s="686"/>
      <c r="Q361" s="686"/>
      <c r="R361" s="686"/>
      <c r="S361" s="686"/>
      <c r="T361" s="686"/>
      <c r="U361" s="686"/>
      <c r="V361" s="686"/>
      <c r="W361" s="686"/>
      <c r="X361" s="686"/>
      <c r="Y361" s="686"/>
      <c r="Z361" s="686"/>
    </row>
    <row r="362" customFormat="false" ht="12.75" hidden="false" customHeight="false" outlineLevel="0" collapsed="false">
      <c r="A362" s="395"/>
      <c r="B362" s="395"/>
      <c r="C362" s="395"/>
      <c r="D362" s="395"/>
      <c r="E362" s="686"/>
      <c r="F362" s="686"/>
      <c r="G362" s="686"/>
      <c r="H362" s="686"/>
      <c r="I362" s="686"/>
      <c r="J362" s="686"/>
      <c r="K362" s="686"/>
      <c r="L362" s="686"/>
      <c r="M362" s="686"/>
      <c r="N362" s="686"/>
      <c r="O362" s="686"/>
      <c r="P362" s="686"/>
      <c r="Q362" s="686"/>
      <c r="R362" s="686"/>
      <c r="S362" s="686"/>
      <c r="T362" s="686"/>
      <c r="U362" s="686"/>
      <c r="V362" s="686"/>
      <c r="W362" s="686"/>
      <c r="X362" s="686"/>
      <c r="Y362" s="686"/>
      <c r="Z362" s="686"/>
    </row>
    <row r="363" customFormat="false" ht="12.75" hidden="false" customHeight="false" outlineLevel="0" collapsed="false">
      <c r="A363" s="685"/>
      <c r="B363" s="685"/>
      <c r="C363" s="685"/>
      <c r="D363" s="685"/>
      <c r="E363" s="686"/>
      <c r="F363" s="686"/>
      <c r="G363" s="686"/>
      <c r="H363" s="686"/>
      <c r="I363" s="686"/>
      <c r="J363" s="686"/>
      <c r="K363" s="686"/>
      <c r="L363" s="686"/>
      <c r="M363" s="686"/>
      <c r="N363" s="686"/>
      <c r="O363" s="686"/>
      <c r="P363" s="686"/>
      <c r="Q363" s="686"/>
      <c r="R363" s="686"/>
      <c r="S363" s="686"/>
      <c r="T363" s="686"/>
      <c r="U363" s="686"/>
      <c r="V363" s="686"/>
      <c r="W363" s="686"/>
      <c r="X363" s="686"/>
      <c r="Y363" s="686"/>
      <c r="Z363" s="686"/>
    </row>
    <row r="364" customFormat="false" ht="12.75" hidden="false" customHeight="false" outlineLevel="0" collapsed="false">
      <c r="A364" s="685"/>
      <c r="B364" s="685"/>
      <c r="C364" s="685"/>
      <c r="D364" s="685"/>
      <c r="E364" s="686"/>
      <c r="F364" s="686"/>
      <c r="G364" s="686"/>
      <c r="H364" s="686"/>
      <c r="I364" s="686"/>
      <c r="J364" s="686"/>
      <c r="K364" s="686"/>
      <c r="L364" s="686"/>
      <c r="M364" s="686"/>
      <c r="N364" s="686"/>
      <c r="O364" s="686"/>
      <c r="P364" s="686"/>
      <c r="Q364" s="686"/>
      <c r="R364" s="686"/>
      <c r="S364" s="686"/>
      <c r="T364" s="686"/>
      <c r="U364" s="686"/>
      <c r="V364" s="686"/>
      <c r="W364" s="686"/>
      <c r="X364" s="686"/>
      <c r="Y364" s="686"/>
      <c r="Z364" s="686"/>
    </row>
    <row r="365" customFormat="false" ht="12.75" hidden="false" customHeight="false" outlineLevel="0" collapsed="false">
      <c r="A365" s="685"/>
      <c r="B365" s="685"/>
      <c r="C365" s="685"/>
      <c r="D365" s="685"/>
      <c r="E365" s="686"/>
      <c r="F365" s="686"/>
      <c r="G365" s="686"/>
      <c r="H365" s="686"/>
      <c r="I365" s="686"/>
      <c r="J365" s="686"/>
      <c r="K365" s="686"/>
      <c r="L365" s="686"/>
      <c r="M365" s="686"/>
      <c r="N365" s="686"/>
      <c r="O365" s="686"/>
      <c r="P365" s="686"/>
      <c r="Q365" s="686"/>
      <c r="R365" s="686"/>
      <c r="S365" s="686"/>
      <c r="T365" s="686"/>
      <c r="U365" s="686"/>
      <c r="V365" s="686"/>
      <c r="W365" s="686"/>
      <c r="X365" s="686"/>
      <c r="Y365" s="686"/>
      <c r="Z365" s="686"/>
    </row>
    <row r="366" customFormat="false" ht="12.75" hidden="false" customHeight="false" outlineLevel="0" collapsed="false">
      <c r="A366" s="685"/>
      <c r="B366" s="70"/>
      <c r="C366" s="70"/>
      <c r="D366" s="70"/>
      <c r="E366" s="686"/>
      <c r="F366" s="686"/>
      <c r="G366" s="686"/>
      <c r="H366" s="686"/>
      <c r="I366" s="686"/>
      <c r="J366" s="686"/>
      <c r="K366" s="686"/>
      <c r="L366" s="686"/>
      <c r="M366" s="686"/>
      <c r="N366" s="686"/>
      <c r="O366" s="686"/>
      <c r="P366" s="686"/>
      <c r="Q366" s="686"/>
      <c r="R366" s="686"/>
      <c r="S366" s="686"/>
      <c r="T366" s="686"/>
      <c r="U366" s="686"/>
      <c r="V366" s="686"/>
      <c r="W366" s="686"/>
      <c r="X366" s="686"/>
      <c r="Y366" s="686"/>
      <c r="Z366" s="686"/>
    </row>
    <row r="367" customFormat="false" ht="12.75" hidden="false" customHeight="false" outlineLevel="0" collapsed="false">
      <c r="A367" s="395"/>
      <c r="B367" s="395"/>
      <c r="C367" s="395"/>
      <c r="D367" s="395"/>
      <c r="E367" s="686"/>
      <c r="F367" s="686"/>
      <c r="G367" s="686"/>
      <c r="H367" s="686"/>
      <c r="I367" s="686"/>
      <c r="J367" s="686"/>
      <c r="K367" s="686"/>
      <c r="L367" s="686"/>
      <c r="M367" s="686"/>
      <c r="N367" s="686"/>
      <c r="O367" s="686"/>
      <c r="P367" s="686"/>
      <c r="Q367" s="686"/>
      <c r="R367" s="686"/>
      <c r="S367" s="686"/>
      <c r="T367" s="686"/>
      <c r="U367" s="686"/>
      <c r="V367" s="686"/>
      <c r="W367" s="686"/>
      <c r="X367" s="686"/>
      <c r="Y367" s="686"/>
      <c r="Z367" s="686"/>
    </row>
    <row r="368" customFormat="false" ht="12.75" hidden="false" customHeight="false" outlineLevel="0" collapsed="false">
      <c r="A368" s="395"/>
      <c r="B368" s="395"/>
      <c r="C368" s="395"/>
      <c r="D368" s="395"/>
      <c r="E368" s="686"/>
      <c r="F368" s="686"/>
      <c r="G368" s="686"/>
      <c r="H368" s="686"/>
      <c r="I368" s="686"/>
      <c r="J368" s="686"/>
      <c r="K368" s="686"/>
      <c r="L368" s="686"/>
      <c r="M368" s="686"/>
      <c r="N368" s="686"/>
      <c r="O368" s="686"/>
      <c r="P368" s="686"/>
      <c r="Q368" s="686"/>
      <c r="R368" s="686"/>
      <c r="S368" s="686"/>
      <c r="T368" s="686"/>
      <c r="U368" s="686"/>
      <c r="V368" s="686"/>
      <c r="W368" s="686"/>
      <c r="X368" s="686"/>
      <c r="Y368" s="686"/>
      <c r="Z368" s="686"/>
    </row>
    <row r="369" customFormat="false" ht="12.75" hidden="false" customHeight="false" outlineLevel="0" collapsed="false">
      <c r="A369" s="685"/>
      <c r="B369" s="395"/>
      <c r="C369" s="395"/>
      <c r="D369" s="395"/>
      <c r="E369" s="686"/>
      <c r="F369" s="686"/>
      <c r="G369" s="686"/>
      <c r="H369" s="686"/>
      <c r="I369" s="686"/>
      <c r="J369" s="686"/>
      <c r="K369" s="686"/>
      <c r="L369" s="686"/>
      <c r="M369" s="686"/>
      <c r="N369" s="686"/>
      <c r="O369" s="686"/>
      <c r="P369" s="686"/>
      <c r="Q369" s="686"/>
      <c r="R369" s="686"/>
      <c r="S369" s="686"/>
      <c r="T369" s="686"/>
      <c r="U369" s="686"/>
      <c r="V369" s="686"/>
      <c r="W369" s="686"/>
      <c r="X369" s="686"/>
      <c r="Y369" s="686"/>
      <c r="Z369" s="686"/>
    </row>
    <row r="370" customFormat="false" ht="12.75" hidden="false" customHeight="false" outlineLevel="0" collapsed="false">
      <c r="A370" s="685"/>
      <c r="B370" s="395"/>
      <c r="C370" s="395"/>
      <c r="D370" s="395"/>
      <c r="E370" s="686"/>
      <c r="F370" s="686"/>
      <c r="G370" s="686"/>
      <c r="H370" s="686"/>
      <c r="I370" s="686"/>
      <c r="J370" s="686"/>
      <c r="K370" s="686"/>
      <c r="L370" s="686"/>
      <c r="M370" s="686"/>
      <c r="N370" s="686"/>
      <c r="O370" s="686"/>
      <c r="P370" s="686"/>
      <c r="Q370" s="686"/>
      <c r="R370" s="686"/>
      <c r="S370" s="686"/>
      <c r="T370" s="686"/>
      <c r="U370" s="686"/>
      <c r="V370" s="686"/>
      <c r="W370" s="686"/>
      <c r="X370" s="686"/>
      <c r="Y370" s="686"/>
      <c r="Z370" s="686"/>
    </row>
    <row r="371" customFormat="false" ht="12.75" hidden="false" customHeight="false" outlineLevel="0" collapsed="false">
      <c r="A371" s="685"/>
      <c r="B371" s="395"/>
      <c r="C371" s="395"/>
      <c r="D371" s="395"/>
      <c r="E371" s="686"/>
      <c r="F371" s="686"/>
      <c r="G371" s="686"/>
      <c r="H371" s="686"/>
      <c r="I371" s="686"/>
      <c r="J371" s="686"/>
      <c r="K371" s="686"/>
      <c r="L371" s="686"/>
      <c r="M371" s="686"/>
      <c r="N371" s="686"/>
      <c r="O371" s="686"/>
      <c r="P371" s="686"/>
      <c r="Q371" s="686"/>
      <c r="R371" s="686"/>
      <c r="S371" s="686"/>
      <c r="T371" s="686"/>
      <c r="U371" s="686"/>
      <c r="V371" s="686"/>
      <c r="W371" s="686"/>
      <c r="X371" s="686"/>
      <c r="Y371" s="686"/>
      <c r="Z371" s="686"/>
    </row>
    <row r="372" customFormat="false" ht="12.75" hidden="false" customHeight="false" outlineLevel="0" collapsed="false">
      <c r="A372" s="685"/>
      <c r="B372" s="395"/>
      <c r="C372" s="395"/>
      <c r="D372" s="395"/>
      <c r="E372" s="686"/>
      <c r="F372" s="686"/>
      <c r="G372" s="686"/>
      <c r="H372" s="686"/>
      <c r="I372" s="686"/>
      <c r="J372" s="686"/>
      <c r="K372" s="686"/>
      <c r="L372" s="686"/>
      <c r="M372" s="686"/>
      <c r="N372" s="686"/>
      <c r="O372" s="686"/>
      <c r="P372" s="686"/>
      <c r="Q372" s="686"/>
      <c r="R372" s="686"/>
      <c r="S372" s="686"/>
      <c r="T372" s="686"/>
      <c r="U372" s="686"/>
      <c r="V372" s="686"/>
      <c r="W372" s="686"/>
      <c r="X372" s="686"/>
      <c r="Y372" s="686"/>
      <c r="Z372" s="686"/>
    </row>
    <row r="373" customFormat="false" ht="12.75" hidden="false" customHeight="false" outlineLevel="0" collapsed="false">
      <c r="A373" s="685"/>
      <c r="B373" s="395"/>
      <c r="C373" s="395"/>
      <c r="D373" s="395"/>
      <c r="E373" s="686"/>
      <c r="F373" s="686"/>
      <c r="G373" s="686"/>
      <c r="H373" s="686"/>
      <c r="I373" s="686"/>
      <c r="J373" s="686"/>
      <c r="K373" s="686"/>
      <c r="L373" s="686"/>
      <c r="M373" s="686"/>
      <c r="N373" s="686"/>
      <c r="O373" s="686"/>
      <c r="P373" s="686"/>
      <c r="Q373" s="686"/>
      <c r="R373" s="686"/>
      <c r="S373" s="686"/>
      <c r="T373" s="686"/>
      <c r="U373" s="686"/>
      <c r="V373" s="686"/>
      <c r="W373" s="686"/>
      <c r="X373" s="686"/>
      <c r="Y373" s="686"/>
      <c r="Z373" s="686"/>
    </row>
    <row r="374" customFormat="false" ht="12.75" hidden="false" customHeight="false" outlineLevel="0" collapsed="false">
      <c r="A374" s="322"/>
      <c r="B374" s="687"/>
      <c r="C374" s="687"/>
      <c r="D374" s="687"/>
      <c r="E374" s="686"/>
      <c r="F374" s="686"/>
      <c r="G374" s="686"/>
      <c r="H374" s="686"/>
      <c r="I374" s="686"/>
      <c r="J374" s="686"/>
      <c r="K374" s="686"/>
      <c r="L374" s="686"/>
      <c r="M374" s="686"/>
      <c r="N374" s="686"/>
      <c r="O374" s="686"/>
      <c r="P374" s="686"/>
      <c r="Q374" s="686"/>
      <c r="R374" s="686"/>
      <c r="S374" s="686"/>
      <c r="T374" s="686"/>
      <c r="U374" s="686"/>
      <c r="V374" s="686"/>
      <c r="W374" s="686"/>
      <c r="X374" s="686"/>
      <c r="Y374" s="686"/>
      <c r="Z374" s="686"/>
    </row>
    <row r="375" customFormat="false" ht="12.75" hidden="false" customHeight="false" outlineLevel="0" collapsed="false">
      <c r="A375" s="395"/>
      <c r="B375" s="395"/>
      <c r="C375" s="395"/>
      <c r="D375" s="395"/>
      <c r="E375" s="686"/>
      <c r="F375" s="686"/>
      <c r="G375" s="686"/>
      <c r="H375" s="686"/>
      <c r="I375" s="686"/>
      <c r="J375" s="686"/>
      <c r="K375" s="686"/>
      <c r="L375" s="686"/>
      <c r="M375" s="686"/>
      <c r="N375" s="686"/>
      <c r="O375" s="686"/>
      <c r="P375" s="686"/>
      <c r="Q375" s="686"/>
      <c r="R375" s="686"/>
      <c r="S375" s="686"/>
      <c r="T375" s="686"/>
      <c r="U375" s="686"/>
      <c r="V375" s="686"/>
      <c r="W375" s="686"/>
      <c r="X375" s="686"/>
      <c r="Y375" s="686"/>
      <c r="Z375" s="686"/>
    </row>
    <row r="376" customFormat="false" ht="12.75" hidden="false" customHeight="false" outlineLevel="0" collapsed="false">
      <c r="A376" s="70"/>
      <c r="B376" s="70"/>
      <c r="C376" s="70"/>
      <c r="D376" s="70"/>
      <c r="E376" s="686"/>
      <c r="F376" s="686"/>
      <c r="G376" s="686"/>
      <c r="H376" s="686"/>
      <c r="I376" s="686"/>
      <c r="J376" s="686"/>
      <c r="K376" s="686"/>
      <c r="L376" s="686"/>
      <c r="M376" s="686"/>
      <c r="N376" s="686"/>
      <c r="O376" s="686"/>
      <c r="P376" s="686"/>
      <c r="Q376" s="686"/>
      <c r="R376" s="686"/>
      <c r="S376" s="686"/>
      <c r="T376" s="686"/>
      <c r="U376" s="686"/>
      <c r="V376" s="686"/>
      <c r="W376" s="686"/>
      <c r="X376" s="686"/>
      <c r="Y376" s="686"/>
      <c r="Z376" s="686"/>
    </row>
    <row r="377" customFormat="false" ht="12.75" hidden="false" customHeight="false" outlineLevel="0" collapsed="false">
      <c r="A377" s="395"/>
      <c r="B377" s="684"/>
      <c r="C377" s="684"/>
      <c r="D377" s="684"/>
      <c r="E377" s="686"/>
      <c r="F377" s="686"/>
      <c r="G377" s="686"/>
      <c r="H377" s="686"/>
      <c r="I377" s="686"/>
      <c r="J377" s="686"/>
      <c r="K377" s="686"/>
      <c r="L377" s="686"/>
      <c r="M377" s="686"/>
      <c r="N377" s="686"/>
      <c r="O377" s="686"/>
      <c r="P377" s="686"/>
      <c r="Q377" s="686"/>
      <c r="R377" s="686"/>
      <c r="S377" s="686"/>
      <c r="T377" s="686"/>
      <c r="U377" s="686"/>
      <c r="V377" s="686"/>
      <c r="W377" s="686"/>
      <c r="X377" s="686"/>
      <c r="Y377" s="686"/>
      <c r="Z377" s="686"/>
    </row>
    <row r="378" customFormat="false" ht="12.75" hidden="false" customHeight="false" outlineLevel="0" collapsed="false">
      <c r="A378" s="395"/>
      <c r="B378" s="684"/>
      <c r="C378" s="684"/>
      <c r="D378" s="684"/>
      <c r="E378" s="686"/>
      <c r="F378" s="686"/>
      <c r="G378" s="686"/>
      <c r="H378" s="686"/>
      <c r="I378" s="686"/>
      <c r="J378" s="686"/>
      <c r="K378" s="686"/>
      <c r="L378" s="686"/>
      <c r="M378" s="686"/>
      <c r="N378" s="686"/>
      <c r="O378" s="686"/>
      <c r="P378" s="686"/>
      <c r="Q378" s="686"/>
      <c r="R378" s="686"/>
      <c r="S378" s="686"/>
      <c r="T378" s="686"/>
      <c r="U378" s="686"/>
      <c r="V378" s="686"/>
      <c r="W378" s="686"/>
      <c r="X378" s="686"/>
      <c r="Y378" s="686"/>
      <c r="Z378" s="686"/>
    </row>
    <row r="379" customFormat="false" ht="12.75" hidden="false" customHeight="false" outlineLevel="0" collapsed="false">
      <c r="A379" s="395"/>
      <c r="B379" s="684"/>
      <c r="C379" s="684"/>
      <c r="D379" s="684"/>
      <c r="E379" s="686"/>
      <c r="F379" s="686"/>
      <c r="G379" s="686"/>
      <c r="H379" s="686"/>
      <c r="I379" s="686"/>
      <c r="J379" s="686"/>
      <c r="K379" s="686"/>
      <c r="L379" s="686"/>
      <c r="M379" s="686"/>
      <c r="N379" s="686"/>
      <c r="O379" s="686"/>
      <c r="P379" s="686"/>
      <c r="Q379" s="686"/>
      <c r="R379" s="686"/>
      <c r="S379" s="686"/>
      <c r="T379" s="686"/>
      <c r="U379" s="686"/>
      <c r="V379" s="686"/>
      <c r="W379" s="686"/>
      <c r="X379" s="686"/>
      <c r="Y379" s="686"/>
      <c r="Z379" s="686"/>
    </row>
    <row r="380" customFormat="false" ht="12.75" hidden="false" customHeight="false" outlineLevel="0" collapsed="false">
      <c r="A380" s="70"/>
      <c r="B380" s="70"/>
      <c r="C380" s="70"/>
      <c r="D380" s="70"/>
      <c r="E380" s="70"/>
      <c r="F380" s="70"/>
      <c r="G380" s="70"/>
      <c r="H380" s="70"/>
      <c r="I380" s="70"/>
      <c r="J380" s="70"/>
      <c r="K380" s="70"/>
      <c r="L380" s="70"/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70"/>
      <c r="X380" s="70"/>
      <c r="Y380" s="70"/>
      <c r="Z380" s="70"/>
    </row>
    <row r="381" customFormat="false" ht="12.75" hidden="false" customHeight="false" outlineLevel="0" collapsed="false">
      <c r="A381" s="70"/>
      <c r="B381" s="70"/>
      <c r="C381" s="70"/>
      <c r="D381" s="70"/>
      <c r="E381" s="70"/>
      <c r="F381" s="70"/>
      <c r="G381" s="70"/>
      <c r="H381" s="70"/>
      <c r="I381" s="70"/>
      <c r="J381" s="70"/>
      <c r="K381" s="70"/>
      <c r="L381" s="70"/>
      <c r="M381" s="70"/>
      <c r="N381" s="70"/>
      <c r="O381" s="70"/>
      <c r="P381" s="70"/>
      <c r="Q381" s="70"/>
      <c r="R381" s="70"/>
      <c r="S381" s="70"/>
      <c r="T381" s="70"/>
      <c r="U381" s="70"/>
      <c r="V381" s="70"/>
      <c r="W381" s="70"/>
      <c r="X381" s="70"/>
      <c r="Y381" s="70"/>
      <c r="Z381" s="70"/>
    </row>
    <row r="382" customFormat="false" ht="18.75" hidden="false" customHeight="false" outlineLevel="0" collapsed="false">
      <c r="A382" s="683"/>
      <c r="B382" s="683"/>
      <c r="C382" s="683"/>
      <c r="D382" s="683"/>
      <c r="E382" s="70"/>
      <c r="F382" s="70"/>
      <c r="G382" s="70"/>
      <c r="H382" s="70"/>
      <c r="I382" s="70"/>
      <c r="J382" s="70"/>
      <c r="K382" s="70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  <c r="Y382" s="70"/>
      <c r="Z382" s="70"/>
    </row>
    <row r="383" customFormat="false" ht="12.75" hidden="false" customHeight="false" outlineLevel="0" collapsed="false">
      <c r="A383" s="395"/>
      <c r="B383" s="395"/>
      <c r="C383" s="395"/>
      <c r="D383" s="395"/>
      <c r="E383" s="70"/>
      <c r="F383" s="70"/>
      <c r="G383" s="70"/>
      <c r="H383" s="70"/>
      <c r="I383" s="70"/>
      <c r="J383" s="70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  <c r="Z383" s="70"/>
    </row>
    <row r="384" customFormat="false" ht="12.75" hidden="false" customHeight="false" outlineLevel="0" collapsed="false">
      <c r="A384" s="395"/>
      <c r="B384" s="684"/>
      <c r="C384" s="684"/>
      <c r="D384" s="684"/>
      <c r="E384" s="70"/>
      <c r="F384" s="70"/>
      <c r="G384" s="70"/>
      <c r="H384" s="70"/>
      <c r="I384" s="70"/>
      <c r="J384" s="70"/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  <c r="Z384" s="70"/>
    </row>
    <row r="385" customFormat="false" ht="12.75" hidden="false" customHeight="false" outlineLevel="0" collapsed="false">
      <c r="A385" s="70"/>
      <c r="B385" s="70"/>
      <c r="C385" s="70"/>
      <c r="D385" s="70"/>
      <c r="E385" s="70"/>
      <c r="F385" s="70"/>
      <c r="G385" s="70"/>
      <c r="H385" s="70"/>
      <c r="I385" s="70"/>
      <c r="J385" s="70"/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  <c r="Z385" s="70"/>
    </row>
    <row r="386" customFormat="false" ht="12.75" hidden="false" customHeight="false" outlineLevel="0" collapsed="false">
      <c r="A386" s="322"/>
      <c r="B386" s="321"/>
      <c r="C386" s="321"/>
      <c r="D386" s="321"/>
      <c r="E386" s="321"/>
      <c r="F386" s="321"/>
      <c r="G386" s="321"/>
      <c r="H386" s="321"/>
      <c r="I386" s="321"/>
      <c r="J386" s="321"/>
      <c r="K386" s="321"/>
      <c r="L386" s="321"/>
      <c r="M386" s="321"/>
      <c r="N386" s="321"/>
      <c r="O386" s="321"/>
      <c r="P386" s="321"/>
      <c r="Q386" s="321"/>
      <c r="R386" s="321"/>
      <c r="S386" s="321"/>
      <c r="T386" s="70"/>
      <c r="U386" s="70"/>
      <c r="V386" s="70"/>
      <c r="W386" s="70"/>
      <c r="X386" s="70"/>
      <c r="Y386" s="70"/>
      <c r="Z386" s="70"/>
    </row>
    <row r="387" customFormat="false" ht="12.75" hidden="false" customHeight="false" outlineLevel="0" collapsed="false">
      <c r="A387" s="395"/>
      <c r="B387" s="395"/>
      <c r="C387" s="395"/>
      <c r="D387" s="395"/>
      <c r="E387" s="395"/>
      <c r="F387" s="70"/>
      <c r="G387" s="70"/>
      <c r="H387" s="70"/>
      <c r="I387" s="70"/>
      <c r="J387" s="70"/>
      <c r="K387" s="70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  <c r="Y387" s="70"/>
      <c r="Z387" s="70"/>
    </row>
    <row r="388" customFormat="false" ht="12.75" hidden="false" customHeight="false" outlineLevel="0" collapsed="false">
      <c r="A388" s="685"/>
      <c r="B388" s="395"/>
      <c r="C388" s="395"/>
      <c r="D388" s="395"/>
      <c r="E388" s="395"/>
      <c r="F388" s="701"/>
      <c r="G388" s="701"/>
      <c r="H388" s="701"/>
      <c r="I388" s="701"/>
      <c r="J388" s="701"/>
      <c r="K388" s="701"/>
      <c r="L388" s="701"/>
      <c r="M388" s="701"/>
      <c r="N388" s="701"/>
      <c r="O388" s="701"/>
      <c r="P388" s="701"/>
      <c r="Q388" s="701"/>
      <c r="R388" s="701"/>
      <c r="S388" s="701"/>
      <c r="T388" s="70"/>
      <c r="U388" s="70"/>
      <c r="V388" s="70"/>
      <c r="W388" s="70"/>
      <c r="X388" s="70"/>
      <c r="Y388" s="70"/>
      <c r="Z388" s="70"/>
    </row>
    <row r="389" customFormat="false" ht="12.75" hidden="false" customHeight="false" outlineLevel="0" collapsed="false">
      <c r="A389" s="685"/>
      <c r="B389" s="395"/>
      <c r="C389" s="395"/>
      <c r="D389" s="395"/>
      <c r="E389" s="395"/>
      <c r="F389" s="701"/>
      <c r="G389" s="701"/>
      <c r="H389" s="701"/>
      <c r="I389" s="701"/>
      <c r="J389" s="701"/>
      <c r="K389" s="701"/>
      <c r="L389" s="701"/>
      <c r="M389" s="701"/>
      <c r="N389" s="701"/>
      <c r="O389" s="701"/>
      <c r="P389" s="701"/>
      <c r="Q389" s="701"/>
      <c r="R389" s="701"/>
      <c r="S389" s="701"/>
      <c r="T389" s="70"/>
      <c r="U389" s="70"/>
      <c r="V389" s="70"/>
      <c r="W389" s="70"/>
      <c r="X389" s="70"/>
      <c r="Y389" s="70"/>
      <c r="Z389" s="70"/>
    </row>
    <row r="390" customFormat="false" ht="12.75" hidden="false" customHeight="false" outlineLevel="0" collapsed="false">
      <c r="A390" s="685"/>
      <c r="B390" s="685"/>
      <c r="C390" s="685"/>
      <c r="D390" s="685"/>
      <c r="E390" s="685"/>
      <c r="F390" s="701"/>
      <c r="G390" s="701"/>
      <c r="H390" s="701"/>
      <c r="I390" s="701"/>
      <c r="J390" s="701"/>
      <c r="K390" s="701"/>
      <c r="L390" s="701"/>
      <c r="M390" s="701"/>
      <c r="N390" s="701"/>
      <c r="O390" s="701"/>
      <c r="P390" s="701"/>
      <c r="Q390" s="701"/>
      <c r="R390" s="701"/>
      <c r="S390" s="701"/>
      <c r="T390" s="70"/>
      <c r="U390" s="70"/>
      <c r="V390" s="70"/>
      <c r="W390" s="70"/>
      <c r="X390" s="70"/>
      <c r="Y390" s="70"/>
      <c r="Z390" s="70"/>
    </row>
    <row r="391" customFormat="false" ht="12.75" hidden="false" customHeight="false" outlineLevel="0" collapsed="false">
      <c r="A391" s="685"/>
      <c r="B391" s="685"/>
      <c r="C391" s="685"/>
      <c r="D391" s="685"/>
      <c r="E391" s="685"/>
      <c r="F391" s="701"/>
      <c r="G391" s="701"/>
      <c r="H391" s="701"/>
      <c r="I391" s="701"/>
      <c r="J391" s="701"/>
      <c r="K391" s="701"/>
      <c r="L391" s="701"/>
      <c r="M391" s="701"/>
      <c r="N391" s="701"/>
      <c r="O391" s="701"/>
      <c r="P391" s="701"/>
      <c r="Q391" s="701"/>
      <c r="R391" s="701"/>
      <c r="S391" s="701"/>
      <c r="T391" s="70"/>
      <c r="U391" s="70"/>
      <c r="V391" s="70"/>
      <c r="W391" s="70"/>
      <c r="X391" s="70"/>
      <c r="Y391" s="70"/>
      <c r="Z391" s="70"/>
    </row>
    <row r="392" customFormat="false" ht="12.75" hidden="false" customHeight="false" outlineLevel="0" collapsed="false">
      <c r="A392" s="685"/>
      <c r="B392" s="322"/>
      <c r="C392" s="322"/>
      <c r="D392" s="322"/>
      <c r="E392" s="322"/>
      <c r="F392" s="701"/>
      <c r="G392" s="701"/>
      <c r="H392" s="701"/>
      <c r="I392" s="701"/>
      <c r="J392" s="701"/>
      <c r="K392" s="701"/>
      <c r="L392" s="701"/>
      <c r="M392" s="701"/>
      <c r="N392" s="701"/>
      <c r="O392" s="701"/>
      <c r="P392" s="701"/>
      <c r="Q392" s="701"/>
      <c r="R392" s="701"/>
      <c r="S392" s="701"/>
      <c r="T392" s="70"/>
      <c r="U392" s="70"/>
      <c r="V392" s="70"/>
      <c r="W392" s="70"/>
      <c r="X392" s="70"/>
      <c r="Y392" s="70"/>
      <c r="Z392" s="70"/>
    </row>
    <row r="393" customFormat="false" ht="12.75" hidden="false" customHeight="false" outlineLevel="0" collapsed="false">
      <c r="A393" s="685"/>
      <c r="B393" s="322"/>
      <c r="C393" s="322"/>
      <c r="D393" s="322"/>
      <c r="E393" s="322"/>
      <c r="F393" s="701"/>
      <c r="G393" s="701"/>
      <c r="H393" s="701"/>
      <c r="I393" s="701"/>
      <c r="J393" s="701"/>
      <c r="K393" s="701"/>
      <c r="L393" s="701"/>
      <c r="M393" s="701"/>
      <c r="N393" s="701"/>
      <c r="O393" s="701"/>
      <c r="P393" s="701"/>
      <c r="Q393" s="701"/>
      <c r="R393" s="701"/>
      <c r="S393" s="701"/>
      <c r="T393" s="70"/>
      <c r="U393" s="70"/>
      <c r="V393" s="70"/>
      <c r="W393" s="70"/>
      <c r="X393" s="70"/>
      <c r="Y393" s="70"/>
      <c r="Z393" s="70"/>
    </row>
    <row r="394" customFormat="false" ht="12.75" hidden="false" customHeight="false" outlineLevel="0" collapsed="false">
      <c r="A394" s="395"/>
      <c r="B394" s="395"/>
      <c r="C394" s="395"/>
      <c r="D394" s="395"/>
      <c r="E394" s="395"/>
      <c r="F394" s="701"/>
      <c r="G394" s="701"/>
      <c r="H394" s="701"/>
      <c r="I394" s="701"/>
      <c r="J394" s="701"/>
      <c r="K394" s="701"/>
      <c r="L394" s="701"/>
      <c r="M394" s="701"/>
      <c r="N394" s="701"/>
      <c r="O394" s="701"/>
      <c r="P394" s="701"/>
      <c r="Q394" s="701"/>
      <c r="R394" s="701"/>
      <c r="S394" s="701"/>
      <c r="T394" s="70"/>
      <c r="U394" s="70"/>
      <c r="V394" s="70"/>
      <c r="W394" s="70"/>
      <c r="X394" s="70"/>
      <c r="Y394" s="70"/>
      <c r="Z394" s="70"/>
    </row>
    <row r="395" customFormat="false" ht="12.75" hidden="false" customHeight="false" outlineLevel="0" collapsed="false">
      <c r="A395" s="685"/>
      <c r="B395" s="395"/>
      <c r="C395" s="395"/>
      <c r="D395" s="395"/>
      <c r="E395" s="395"/>
      <c r="F395" s="701"/>
      <c r="G395" s="701"/>
      <c r="H395" s="701"/>
      <c r="I395" s="701"/>
      <c r="J395" s="701"/>
      <c r="K395" s="701"/>
      <c r="L395" s="701"/>
      <c r="M395" s="701"/>
      <c r="N395" s="701"/>
      <c r="O395" s="701"/>
      <c r="P395" s="701"/>
      <c r="Q395" s="701"/>
      <c r="R395" s="701"/>
      <c r="S395" s="701"/>
      <c r="T395" s="70"/>
      <c r="U395" s="70"/>
      <c r="V395" s="70"/>
      <c r="W395" s="70"/>
      <c r="X395" s="70"/>
      <c r="Y395" s="70"/>
      <c r="Z395" s="70"/>
    </row>
    <row r="396" customFormat="false" ht="12.75" hidden="false" customHeight="false" outlineLevel="0" collapsed="false">
      <c r="A396" s="685"/>
      <c r="B396" s="395"/>
      <c r="C396" s="395"/>
      <c r="D396" s="395"/>
      <c r="E396" s="395"/>
      <c r="F396" s="701"/>
      <c r="G396" s="701"/>
      <c r="H396" s="701"/>
      <c r="I396" s="701"/>
      <c r="J396" s="701"/>
      <c r="K396" s="701"/>
      <c r="L396" s="701"/>
      <c r="M396" s="701"/>
      <c r="N396" s="701"/>
      <c r="O396" s="701"/>
      <c r="P396" s="701"/>
      <c r="Q396" s="701"/>
      <c r="R396" s="701"/>
      <c r="S396" s="701"/>
      <c r="T396" s="70"/>
      <c r="U396" s="70"/>
      <c r="V396" s="70"/>
      <c r="W396" s="70"/>
      <c r="X396" s="70"/>
      <c r="Y396" s="70"/>
      <c r="Z396" s="70"/>
    </row>
    <row r="397" customFormat="false" ht="12.75" hidden="false" customHeight="false" outlineLevel="0" collapsed="false">
      <c r="A397" s="685"/>
      <c r="B397" s="395"/>
      <c r="C397" s="395"/>
      <c r="D397" s="395"/>
      <c r="E397" s="395"/>
      <c r="F397" s="701"/>
      <c r="G397" s="701"/>
      <c r="H397" s="701"/>
      <c r="I397" s="701"/>
      <c r="J397" s="701"/>
      <c r="K397" s="701"/>
      <c r="L397" s="701"/>
      <c r="M397" s="701"/>
      <c r="N397" s="701"/>
      <c r="O397" s="701"/>
      <c r="P397" s="701"/>
      <c r="Q397" s="701"/>
      <c r="R397" s="701"/>
      <c r="S397" s="701"/>
      <c r="T397" s="70"/>
      <c r="U397" s="70"/>
      <c r="V397" s="70"/>
      <c r="W397" s="70"/>
      <c r="X397" s="70"/>
      <c r="Y397" s="70"/>
      <c r="Z397" s="70"/>
    </row>
    <row r="398" customFormat="false" ht="12.75" hidden="false" customHeight="false" outlineLevel="0" collapsed="false">
      <c r="A398" s="685"/>
      <c r="B398" s="395"/>
      <c r="C398" s="395"/>
      <c r="D398" s="395"/>
      <c r="E398" s="395"/>
      <c r="F398" s="701"/>
      <c r="G398" s="701"/>
      <c r="H398" s="701"/>
      <c r="I398" s="701"/>
      <c r="J398" s="701"/>
      <c r="K398" s="701"/>
      <c r="L398" s="701"/>
      <c r="M398" s="701"/>
      <c r="N398" s="701"/>
      <c r="O398" s="701"/>
      <c r="P398" s="701"/>
      <c r="Q398" s="701"/>
      <c r="R398" s="701"/>
      <c r="S398" s="701"/>
      <c r="T398" s="70"/>
      <c r="U398" s="70"/>
      <c r="V398" s="70"/>
      <c r="W398" s="70"/>
      <c r="X398" s="70"/>
      <c r="Y398" s="70"/>
      <c r="Z398" s="70"/>
    </row>
    <row r="399" customFormat="false" ht="12.75" hidden="false" customHeight="false" outlineLevel="0" collapsed="false">
      <c r="A399" s="685"/>
      <c r="B399" s="395"/>
      <c r="C399" s="395"/>
      <c r="D399" s="395"/>
      <c r="E399" s="395"/>
      <c r="F399" s="701"/>
      <c r="G399" s="701"/>
      <c r="H399" s="701"/>
      <c r="I399" s="701"/>
      <c r="J399" s="701"/>
      <c r="K399" s="701"/>
      <c r="L399" s="701"/>
      <c r="M399" s="701"/>
      <c r="N399" s="701"/>
      <c r="O399" s="701"/>
      <c r="P399" s="701"/>
      <c r="Q399" s="701"/>
      <c r="R399" s="701"/>
      <c r="S399" s="701"/>
      <c r="T399" s="70"/>
      <c r="U399" s="70"/>
      <c r="V399" s="70"/>
      <c r="W399" s="70"/>
      <c r="X399" s="70"/>
      <c r="Y399" s="70"/>
      <c r="Z399" s="70"/>
    </row>
    <row r="400" customFormat="false" ht="12.75" hidden="false" customHeight="false" outlineLevel="0" collapsed="false">
      <c r="A400" s="685"/>
      <c r="B400" s="395"/>
      <c r="C400" s="395"/>
      <c r="D400" s="395"/>
      <c r="E400" s="395"/>
      <c r="F400" s="701"/>
      <c r="G400" s="701"/>
      <c r="H400" s="701"/>
      <c r="I400" s="701"/>
      <c r="J400" s="701"/>
      <c r="K400" s="701"/>
      <c r="L400" s="701"/>
      <c r="M400" s="701"/>
      <c r="N400" s="701"/>
      <c r="O400" s="701"/>
      <c r="P400" s="701"/>
      <c r="Q400" s="701"/>
      <c r="R400" s="701"/>
      <c r="S400" s="701"/>
      <c r="T400" s="70"/>
      <c r="U400" s="70"/>
      <c r="V400" s="70"/>
      <c r="W400" s="70"/>
      <c r="X400" s="70"/>
      <c r="Y400" s="70"/>
      <c r="Z400" s="70"/>
    </row>
    <row r="401" customFormat="false" ht="12.75" hidden="false" customHeight="false" outlineLevel="0" collapsed="false">
      <c r="A401" s="685"/>
      <c r="B401" s="395"/>
      <c r="C401" s="395"/>
      <c r="D401" s="395"/>
      <c r="E401" s="395"/>
      <c r="F401" s="701"/>
      <c r="G401" s="701"/>
      <c r="H401" s="701"/>
      <c r="I401" s="701"/>
      <c r="J401" s="701"/>
      <c r="K401" s="701"/>
      <c r="L401" s="701"/>
      <c r="M401" s="701"/>
      <c r="N401" s="701"/>
      <c r="O401" s="701"/>
      <c r="P401" s="701"/>
      <c r="Q401" s="701"/>
      <c r="R401" s="701"/>
      <c r="S401" s="701"/>
      <c r="T401" s="70"/>
      <c r="U401" s="70"/>
      <c r="V401" s="70"/>
      <c r="W401" s="70"/>
      <c r="X401" s="70"/>
      <c r="Y401" s="70"/>
      <c r="Z401" s="70"/>
    </row>
    <row r="402" customFormat="false" ht="12.75" hidden="false" customHeight="false" outlineLevel="0" collapsed="false">
      <c r="A402" s="685"/>
      <c r="B402" s="395"/>
      <c r="C402" s="395"/>
      <c r="D402" s="395"/>
      <c r="E402" s="395"/>
      <c r="F402" s="701"/>
      <c r="G402" s="701"/>
      <c r="H402" s="701"/>
      <c r="I402" s="701"/>
      <c r="J402" s="701"/>
      <c r="K402" s="701"/>
      <c r="L402" s="701"/>
      <c r="M402" s="701"/>
      <c r="N402" s="701"/>
      <c r="O402" s="701"/>
      <c r="P402" s="701"/>
      <c r="Q402" s="701"/>
      <c r="R402" s="701"/>
      <c r="S402" s="701"/>
      <c r="T402" s="70"/>
      <c r="U402" s="70"/>
      <c r="V402" s="70"/>
      <c r="W402" s="70"/>
      <c r="X402" s="70"/>
      <c r="Y402" s="70"/>
      <c r="Z402" s="70"/>
    </row>
    <row r="403" customFormat="false" ht="12.75" hidden="false" customHeight="false" outlineLevel="0" collapsed="false">
      <c r="A403" s="685"/>
      <c r="B403" s="395"/>
      <c r="C403" s="395"/>
      <c r="D403" s="395"/>
      <c r="E403" s="395"/>
      <c r="F403" s="701"/>
      <c r="G403" s="701"/>
      <c r="H403" s="701"/>
      <c r="I403" s="701"/>
      <c r="J403" s="701"/>
      <c r="K403" s="701"/>
      <c r="L403" s="701"/>
      <c r="M403" s="701"/>
      <c r="N403" s="701"/>
      <c r="O403" s="701"/>
      <c r="P403" s="701"/>
      <c r="Q403" s="701"/>
      <c r="R403" s="701"/>
      <c r="S403" s="701"/>
      <c r="T403" s="70"/>
      <c r="U403" s="70"/>
      <c r="V403" s="70"/>
      <c r="W403" s="70"/>
      <c r="X403" s="70"/>
      <c r="Y403" s="70"/>
      <c r="Z403" s="70"/>
    </row>
    <row r="404" customFormat="false" ht="12.75" hidden="false" customHeight="false" outlineLevel="0" collapsed="false">
      <c r="A404" s="685"/>
      <c r="B404" s="395"/>
      <c r="C404" s="395"/>
      <c r="D404" s="395"/>
      <c r="E404" s="395"/>
      <c r="F404" s="701"/>
      <c r="G404" s="701"/>
      <c r="H404" s="701"/>
      <c r="I404" s="701"/>
      <c r="J404" s="701"/>
      <c r="K404" s="701"/>
      <c r="L404" s="701"/>
      <c r="M404" s="701"/>
      <c r="N404" s="701"/>
      <c r="O404" s="701"/>
      <c r="P404" s="701"/>
      <c r="Q404" s="701"/>
      <c r="R404" s="701"/>
      <c r="S404" s="701"/>
      <c r="T404" s="70"/>
      <c r="U404" s="70"/>
      <c r="V404" s="70"/>
      <c r="W404" s="70"/>
      <c r="X404" s="70"/>
      <c r="Y404" s="70"/>
      <c r="Z404" s="70"/>
    </row>
    <row r="405" customFormat="false" ht="12.75" hidden="false" customHeight="false" outlineLevel="0" collapsed="false">
      <c r="A405" s="685"/>
      <c r="B405" s="685"/>
      <c r="C405" s="685"/>
      <c r="D405" s="685"/>
      <c r="E405" s="685"/>
      <c r="F405" s="701"/>
      <c r="G405" s="701"/>
      <c r="H405" s="701"/>
      <c r="I405" s="701"/>
      <c r="J405" s="701"/>
      <c r="K405" s="701"/>
      <c r="L405" s="701"/>
      <c r="M405" s="701"/>
      <c r="N405" s="701"/>
      <c r="O405" s="701"/>
      <c r="P405" s="701"/>
      <c r="Q405" s="701"/>
      <c r="R405" s="701"/>
      <c r="S405" s="701"/>
      <c r="T405" s="70"/>
      <c r="U405" s="70"/>
      <c r="V405" s="70"/>
      <c r="W405" s="70"/>
      <c r="X405" s="70"/>
      <c r="Y405" s="70"/>
      <c r="Z405" s="70"/>
    </row>
    <row r="406" customFormat="false" ht="12.75" hidden="false" customHeight="false" outlineLevel="0" collapsed="false">
      <c r="A406" s="685"/>
      <c r="B406" s="685"/>
      <c r="C406" s="685"/>
      <c r="D406" s="685"/>
      <c r="E406" s="685"/>
      <c r="F406" s="701"/>
      <c r="G406" s="701"/>
      <c r="H406" s="701"/>
      <c r="I406" s="701"/>
      <c r="J406" s="701"/>
      <c r="K406" s="701"/>
      <c r="L406" s="701"/>
      <c r="M406" s="701"/>
      <c r="N406" s="701"/>
      <c r="O406" s="701"/>
      <c r="P406" s="701"/>
      <c r="Q406" s="701"/>
      <c r="R406" s="701"/>
      <c r="S406" s="701"/>
      <c r="T406" s="70"/>
      <c r="U406" s="70"/>
      <c r="V406" s="70"/>
      <c r="W406" s="70"/>
      <c r="X406" s="70"/>
      <c r="Y406" s="70"/>
      <c r="Z406" s="70"/>
    </row>
    <row r="407" customFormat="false" ht="12.75" hidden="false" customHeight="false" outlineLevel="0" collapsed="false">
      <c r="A407" s="395"/>
      <c r="B407" s="395"/>
      <c r="C407" s="395"/>
      <c r="D407" s="395"/>
      <c r="E407" s="395"/>
      <c r="F407" s="701"/>
      <c r="G407" s="701"/>
      <c r="H407" s="701"/>
      <c r="I407" s="701"/>
      <c r="J407" s="701"/>
      <c r="K407" s="701"/>
      <c r="L407" s="701"/>
      <c r="M407" s="701"/>
      <c r="N407" s="701"/>
      <c r="O407" s="701"/>
      <c r="P407" s="701"/>
      <c r="Q407" s="701"/>
      <c r="R407" s="701"/>
      <c r="S407" s="701"/>
      <c r="T407" s="70"/>
      <c r="U407" s="70"/>
      <c r="V407" s="70"/>
      <c r="W407" s="70"/>
      <c r="X407" s="70"/>
      <c r="Y407" s="70"/>
      <c r="Z407" s="70"/>
    </row>
    <row r="408" customFormat="false" ht="12.75" hidden="false" customHeight="false" outlineLevel="0" collapsed="false">
      <c r="A408" s="70"/>
      <c r="B408" s="395"/>
      <c r="C408" s="395"/>
      <c r="D408" s="395"/>
      <c r="E408" s="395"/>
      <c r="F408" s="701"/>
      <c r="G408" s="701"/>
      <c r="H408" s="701"/>
      <c r="I408" s="701"/>
      <c r="J408" s="701"/>
      <c r="K408" s="701"/>
      <c r="L408" s="701"/>
      <c r="M408" s="701"/>
      <c r="N408" s="701"/>
      <c r="O408" s="701"/>
      <c r="P408" s="701"/>
      <c r="Q408" s="701"/>
      <c r="R408" s="701"/>
      <c r="S408" s="701"/>
      <c r="T408" s="70"/>
      <c r="U408" s="70"/>
      <c r="V408" s="70"/>
      <c r="W408" s="70"/>
      <c r="X408" s="70"/>
      <c r="Y408" s="70"/>
      <c r="Z408" s="70"/>
    </row>
    <row r="409" customFormat="false" ht="12.75" hidden="false" customHeight="false" outlineLevel="0" collapsed="false">
      <c r="A409" s="685"/>
      <c r="B409" s="685"/>
      <c r="C409" s="685"/>
      <c r="D409" s="685"/>
      <c r="E409" s="685"/>
      <c r="F409" s="701"/>
      <c r="G409" s="701"/>
      <c r="H409" s="701"/>
      <c r="I409" s="701"/>
      <c r="J409" s="701"/>
      <c r="K409" s="701"/>
      <c r="L409" s="701"/>
      <c r="M409" s="701"/>
      <c r="N409" s="701"/>
      <c r="O409" s="701"/>
      <c r="P409" s="701"/>
      <c r="Q409" s="701"/>
      <c r="R409" s="701"/>
      <c r="S409" s="701"/>
      <c r="T409" s="70"/>
      <c r="U409" s="70"/>
      <c r="V409" s="70"/>
      <c r="W409" s="70"/>
      <c r="X409" s="70"/>
      <c r="Y409" s="70"/>
      <c r="Z409" s="70"/>
    </row>
    <row r="410" customFormat="false" ht="12.75" hidden="false" customHeight="false" outlineLevel="0" collapsed="false">
      <c r="A410" s="395"/>
      <c r="B410" s="395"/>
      <c r="C410" s="395"/>
      <c r="D410" s="395"/>
      <c r="E410" s="395"/>
      <c r="F410" s="701"/>
      <c r="G410" s="701"/>
      <c r="H410" s="701"/>
      <c r="I410" s="701"/>
      <c r="J410" s="701"/>
      <c r="K410" s="701"/>
      <c r="L410" s="701"/>
      <c r="M410" s="701"/>
      <c r="N410" s="701"/>
      <c r="O410" s="701"/>
      <c r="P410" s="701"/>
      <c r="Q410" s="701"/>
      <c r="R410" s="701"/>
      <c r="S410" s="701"/>
      <c r="T410" s="70"/>
      <c r="U410" s="70"/>
      <c r="V410" s="70"/>
      <c r="W410" s="70"/>
      <c r="X410" s="70"/>
      <c r="Y410" s="70"/>
      <c r="Z410" s="70"/>
    </row>
    <row r="411" customFormat="false" ht="12.75" hidden="false" customHeight="false" outlineLevel="0" collapsed="false">
      <c r="A411" s="685"/>
      <c r="B411" s="687"/>
      <c r="C411" s="687"/>
      <c r="D411" s="687"/>
      <c r="E411" s="687"/>
      <c r="F411" s="701"/>
      <c r="G411" s="701"/>
      <c r="H411" s="701"/>
      <c r="I411" s="701"/>
      <c r="J411" s="701"/>
      <c r="K411" s="701"/>
      <c r="L411" s="701"/>
      <c r="M411" s="701"/>
      <c r="N411" s="701"/>
      <c r="O411" s="701"/>
      <c r="P411" s="701"/>
      <c r="Q411" s="701"/>
      <c r="R411" s="701"/>
      <c r="S411" s="701"/>
      <c r="T411" s="70"/>
      <c r="U411" s="70"/>
      <c r="V411" s="70"/>
      <c r="W411" s="70"/>
      <c r="X411" s="70"/>
      <c r="Y411" s="70"/>
      <c r="Z411" s="70"/>
    </row>
    <row r="412" customFormat="false" ht="12.75" hidden="false" customHeight="false" outlineLevel="0" collapsed="false">
      <c r="A412" s="395"/>
      <c r="B412" s="395"/>
      <c r="C412" s="395"/>
      <c r="D412" s="395"/>
      <c r="E412" s="395"/>
      <c r="F412" s="701"/>
      <c r="G412" s="701"/>
      <c r="H412" s="701"/>
      <c r="I412" s="701"/>
      <c r="J412" s="701"/>
      <c r="K412" s="701"/>
      <c r="L412" s="701"/>
      <c r="M412" s="701"/>
      <c r="N412" s="701"/>
      <c r="O412" s="701"/>
      <c r="P412" s="701"/>
      <c r="Q412" s="701"/>
      <c r="R412" s="701"/>
      <c r="S412" s="701"/>
      <c r="T412" s="70"/>
      <c r="U412" s="70"/>
      <c r="V412" s="70"/>
      <c r="W412" s="70"/>
      <c r="X412" s="70"/>
      <c r="Y412" s="70"/>
      <c r="Z412" s="70"/>
    </row>
    <row r="413" customFormat="false" ht="12.75" hidden="false" customHeight="false" outlineLevel="0" collapsed="false">
      <c r="A413" s="395"/>
      <c r="B413" s="395"/>
      <c r="C413" s="395"/>
      <c r="D413" s="395"/>
      <c r="E413" s="395"/>
      <c r="F413" s="701"/>
      <c r="G413" s="701"/>
      <c r="H413" s="701"/>
      <c r="I413" s="701"/>
      <c r="J413" s="701"/>
      <c r="K413" s="701"/>
      <c r="L413" s="701"/>
      <c r="M413" s="701"/>
      <c r="N413" s="701"/>
      <c r="O413" s="701"/>
      <c r="P413" s="701"/>
      <c r="Q413" s="701"/>
      <c r="R413" s="701"/>
      <c r="S413" s="701"/>
      <c r="T413" s="70"/>
      <c r="U413" s="70"/>
      <c r="V413" s="70"/>
      <c r="W413" s="70"/>
      <c r="X413" s="70"/>
      <c r="Y413" s="70"/>
      <c r="Z413" s="70"/>
    </row>
    <row r="414" customFormat="false" ht="12.75" hidden="false" customHeight="false" outlineLevel="0" collapsed="false">
      <c r="A414" s="395"/>
      <c r="B414" s="395"/>
      <c r="C414" s="395"/>
      <c r="D414" s="395"/>
      <c r="E414" s="395"/>
      <c r="F414" s="701"/>
      <c r="G414" s="701"/>
      <c r="H414" s="701"/>
      <c r="I414" s="701"/>
      <c r="J414" s="701"/>
      <c r="K414" s="701"/>
      <c r="L414" s="701"/>
      <c r="M414" s="701"/>
      <c r="N414" s="701"/>
      <c r="O414" s="701"/>
      <c r="P414" s="701"/>
      <c r="Q414" s="701"/>
      <c r="R414" s="701"/>
      <c r="S414" s="701"/>
      <c r="T414" s="70"/>
      <c r="U414" s="70"/>
      <c r="V414" s="70"/>
      <c r="W414" s="70"/>
      <c r="X414" s="70"/>
      <c r="Y414" s="70"/>
      <c r="Z414" s="70"/>
    </row>
    <row r="415" customFormat="false" ht="12.75" hidden="false" customHeight="false" outlineLevel="0" collapsed="false">
      <c r="A415" s="395"/>
      <c r="B415" s="684"/>
      <c r="C415" s="684"/>
      <c r="D415" s="684"/>
      <c r="E415" s="684"/>
      <c r="F415" s="701"/>
      <c r="G415" s="701"/>
      <c r="H415" s="701"/>
      <c r="I415" s="701"/>
      <c r="J415" s="701"/>
      <c r="K415" s="701"/>
      <c r="L415" s="701"/>
      <c r="M415" s="701"/>
      <c r="N415" s="701"/>
      <c r="O415" s="701"/>
      <c r="P415" s="701"/>
      <c r="Q415" s="701"/>
      <c r="R415" s="701"/>
      <c r="S415" s="701"/>
      <c r="T415" s="70"/>
      <c r="U415" s="70"/>
      <c r="V415" s="70"/>
      <c r="W415" s="70"/>
      <c r="X415" s="70"/>
      <c r="Y415" s="70"/>
      <c r="Z415" s="70"/>
    </row>
    <row r="416" customFormat="false" ht="12.75" hidden="false" customHeight="false" outlineLevel="0" collapsed="false">
      <c r="A416" s="395"/>
      <c r="B416" s="684"/>
      <c r="C416" s="684"/>
      <c r="D416" s="684"/>
      <c r="E416" s="684"/>
      <c r="F416" s="701"/>
      <c r="G416" s="701"/>
      <c r="H416" s="701"/>
      <c r="I416" s="701"/>
      <c r="J416" s="701"/>
      <c r="K416" s="701"/>
      <c r="L416" s="701"/>
      <c r="M416" s="701"/>
      <c r="N416" s="701"/>
      <c r="O416" s="701"/>
      <c r="P416" s="701"/>
      <c r="Q416" s="701"/>
      <c r="R416" s="701"/>
      <c r="S416" s="701"/>
      <c r="T416" s="70"/>
      <c r="U416" s="70"/>
      <c r="V416" s="70"/>
      <c r="W416" s="70"/>
      <c r="X416" s="70"/>
      <c r="Y416" s="70"/>
      <c r="Z416" s="70"/>
    </row>
    <row r="417" customFormat="false" ht="12.75" hidden="false" customHeight="false" outlineLevel="0" collapsed="false">
      <c r="A417" s="395"/>
      <c r="B417" s="684"/>
      <c r="C417" s="684"/>
      <c r="D417" s="684"/>
      <c r="E417" s="684"/>
      <c r="F417" s="701"/>
      <c r="G417" s="701"/>
      <c r="H417" s="701"/>
      <c r="I417" s="701"/>
      <c r="J417" s="701"/>
      <c r="K417" s="701"/>
      <c r="L417" s="701"/>
      <c r="M417" s="701"/>
      <c r="N417" s="701"/>
      <c r="O417" s="701"/>
      <c r="P417" s="701"/>
      <c r="Q417" s="701"/>
      <c r="R417" s="701"/>
      <c r="S417" s="701"/>
      <c r="T417" s="70"/>
      <c r="U417" s="70"/>
      <c r="V417" s="70"/>
      <c r="W417" s="70"/>
      <c r="X417" s="70"/>
      <c r="Y417" s="70"/>
      <c r="Z417" s="70"/>
    </row>
    <row r="418" customFormat="false" ht="12.75" hidden="false" customHeight="false" outlineLevel="0" collapsed="false">
      <c r="A418" s="395"/>
      <c r="B418" s="684"/>
      <c r="C418" s="684"/>
      <c r="D418" s="684"/>
      <c r="E418" s="684"/>
      <c r="F418" s="701"/>
      <c r="G418" s="701"/>
      <c r="H418" s="701"/>
      <c r="I418" s="701"/>
      <c r="J418" s="701"/>
      <c r="K418" s="701"/>
      <c r="L418" s="701"/>
      <c r="M418" s="701"/>
      <c r="N418" s="701"/>
      <c r="O418" s="701"/>
      <c r="P418" s="701"/>
      <c r="Q418" s="701"/>
      <c r="R418" s="701"/>
      <c r="S418" s="701"/>
      <c r="T418" s="70"/>
      <c r="U418" s="70"/>
      <c r="V418" s="70"/>
      <c r="W418" s="70"/>
      <c r="X418" s="70"/>
      <c r="Y418" s="70"/>
      <c r="Z418" s="70"/>
    </row>
    <row r="419" customFormat="false" ht="12.75" hidden="false" customHeight="false" outlineLevel="0" collapsed="false">
      <c r="A419" s="395"/>
      <c r="B419" s="684"/>
      <c r="C419" s="684"/>
      <c r="D419" s="684"/>
      <c r="E419" s="684"/>
      <c r="F419" s="701"/>
      <c r="G419" s="701"/>
      <c r="H419" s="701"/>
      <c r="I419" s="701"/>
      <c r="J419" s="701"/>
      <c r="K419" s="701"/>
      <c r="L419" s="701"/>
      <c r="M419" s="701"/>
      <c r="N419" s="701"/>
      <c r="O419" s="701"/>
      <c r="P419" s="701"/>
      <c r="Q419" s="701"/>
      <c r="R419" s="701"/>
      <c r="S419" s="701"/>
      <c r="T419" s="70"/>
      <c r="U419" s="70"/>
      <c r="V419" s="70"/>
      <c r="W419" s="70"/>
      <c r="X419" s="70"/>
      <c r="Y419" s="70"/>
      <c r="Z419" s="70"/>
    </row>
    <row r="420" customFormat="false" ht="12.75" hidden="false" customHeight="false" outlineLevel="0" collapsed="false">
      <c r="A420" s="70"/>
      <c r="B420" s="684"/>
      <c r="C420" s="684"/>
      <c r="D420" s="684"/>
      <c r="E420" s="684"/>
      <c r="F420" s="701"/>
      <c r="G420" s="701"/>
      <c r="H420" s="701"/>
      <c r="I420" s="701"/>
      <c r="J420" s="701"/>
      <c r="K420" s="701"/>
      <c r="L420" s="701"/>
      <c r="M420" s="701"/>
      <c r="N420" s="701"/>
      <c r="O420" s="701"/>
      <c r="P420" s="701"/>
      <c r="Q420" s="701"/>
      <c r="R420" s="701"/>
      <c r="S420" s="701"/>
      <c r="T420" s="701"/>
      <c r="U420" s="701"/>
      <c r="V420" s="701"/>
      <c r="W420" s="701"/>
      <c r="X420" s="701"/>
      <c r="Y420" s="701"/>
      <c r="Z420" s="701"/>
    </row>
    <row r="421" customFormat="false" ht="12.75" hidden="false" customHeight="false" outlineLevel="0" collapsed="false">
      <c r="A421" s="70"/>
      <c r="B421" s="701"/>
      <c r="C421" s="701"/>
      <c r="D421" s="701"/>
      <c r="E421" s="684"/>
      <c r="F421" s="701"/>
      <c r="G421" s="701"/>
      <c r="H421" s="701"/>
      <c r="I421" s="701"/>
      <c r="J421" s="701"/>
      <c r="K421" s="701"/>
      <c r="L421" s="701"/>
      <c r="M421" s="701"/>
      <c r="N421" s="701"/>
      <c r="O421" s="701"/>
      <c r="P421" s="701"/>
      <c r="Q421" s="701"/>
      <c r="R421" s="701"/>
      <c r="S421" s="701"/>
      <c r="T421" s="701"/>
      <c r="U421" s="701"/>
      <c r="V421" s="701"/>
      <c r="W421" s="701"/>
      <c r="X421" s="701"/>
      <c r="Y421" s="701"/>
      <c r="Z421" s="701"/>
    </row>
    <row r="422" customFormat="false" ht="12.75" hidden="false" customHeight="false" outlineLevel="0" collapsed="false">
      <c r="A422" s="70"/>
      <c r="B422" s="684"/>
      <c r="C422" s="684"/>
      <c r="D422" s="684"/>
      <c r="E422" s="684"/>
      <c r="F422" s="701"/>
      <c r="G422" s="701"/>
      <c r="H422" s="701"/>
      <c r="I422" s="701"/>
      <c r="J422" s="701"/>
      <c r="K422" s="701"/>
      <c r="L422" s="701"/>
      <c r="M422" s="701"/>
      <c r="N422" s="701"/>
      <c r="O422" s="701"/>
      <c r="P422" s="701"/>
      <c r="Q422" s="701"/>
      <c r="R422" s="701"/>
      <c r="S422" s="701"/>
      <c r="T422" s="701"/>
      <c r="U422" s="701"/>
      <c r="V422" s="701"/>
      <c r="W422" s="701"/>
      <c r="X422" s="701"/>
      <c r="Y422" s="701"/>
      <c r="Z422" s="701"/>
    </row>
    <row r="423" customFormat="false" ht="12.75" hidden="false" customHeight="false" outlineLevel="0" collapsed="false">
      <c r="A423" s="70"/>
      <c r="B423" s="684"/>
      <c r="C423" s="684"/>
      <c r="D423" s="684"/>
      <c r="E423" s="684"/>
      <c r="F423" s="701"/>
      <c r="G423" s="701"/>
      <c r="H423" s="701"/>
      <c r="I423" s="701"/>
      <c r="J423" s="701"/>
      <c r="K423" s="701"/>
      <c r="L423" s="701"/>
      <c r="M423" s="701"/>
      <c r="N423" s="701"/>
      <c r="O423" s="701"/>
      <c r="P423" s="701"/>
      <c r="Q423" s="701"/>
      <c r="R423" s="701"/>
      <c r="S423" s="701"/>
      <c r="T423" s="701"/>
      <c r="U423" s="701"/>
      <c r="V423" s="701"/>
      <c r="W423" s="701"/>
      <c r="X423" s="701"/>
      <c r="Y423" s="701"/>
      <c r="Z423" s="701"/>
    </row>
    <row r="424" customFormat="false" ht="12.75" hidden="false" customHeight="false" outlineLevel="0" collapsed="false">
      <c r="A424" s="70"/>
      <c r="B424" s="684"/>
      <c r="C424" s="684"/>
      <c r="D424" s="684"/>
      <c r="E424" s="684"/>
      <c r="F424" s="701"/>
      <c r="G424" s="701"/>
      <c r="H424" s="701"/>
      <c r="I424" s="701"/>
      <c r="J424" s="701"/>
      <c r="K424" s="701"/>
      <c r="L424" s="701"/>
      <c r="M424" s="701"/>
      <c r="N424" s="701"/>
      <c r="O424" s="701"/>
      <c r="P424" s="701"/>
      <c r="Q424" s="701"/>
      <c r="R424" s="701"/>
      <c r="S424" s="701"/>
      <c r="T424" s="701"/>
      <c r="U424" s="701"/>
      <c r="V424" s="701"/>
      <c r="W424" s="701"/>
      <c r="X424" s="701"/>
      <c r="Y424" s="701"/>
      <c r="Z424" s="701"/>
    </row>
    <row r="425" customFormat="false" ht="12.75" hidden="false" customHeight="false" outlineLevel="0" collapsed="false">
      <c r="A425" s="70"/>
      <c r="B425" s="684"/>
      <c r="C425" s="684"/>
      <c r="D425" s="684"/>
      <c r="E425" s="684"/>
      <c r="F425" s="701"/>
      <c r="G425" s="701"/>
      <c r="H425" s="701"/>
      <c r="I425" s="701"/>
      <c r="J425" s="701"/>
      <c r="K425" s="701"/>
      <c r="L425" s="701"/>
      <c r="M425" s="701"/>
      <c r="N425" s="701"/>
      <c r="O425" s="701"/>
      <c r="P425" s="701"/>
      <c r="Q425" s="701"/>
      <c r="R425" s="701"/>
      <c r="S425" s="701"/>
      <c r="T425" s="701"/>
      <c r="U425" s="701"/>
      <c r="V425" s="701"/>
      <c r="W425" s="701"/>
      <c r="X425" s="701"/>
      <c r="Y425" s="701"/>
      <c r="Z425" s="701"/>
    </row>
    <row r="426" customFormat="false" ht="12.75" hidden="false" customHeight="false" outlineLevel="0" collapsed="false">
      <c r="A426" s="395"/>
      <c r="B426" s="684"/>
      <c r="C426" s="684"/>
      <c r="D426" s="684"/>
      <c r="E426" s="684"/>
      <c r="F426" s="701"/>
      <c r="G426" s="701"/>
      <c r="H426" s="701"/>
      <c r="I426" s="701"/>
      <c r="J426" s="701"/>
      <c r="K426" s="701"/>
      <c r="L426" s="701"/>
      <c r="M426" s="701"/>
      <c r="N426" s="701"/>
      <c r="O426" s="701"/>
      <c r="P426" s="701"/>
      <c r="Q426" s="701"/>
      <c r="R426" s="701"/>
      <c r="S426" s="701"/>
      <c r="T426" s="701"/>
      <c r="U426" s="701"/>
      <c r="V426" s="701"/>
      <c r="W426" s="701"/>
      <c r="X426" s="701"/>
      <c r="Y426" s="701"/>
      <c r="Z426" s="701"/>
    </row>
    <row r="427" customFormat="false" ht="12.75" hidden="false" customHeight="false" outlineLevel="0" collapsed="false">
      <c r="A427" s="70"/>
      <c r="B427" s="684"/>
      <c r="C427" s="684"/>
      <c r="D427" s="684"/>
      <c r="E427" s="684"/>
      <c r="F427" s="701"/>
      <c r="G427" s="701"/>
      <c r="H427" s="701"/>
      <c r="I427" s="701"/>
      <c r="J427" s="701"/>
      <c r="K427" s="701"/>
      <c r="L427" s="701"/>
      <c r="M427" s="701"/>
      <c r="N427" s="701"/>
      <c r="O427" s="701"/>
      <c r="P427" s="701"/>
      <c r="Q427" s="701"/>
      <c r="R427" s="701"/>
      <c r="S427" s="701"/>
      <c r="T427" s="701"/>
      <c r="U427" s="701"/>
      <c r="V427" s="701"/>
      <c r="W427" s="701"/>
      <c r="X427" s="701"/>
      <c r="Y427" s="701"/>
      <c r="Z427" s="701"/>
    </row>
    <row r="428" customFormat="false" ht="12.75" hidden="false" customHeight="false" outlineLevel="0" collapsed="false">
      <c r="A428" s="70"/>
      <c r="B428" s="684"/>
      <c r="C428" s="684"/>
      <c r="D428" s="684"/>
      <c r="E428" s="684"/>
      <c r="F428" s="701"/>
      <c r="G428" s="701"/>
      <c r="H428" s="701"/>
      <c r="I428" s="701"/>
      <c r="J428" s="701"/>
      <c r="K428" s="701"/>
      <c r="L428" s="701"/>
      <c r="M428" s="701"/>
      <c r="N428" s="701"/>
      <c r="O428" s="701"/>
      <c r="P428" s="701"/>
      <c r="Q428" s="701"/>
      <c r="R428" s="701"/>
      <c r="S428" s="701"/>
      <c r="T428" s="701"/>
      <c r="U428" s="701"/>
      <c r="V428" s="701"/>
      <c r="W428" s="701"/>
      <c r="X428" s="701"/>
      <c r="Y428" s="701"/>
      <c r="Z428" s="701"/>
    </row>
    <row r="429" customFormat="false" ht="12.75" hidden="false" customHeight="false" outlineLevel="0" collapsed="false">
      <c r="A429" s="395"/>
      <c r="B429" s="684"/>
      <c r="C429" s="684"/>
      <c r="D429" s="684"/>
      <c r="E429" s="684"/>
      <c r="F429" s="701"/>
      <c r="G429" s="701"/>
      <c r="H429" s="701"/>
      <c r="I429" s="701"/>
      <c r="J429" s="701"/>
      <c r="K429" s="701"/>
      <c r="L429" s="701"/>
      <c r="M429" s="701"/>
      <c r="N429" s="701"/>
      <c r="O429" s="701"/>
      <c r="P429" s="701"/>
      <c r="Q429" s="701"/>
      <c r="R429" s="701"/>
      <c r="S429" s="701"/>
      <c r="T429" s="701"/>
      <c r="U429" s="701"/>
      <c r="V429" s="701"/>
      <c r="W429" s="701"/>
      <c r="X429" s="701"/>
      <c r="Y429" s="701"/>
      <c r="Z429" s="701"/>
    </row>
    <row r="430" customFormat="false" ht="12.75" hidden="false" customHeight="false" outlineLevel="0" collapsed="false">
      <c r="A430" s="395"/>
      <c r="B430" s="684"/>
      <c r="C430" s="684"/>
      <c r="D430" s="684"/>
      <c r="E430" s="684"/>
      <c r="F430" s="701"/>
      <c r="G430" s="701"/>
      <c r="H430" s="701"/>
      <c r="I430" s="701"/>
      <c r="J430" s="701"/>
      <c r="K430" s="701"/>
      <c r="L430" s="701"/>
      <c r="M430" s="701"/>
      <c r="N430" s="701"/>
      <c r="O430" s="701"/>
      <c r="P430" s="701"/>
      <c r="Q430" s="701"/>
      <c r="R430" s="701"/>
      <c r="S430" s="701"/>
      <c r="T430" s="701"/>
      <c r="U430" s="701"/>
      <c r="V430" s="701"/>
      <c r="W430" s="701"/>
      <c r="X430" s="701"/>
      <c r="Y430" s="701"/>
      <c r="Z430" s="701"/>
    </row>
    <row r="431" customFormat="false" ht="12.75" hidden="false" customHeight="false" outlineLevel="0" collapsed="false">
      <c r="A431" s="70"/>
      <c r="B431" s="684"/>
      <c r="C431" s="684"/>
      <c r="D431" s="684"/>
      <c r="E431" s="684"/>
      <c r="F431" s="701"/>
      <c r="G431" s="701"/>
      <c r="H431" s="701"/>
      <c r="I431" s="701"/>
      <c r="J431" s="701"/>
      <c r="K431" s="701"/>
      <c r="L431" s="701"/>
      <c r="M431" s="701"/>
      <c r="N431" s="701"/>
      <c r="O431" s="701"/>
      <c r="P431" s="701"/>
      <c r="Q431" s="701"/>
      <c r="R431" s="701"/>
      <c r="S431" s="701"/>
      <c r="T431" s="701"/>
      <c r="U431" s="701"/>
      <c r="V431" s="701"/>
      <c r="W431" s="701"/>
      <c r="X431" s="701"/>
      <c r="Y431" s="701"/>
      <c r="Z431" s="701"/>
    </row>
    <row r="432" customFormat="false" ht="12.75" hidden="false" customHeight="false" outlineLevel="0" collapsed="false">
      <c r="A432" s="70"/>
      <c r="B432" s="684"/>
      <c r="C432" s="684"/>
      <c r="D432" s="684"/>
      <c r="E432" s="684"/>
      <c r="F432" s="701"/>
      <c r="G432" s="701"/>
      <c r="H432" s="701"/>
      <c r="I432" s="701"/>
      <c r="J432" s="701"/>
      <c r="K432" s="701"/>
      <c r="L432" s="701"/>
      <c r="M432" s="701"/>
      <c r="N432" s="701"/>
      <c r="O432" s="701"/>
      <c r="P432" s="701"/>
      <c r="Q432" s="701"/>
      <c r="R432" s="701"/>
      <c r="S432" s="701"/>
      <c r="T432" s="701"/>
      <c r="U432" s="701"/>
      <c r="V432" s="701"/>
      <c r="W432" s="701"/>
      <c r="X432" s="701"/>
      <c r="Y432" s="701"/>
      <c r="Z432" s="701"/>
    </row>
    <row r="433" customFormat="false" ht="12.75" hidden="false" customHeight="false" outlineLevel="0" collapsed="false">
      <c r="A433" s="70"/>
      <c r="B433" s="684"/>
      <c r="C433" s="684"/>
      <c r="D433" s="684"/>
      <c r="E433" s="684"/>
      <c r="F433" s="701"/>
      <c r="G433" s="701"/>
      <c r="H433" s="701"/>
      <c r="I433" s="701"/>
      <c r="J433" s="701"/>
      <c r="K433" s="701"/>
      <c r="L433" s="701"/>
      <c r="M433" s="701"/>
      <c r="N433" s="701"/>
      <c r="O433" s="701"/>
      <c r="P433" s="701"/>
      <c r="Q433" s="701"/>
      <c r="R433" s="701"/>
      <c r="S433" s="701"/>
      <c r="T433" s="701"/>
      <c r="U433" s="701"/>
      <c r="V433" s="701"/>
      <c r="W433" s="701"/>
      <c r="X433" s="701"/>
      <c r="Y433" s="701"/>
      <c r="Z433" s="701"/>
    </row>
    <row r="434" customFormat="false" ht="12.75" hidden="false" customHeight="false" outlineLevel="0" collapsed="false">
      <c r="A434" s="70"/>
      <c r="B434" s="684"/>
      <c r="C434" s="684"/>
      <c r="D434" s="684"/>
      <c r="E434" s="684"/>
      <c r="F434" s="701"/>
      <c r="G434" s="701"/>
      <c r="H434" s="701"/>
      <c r="I434" s="701"/>
      <c r="J434" s="701"/>
      <c r="K434" s="701"/>
      <c r="L434" s="701"/>
      <c r="M434" s="701"/>
      <c r="N434" s="701"/>
      <c r="O434" s="701"/>
      <c r="P434" s="701"/>
      <c r="Q434" s="701"/>
      <c r="R434" s="701"/>
      <c r="S434" s="701"/>
      <c r="T434" s="701"/>
      <c r="U434" s="701"/>
      <c r="V434" s="701"/>
      <c r="W434" s="701"/>
      <c r="X434" s="701"/>
      <c r="Y434" s="701"/>
      <c r="Z434" s="701"/>
    </row>
    <row r="435" customFormat="false" ht="12.75" hidden="false" customHeight="false" outlineLevel="0" collapsed="false">
      <c r="A435" s="70"/>
      <c r="B435" s="684"/>
      <c r="C435" s="684"/>
      <c r="D435" s="684"/>
      <c r="E435" s="684"/>
      <c r="F435" s="701"/>
      <c r="G435" s="701"/>
      <c r="H435" s="701"/>
      <c r="I435" s="701"/>
      <c r="J435" s="701"/>
      <c r="K435" s="701"/>
      <c r="L435" s="701"/>
      <c r="M435" s="701"/>
      <c r="N435" s="701"/>
      <c r="O435" s="701"/>
      <c r="P435" s="701"/>
      <c r="Q435" s="701"/>
      <c r="R435" s="701"/>
      <c r="S435" s="701"/>
      <c r="T435" s="701"/>
      <c r="U435" s="701"/>
      <c r="V435" s="701"/>
      <c r="W435" s="701"/>
      <c r="X435" s="701"/>
      <c r="Y435" s="701"/>
      <c r="Z435" s="701"/>
    </row>
    <row r="436" customFormat="false" ht="12.75" hidden="false" customHeight="false" outlineLevel="0" collapsed="false">
      <c r="A436" s="70"/>
      <c r="B436" s="684"/>
      <c r="C436" s="684"/>
      <c r="D436" s="684"/>
      <c r="E436" s="684"/>
      <c r="F436" s="701"/>
      <c r="G436" s="701"/>
      <c r="H436" s="701"/>
      <c r="I436" s="701"/>
      <c r="J436" s="701"/>
      <c r="K436" s="701"/>
      <c r="L436" s="701"/>
      <c r="M436" s="701"/>
      <c r="N436" s="701"/>
      <c r="O436" s="701"/>
      <c r="P436" s="701"/>
      <c r="Q436" s="701"/>
      <c r="R436" s="701"/>
      <c r="S436" s="701"/>
      <c r="T436" s="701"/>
      <c r="U436" s="701"/>
      <c r="V436" s="701"/>
      <c r="W436" s="701"/>
      <c r="X436" s="701"/>
      <c r="Y436" s="701"/>
      <c r="Z436" s="701"/>
    </row>
    <row r="437" customFormat="false" ht="12.75" hidden="false" customHeight="false" outlineLevel="0" collapsed="false">
      <c r="A437" s="70"/>
      <c r="B437" s="684"/>
      <c r="C437" s="684"/>
      <c r="D437" s="684"/>
      <c r="E437" s="684"/>
      <c r="F437" s="701"/>
      <c r="G437" s="701"/>
      <c r="H437" s="701"/>
      <c r="I437" s="701"/>
      <c r="J437" s="701"/>
      <c r="K437" s="701"/>
      <c r="L437" s="701"/>
      <c r="M437" s="701"/>
      <c r="N437" s="701"/>
      <c r="O437" s="701"/>
      <c r="P437" s="701"/>
      <c r="Q437" s="701"/>
      <c r="R437" s="701"/>
      <c r="S437" s="701"/>
      <c r="T437" s="701"/>
      <c r="U437" s="701"/>
      <c r="V437" s="701"/>
      <c r="W437" s="701"/>
      <c r="X437" s="701"/>
      <c r="Y437" s="701"/>
      <c r="Z437" s="701"/>
    </row>
    <row r="438" customFormat="false" ht="12.75" hidden="false" customHeight="false" outlineLevel="0" collapsed="false">
      <c r="A438" s="70"/>
      <c r="B438" s="684"/>
      <c r="C438" s="684"/>
      <c r="D438" s="684"/>
      <c r="E438" s="684"/>
      <c r="F438" s="701"/>
      <c r="G438" s="701"/>
      <c r="H438" s="701"/>
      <c r="I438" s="701"/>
      <c r="J438" s="701"/>
      <c r="K438" s="701"/>
      <c r="L438" s="701"/>
      <c r="M438" s="701"/>
      <c r="N438" s="701"/>
      <c r="O438" s="701"/>
      <c r="P438" s="701"/>
      <c r="Q438" s="701"/>
      <c r="R438" s="701"/>
      <c r="S438" s="701"/>
      <c r="T438" s="70"/>
      <c r="U438" s="70"/>
      <c r="V438" s="70"/>
      <c r="W438" s="70"/>
      <c r="X438" s="70"/>
      <c r="Y438" s="70"/>
      <c r="Z438" s="70"/>
    </row>
    <row r="439" customFormat="false" ht="12.75" hidden="false" customHeight="false" outlineLevel="0" collapsed="false">
      <c r="A439" s="395"/>
      <c r="B439" s="684"/>
      <c r="C439" s="684"/>
      <c r="D439" s="684"/>
      <c r="E439" s="684"/>
      <c r="F439" s="701"/>
      <c r="G439" s="701"/>
      <c r="H439" s="701"/>
      <c r="I439" s="701"/>
      <c r="J439" s="701"/>
      <c r="K439" s="701"/>
      <c r="L439" s="701"/>
      <c r="M439" s="701"/>
      <c r="N439" s="701"/>
      <c r="O439" s="701"/>
      <c r="P439" s="701"/>
      <c r="Q439" s="701"/>
      <c r="R439" s="701"/>
      <c r="S439" s="701"/>
      <c r="T439" s="70"/>
      <c r="U439" s="70"/>
      <c r="V439" s="70"/>
      <c r="W439" s="70"/>
      <c r="X439" s="70"/>
      <c r="Y439" s="70"/>
      <c r="Z439" s="70"/>
    </row>
    <row r="440" customFormat="false" ht="12.75" hidden="false" customHeight="false" outlineLevel="0" collapsed="false">
      <c r="A440" s="395"/>
      <c r="B440" s="684"/>
      <c r="C440" s="684"/>
      <c r="D440" s="684"/>
      <c r="E440" s="684"/>
      <c r="F440" s="701"/>
      <c r="G440" s="701"/>
      <c r="H440" s="701"/>
      <c r="I440" s="701"/>
      <c r="J440" s="701"/>
      <c r="K440" s="701"/>
      <c r="L440" s="701"/>
      <c r="M440" s="701"/>
      <c r="N440" s="701"/>
      <c r="O440" s="701"/>
      <c r="P440" s="701"/>
      <c r="Q440" s="701"/>
      <c r="R440" s="701"/>
      <c r="S440" s="701"/>
      <c r="T440" s="70"/>
      <c r="U440" s="70"/>
      <c r="V440" s="70"/>
      <c r="W440" s="70"/>
      <c r="X440" s="70"/>
      <c r="Y440" s="70"/>
      <c r="Z440" s="70"/>
    </row>
    <row r="441" customFormat="false" ht="12.75" hidden="false" customHeight="false" outlineLevel="0" collapsed="false">
      <c r="A441" s="395"/>
      <c r="B441" s="684"/>
      <c r="C441" s="684"/>
      <c r="D441" s="684"/>
      <c r="E441" s="684"/>
      <c r="F441" s="701"/>
      <c r="G441" s="701"/>
      <c r="H441" s="701"/>
      <c r="I441" s="701"/>
      <c r="J441" s="701"/>
      <c r="K441" s="701"/>
      <c r="L441" s="701"/>
      <c r="M441" s="701"/>
      <c r="N441" s="701"/>
      <c r="O441" s="701"/>
      <c r="P441" s="701"/>
      <c r="Q441" s="701"/>
      <c r="R441" s="701"/>
      <c r="S441" s="701"/>
      <c r="T441" s="70"/>
      <c r="U441" s="70"/>
      <c r="V441" s="70"/>
      <c r="W441" s="70"/>
      <c r="X441" s="70"/>
      <c r="Y441" s="70"/>
      <c r="Z441" s="70"/>
    </row>
    <row r="442" customFormat="false" ht="12.75" hidden="false" customHeight="false" outlineLevel="0" collapsed="false">
      <c r="A442" s="395"/>
      <c r="B442" s="684"/>
      <c r="C442" s="684"/>
      <c r="D442" s="684"/>
      <c r="E442" s="684"/>
      <c r="F442" s="701"/>
      <c r="G442" s="701"/>
      <c r="H442" s="701"/>
      <c r="I442" s="701"/>
      <c r="J442" s="701"/>
      <c r="K442" s="701"/>
      <c r="L442" s="701"/>
      <c r="M442" s="701"/>
      <c r="N442" s="701"/>
      <c r="O442" s="701"/>
      <c r="P442" s="701"/>
      <c r="Q442" s="701"/>
      <c r="R442" s="701"/>
      <c r="S442" s="701"/>
      <c r="T442" s="70"/>
      <c r="U442" s="70"/>
      <c r="V442" s="70"/>
      <c r="W442" s="70"/>
      <c r="X442" s="70"/>
      <c r="Y442" s="70"/>
      <c r="Z442" s="70"/>
    </row>
    <row r="443" customFormat="false" ht="12.75" hidden="false" customHeight="false" outlineLevel="0" collapsed="false">
      <c r="A443" s="395"/>
      <c r="B443" s="684"/>
      <c r="C443" s="684"/>
      <c r="D443" s="684"/>
      <c r="E443" s="684"/>
      <c r="F443" s="702"/>
      <c r="G443" s="702"/>
      <c r="H443" s="102"/>
      <c r="I443" s="102"/>
      <c r="J443" s="102"/>
      <c r="K443" s="102"/>
      <c r="L443" s="102"/>
      <c r="M443" s="102"/>
      <c r="N443" s="102"/>
      <c r="O443" s="102"/>
      <c r="P443" s="102"/>
      <c r="Q443" s="102"/>
      <c r="R443" s="102"/>
      <c r="S443" s="102"/>
      <c r="T443" s="70"/>
      <c r="U443" s="70"/>
      <c r="V443" s="70"/>
      <c r="W443" s="70"/>
      <c r="X443" s="70"/>
      <c r="Y443" s="70"/>
      <c r="Z443" s="70"/>
    </row>
    <row r="444" customFormat="false" ht="12.75" hidden="false" customHeight="false" outlineLevel="0" collapsed="false">
      <c r="A444" s="70"/>
      <c r="B444" s="70"/>
      <c r="C444" s="70"/>
      <c r="D444" s="70"/>
      <c r="E444" s="70"/>
      <c r="F444" s="70"/>
      <c r="G444" s="70"/>
      <c r="H444" s="70"/>
      <c r="I444" s="70"/>
      <c r="J444" s="70"/>
      <c r="K444" s="70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  <c r="Y444" s="70"/>
      <c r="Z444" s="70"/>
    </row>
    <row r="445" customFormat="false" ht="18.75" hidden="false" customHeight="false" outlineLevel="0" collapsed="false">
      <c r="A445" s="682"/>
      <c r="B445" s="70"/>
      <c r="C445" s="70"/>
      <c r="D445" s="70"/>
      <c r="E445" s="70"/>
      <c r="F445" s="70"/>
      <c r="G445" s="70"/>
      <c r="H445" s="70"/>
      <c r="I445" s="70"/>
      <c r="J445" s="70"/>
      <c r="K445" s="70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  <c r="Y445" s="70"/>
      <c r="Z445" s="70"/>
    </row>
    <row r="446" customFormat="false" ht="12.75" hidden="false" customHeight="false" outlineLevel="0" collapsed="false">
      <c r="A446" s="395"/>
      <c r="B446" s="70"/>
      <c r="C446" s="70"/>
      <c r="D446" s="70"/>
      <c r="E446" s="70"/>
      <c r="F446" s="70"/>
      <c r="G446" s="70"/>
      <c r="H446" s="70"/>
      <c r="I446" s="70"/>
      <c r="J446" s="70"/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  <c r="Z446" s="70"/>
    </row>
    <row r="447" customFormat="false" ht="12.75" hidden="false" customHeight="false" outlineLevel="0" collapsed="false">
      <c r="A447" s="70"/>
      <c r="B447" s="70"/>
      <c r="C447" s="70"/>
      <c r="D447" s="70"/>
      <c r="E447" s="70"/>
      <c r="F447" s="70"/>
      <c r="G447" s="70"/>
      <c r="H447" s="70"/>
      <c r="I447" s="70"/>
      <c r="J447" s="70"/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  <c r="Z447" s="70"/>
    </row>
    <row r="448" customFormat="false" ht="12.75" hidden="false" customHeight="false" outlineLevel="0" collapsed="false">
      <c r="A448" s="70"/>
      <c r="B448" s="70"/>
      <c r="C448" s="70"/>
      <c r="D448" s="70"/>
      <c r="E448" s="70"/>
      <c r="F448" s="70"/>
      <c r="G448" s="70"/>
      <c r="H448" s="70"/>
      <c r="I448" s="70"/>
      <c r="J448" s="70"/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  <c r="Z448" s="70"/>
    </row>
    <row r="449" customFormat="false" ht="12.75" hidden="false" customHeight="false" outlineLevel="0" collapsed="false">
      <c r="A449" s="322"/>
      <c r="B449" s="321"/>
      <c r="C449" s="321"/>
      <c r="D449" s="321"/>
      <c r="E449" s="321"/>
      <c r="F449" s="321"/>
      <c r="G449" s="321"/>
      <c r="H449" s="321"/>
      <c r="I449" s="321"/>
      <c r="J449" s="321"/>
      <c r="K449" s="321"/>
      <c r="L449" s="321"/>
      <c r="M449" s="321"/>
      <c r="N449" s="321"/>
      <c r="O449" s="321"/>
      <c r="P449" s="321"/>
      <c r="Q449" s="321"/>
      <c r="R449" s="321"/>
      <c r="S449" s="321"/>
      <c r="T449" s="321"/>
      <c r="U449" s="321"/>
      <c r="V449" s="321"/>
      <c r="W449" s="321"/>
      <c r="X449" s="321"/>
      <c r="Y449" s="321"/>
      <c r="Z449" s="321"/>
    </row>
    <row r="450" customFormat="false" ht="12.75" hidden="false" customHeight="false" outlineLevel="0" collapsed="false">
      <c r="A450" s="70"/>
      <c r="B450" s="70"/>
      <c r="C450" s="70"/>
      <c r="D450" s="70"/>
      <c r="E450" s="70"/>
      <c r="F450" s="70"/>
      <c r="G450" s="70"/>
      <c r="H450" s="674"/>
      <c r="I450" s="70"/>
      <c r="J450" s="70"/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  <c r="Z450" s="70"/>
    </row>
    <row r="451" customFormat="false" ht="12.75" hidden="false" customHeight="false" outlineLevel="0" collapsed="false">
      <c r="A451" s="395"/>
      <c r="B451" s="70"/>
      <c r="C451" s="70"/>
      <c r="D451" s="70"/>
      <c r="E451" s="70"/>
      <c r="F451" s="70"/>
      <c r="G451" s="70"/>
      <c r="H451" s="674"/>
      <c r="I451" s="686"/>
      <c r="J451" s="686"/>
      <c r="K451" s="686"/>
      <c r="L451" s="686"/>
      <c r="M451" s="686"/>
      <c r="N451" s="686"/>
      <c r="O451" s="686"/>
      <c r="P451" s="686"/>
      <c r="Q451" s="686"/>
      <c r="R451" s="686"/>
      <c r="S451" s="686"/>
      <c r="T451" s="70"/>
      <c r="U451" s="70"/>
      <c r="V451" s="70"/>
      <c r="W451" s="70"/>
      <c r="X451" s="70"/>
      <c r="Y451" s="70"/>
      <c r="Z451" s="70"/>
    </row>
    <row r="452" customFormat="false" ht="12.75" hidden="false" customHeight="false" outlineLevel="0" collapsed="false">
      <c r="A452" s="70"/>
      <c r="B452" s="70"/>
      <c r="C452" s="70"/>
      <c r="D452" s="70"/>
      <c r="E452" s="70"/>
      <c r="F452" s="70"/>
      <c r="G452" s="70"/>
      <c r="H452" s="674"/>
      <c r="I452" s="674"/>
      <c r="J452" s="674"/>
      <c r="K452" s="674"/>
      <c r="L452" s="674"/>
      <c r="M452" s="674"/>
      <c r="N452" s="674"/>
      <c r="O452" s="674"/>
      <c r="P452" s="674"/>
      <c r="Q452" s="674"/>
      <c r="R452" s="674"/>
      <c r="S452" s="674"/>
      <c r="T452" s="70"/>
      <c r="U452" s="70"/>
      <c r="V452" s="70"/>
      <c r="W452" s="70"/>
      <c r="X452" s="70"/>
      <c r="Y452" s="70"/>
      <c r="Z452" s="70"/>
    </row>
    <row r="453" customFormat="false" ht="12.75" hidden="false" customHeight="false" outlineLevel="0" collapsed="false">
      <c r="A453" s="70"/>
      <c r="B453" s="70"/>
      <c r="C453" s="70"/>
      <c r="D453" s="70"/>
      <c r="E453" s="70"/>
      <c r="F453" s="70"/>
      <c r="G453" s="70"/>
      <c r="H453" s="674"/>
      <c r="I453" s="686"/>
      <c r="J453" s="686"/>
      <c r="K453" s="686"/>
      <c r="L453" s="686"/>
      <c r="M453" s="686"/>
      <c r="N453" s="686"/>
      <c r="O453" s="686"/>
      <c r="P453" s="686"/>
      <c r="Q453" s="686"/>
      <c r="R453" s="686"/>
      <c r="S453" s="686"/>
      <c r="T453" s="70"/>
      <c r="U453" s="70"/>
      <c r="V453" s="70"/>
      <c r="W453" s="70"/>
      <c r="X453" s="70"/>
      <c r="Y453" s="70"/>
      <c r="Z453" s="70"/>
    </row>
    <row r="454" customFormat="false" ht="12.75" hidden="false" customHeight="false" outlineLevel="0" collapsed="false">
      <c r="A454" s="70"/>
      <c r="B454" s="70"/>
      <c r="C454" s="70"/>
      <c r="D454" s="70"/>
      <c r="E454" s="70"/>
      <c r="F454" s="70"/>
      <c r="G454" s="70"/>
      <c r="H454" s="674"/>
      <c r="I454" s="674"/>
      <c r="J454" s="674"/>
      <c r="K454" s="674"/>
      <c r="L454" s="674"/>
      <c r="M454" s="674"/>
      <c r="N454" s="674"/>
      <c r="O454" s="674"/>
      <c r="P454" s="674"/>
      <c r="Q454" s="674"/>
      <c r="R454" s="674"/>
      <c r="S454" s="674"/>
      <c r="T454" s="70"/>
      <c r="U454" s="70"/>
      <c r="V454" s="70"/>
      <c r="W454" s="70"/>
      <c r="X454" s="70"/>
      <c r="Y454" s="70"/>
      <c r="Z454" s="70"/>
    </row>
    <row r="455" customFormat="false" ht="12.75" hidden="false" customHeight="false" outlineLevel="0" collapsed="false">
      <c r="A455" s="70"/>
      <c r="B455" s="70"/>
      <c r="C455" s="70"/>
      <c r="D455" s="70"/>
      <c r="E455" s="70"/>
      <c r="F455" s="70"/>
      <c r="G455" s="70"/>
      <c r="H455" s="674"/>
      <c r="I455" s="674"/>
      <c r="J455" s="674"/>
      <c r="K455" s="674"/>
      <c r="L455" s="674"/>
      <c r="M455" s="674"/>
      <c r="N455" s="674"/>
      <c r="O455" s="674"/>
      <c r="P455" s="674"/>
      <c r="Q455" s="674"/>
      <c r="R455" s="674"/>
      <c r="S455" s="674"/>
      <c r="T455" s="70"/>
      <c r="U455" s="70"/>
      <c r="V455" s="70"/>
      <c r="W455" s="70"/>
      <c r="X455" s="70"/>
      <c r="Y455" s="70"/>
      <c r="Z455" s="70"/>
    </row>
    <row r="456" customFormat="false" ht="12.75" hidden="false" customHeight="false" outlineLevel="0" collapsed="false">
      <c r="A456" s="695"/>
      <c r="B456" s="70"/>
      <c r="C456" s="70"/>
      <c r="D456" s="70"/>
      <c r="E456" s="70"/>
      <c r="F456" s="70"/>
      <c r="G456" s="70"/>
      <c r="H456" s="674"/>
      <c r="I456" s="102"/>
      <c r="J456" s="102"/>
      <c r="K456" s="102"/>
      <c r="L456" s="102"/>
      <c r="M456" s="102"/>
      <c r="N456" s="102"/>
      <c r="O456" s="102"/>
      <c r="P456" s="102"/>
      <c r="Q456" s="102"/>
      <c r="R456" s="102"/>
      <c r="S456" s="102"/>
      <c r="T456" s="70"/>
      <c r="U456" s="70"/>
      <c r="V456" s="70"/>
      <c r="W456" s="70"/>
      <c r="X456" s="70"/>
      <c r="Y456" s="70"/>
      <c r="Z456" s="70"/>
    </row>
    <row r="457" customFormat="false" ht="12.75" hidden="false" customHeight="false" outlineLevel="0" collapsed="false">
      <c r="A457" s="695"/>
      <c r="B457" s="70"/>
      <c r="C457" s="70"/>
      <c r="D457" s="70"/>
      <c r="E457" s="70"/>
      <c r="F457" s="70"/>
      <c r="G457" s="70"/>
      <c r="H457" s="674"/>
      <c r="I457" s="102"/>
      <c r="J457" s="102"/>
      <c r="K457" s="102"/>
      <c r="L457" s="102"/>
      <c r="M457" s="102"/>
      <c r="N457" s="102"/>
      <c r="O457" s="102"/>
      <c r="P457" s="102"/>
      <c r="Q457" s="102"/>
      <c r="R457" s="102"/>
      <c r="S457" s="102"/>
      <c r="T457" s="70"/>
      <c r="U457" s="70"/>
      <c r="V457" s="70"/>
      <c r="W457" s="70"/>
      <c r="X457" s="70"/>
      <c r="Y457" s="70"/>
      <c r="Z457" s="70"/>
    </row>
    <row r="458" customFormat="false" ht="12.75" hidden="false" customHeight="false" outlineLevel="0" collapsed="false">
      <c r="A458" s="395"/>
      <c r="B458" s="70"/>
      <c r="C458" s="70"/>
      <c r="D458" s="70"/>
      <c r="E458" s="70"/>
      <c r="F458" s="70"/>
      <c r="G458" s="70"/>
      <c r="H458" s="674"/>
      <c r="I458" s="70"/>
      <c r="J458" s="70"/>
      <c r="K458" s="70"/>
      <c r="L458" s="70"/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70"/>
      <c r="X458" s="70"/>
      <c r="Y458" s="70"/>
      <c r="Z458" s="70"/>
    </row>
    <row r="459" customFormat="false" ht="12.75" hidden="false" customHeight="false" outlineLevel="0" collapsed="false">
      <c r="A459" s="70"/>
      <c r="B459" s="70"/>
      <c r="C459" s="70"/>
      <c r="D459" s="70"/>
      <c r="E459" s="702"/>
      <c r="F459" s="702"/>
      <c r="G459" s="702"/>
      <c r="H459" s="703"/>
      <c r="I459" s="703"/>
      <c r="J459" s="703"/>
      <c r="K459" s="703"/>
      <c r="L459" s="703"/>
      <c r="M459" s="703"/>
      <c r="N459" s="703"/>
      <c r="O459" s="703"/>
      <c r="P459" s="703"/>
      <c r="Q459" s="703"/>
      <c r="R459" s="703"/>
      <c r="S459" s="703"/>
      <c r="T459" s="70"/>
      <c r="U459" s="70"/>
      <c r="V459" s="70"/>
      <c r="W459" s="70"/>
      <c r="X459" s="70"/>
      <c r="Y459" s="70"/>
      <c r="Z459" s="70"/>
    </row>
    <row r="460" customFormat="false" ht="12.75" hidden="false" customHeight="false" outlineLevel="0" collapsed="false">
      <c r="A460" s="70"/>
      <c r="B460" s="70"/>
      <c r="C460" s="70"/>
      <c r="D460" s="70"/>
      <c r="E460" s="70"/>
      <c r="F460" s="70"/>
      <c r="G460" s="70"/>
      <c r="H460" s="674"/>
      <c r="I460" s="70"/>
      <c r="J460" s="70"/>
      <c r="K460" s="70"/>
      <c r="L460" s="70"/>
      <c r="M460" s="70"/>
      <c r="N460" s="70"/>
      <c r="O460" s="70"/>
      <c r="P460" s="70"/>
      <c r="Q460" s="70"/>
      <c r="R460" s="70"/>
      <c r="S460" s="70"/>
      <c r="T460" s="70"/>
      <c r="U460" s="70"/>
      <c r="V460" s="70"/>
      <c r="W460" s="70"/>
      <c r="X460" s="70"/>
      <c r="Y460" s="70"/>
      <c r="Z460" s="70"/>
    </row>
    <row r="461" customFormat="false" ht="12.75" hidden="false" customHeight="false" outlineLevel="0" collapsed="false">
      <c r="A461" s="395"/>
      <c r="B461" s="70"/>
      <c r="C461" s="70"/>
      <c r="D461" s="70"/>
      <c r="E461" s="70"/>
      <c r="F461" s="70"/>
      <c r="G461" s="70"/>
      <c r="H461" s="674"/>
      <c r="I461" s="399"/>
      <c r="J461" s="399"/>
      <c r="K461" s="399"/>
      <c r="L461" s="399"/>
      <c r="M461" s="399"/>
      <c r="N461" s="399"/>
      <c r="O461" s="399"/>
      <c r="P461" s="399"/>
      <c r="Q461" s="399"/>
      <c r="R461" s="399"/>
      <c r="S461" s="399"/>
      <c r="T461" s="70"/>
      <c r="U461" s="70"/>
      <c r="V461" s="70"/>
      <c r="W461" s="70"/>
      <c r="X461" s="70"/>
      <c r="Y461" s="70"/>
      <c r="Z461" s="70"/>
    </row>
    <row r="462" customFormat="false" ht="12.75" hidden="false" customHeight="false" outlineLevel="0" collapsed="false">
      <c r="A462" s="70"/>
      <c r="B462" s="704"/>
      <c r="C462" s="704"/>
      <c r="D462" s="704"/>
      <c r="E462" s="70"/>
      <c r="F462" s="70"/>
      <c r="G462" s="70"/>
      <c r="H462" s="674"/>
      <c r="I462" s="102"/>
      <c r="J462" s="102"/>
      <c r="K462" s="102"/>
      <c r="L462" s="102"/>
      <c r="M462" s="102"/>
      <c r="N462" s="102"/>
      <c r="O462" s="102"/>
      <c r="P462" s="102"/>
      <c r="Q462" s="102"/>
      <c r="R462" s="102"/>
      <c r="S462" s="102"/>
      <c r="T462" s="70"/>
      <c r="U462" s="70"/>
      <c r="V462" s="70"/>
      <c r="W462" s="70"/>
      <c r="X462" s="70"/>
      <c r="Y462" s="70"/>
      <c r="Z462" s="70"/>
    </row>
    <row r="463" customFormat="false" ht="12.75" hidden="false" customHeight="false" outlineLevel="0" collapsed="false">
      <c r="A463" s="395"/>
      <c r="B463" s="70"/>
      <c r="C463" s="70"/>
      <c r="D463" s="70"/>
      <c r="E463" s="70"/>
      <c r="F463" s="70"/>
      <c r="G463" s="70"/>
      <c r="H463" s="674"/>
      <c r="I463" s="102"/>
      <c r="J463" s="102"/>
      <c r="K463" s="102"/>
      <c r="L463" s="102"/>
      <c r="M463" s="102"/>
      <c r="N463" s="102"/>
      <c r="O463" s="102"/>
      <c r="P463" s="102"/>
      <c r="Q463" s="102"/>
      <c r="R463" s="102"/>
      <c r="S463" s="102"/>
      <c r="T463" s="70"/>
      <c r="U463" s="70"/>
      <c r="V463" s="70"/>
      <c r="W463" s="70"/>
      <c r="X463" s="70"/>
      <c r="Y463" s="70"/>
      <c r="Z463" s="70"/>
    </row>
    <row r="464" customFormat="false" ht="12.75" hidden="false" customHeight="false" outlineLevel="0" collapsed="false">
      <c r="A464" s="70"/>
      <c r="B464" s="70"/>
      <c r="C464" s="70"/>
      <c r="D464" s="70"/>
      <c r="E464" s="70"/>
      <c r="F464" s="70"/>
      <c r="G464" s="70"/>
      <c r="H464" s="70"/>
      <c r="I464" s="70"/>
      <c r="J464" s="70"/>
      <c r="K464" s="70"/>
      <c r="L464" s="70"/>
      <c r="M464" s="70"/>
      <c r="N464" s="70"/>
      <c r="O464" s="70"/>
      <c r="P464" s="70"/>
      <c r="Q464" s="70"/>
      <c r="R464" s="70"/>
      <c r="S464" s="70"/>
      <c r="T464" s="70"/>
      <c r="U464" s="70"/>
      <c r="V464" s="70"/>
      <c r="W464" s="70"/>
      <c r="X464" s="70"/>
      <c r="Y464" s="70"/>
      <c r="Z464" s="70"/>
    </row>
    <row r="465" customFormat="false" ht="12.75" hidden="false" customHeight="false" outlineLevel="0" collapsed="false">
      <c r="A465" s="70"/>
      <c r="B465" s="70"/>
      <c r="C465" s="70"/>
      <c r="D465" s="70"/>
      <c r="E465" s="70"/>
      <c r="F465" s="70"/>
      <c r="G465" s="70"/>
      <c r="H465" s="70"/>
      <c r="I465" s="70"/>
      <c r="J465" s="70"/>
      <c r="K465" s="70"/>
      <c r="L465" s="70"/>
      <c r="M465" s="70"/>
      <c r="N465" s="70"/>
      <c r="O465" s="70"/>
      <c r="P465" s="70"/>
      <c r="Q465" s="70"/>
      <c r="R465" s="70"/>
      <c r="S465" s="70"/>
      <c r="T465" s="70"/>
      <c r="U465" s="70"/>
      <c r="V465" s="70"/>
      <c r="W465" s="70"/>
      <c r="X465" s="70"/>
      <c r="Y465" s="70"/>
      <c r="Z465" s="70"/>
    </row>
    <row r="466" customFormat="false" ht="18.75" hidden="false" customHeight="false" outlineLevel="0" collapsed="false">
      <c r="A466" s="705"/>
      <c r="B466" s="706"/>
      <c r="C466" s="706"/>
      <c r="D466" s="706"/>
      <c r="E466" s="706"/>
      <c r="F466" s="706"/>
      <c r="G466" s="706"/>
      <c r="H466" s="706"/>
      <c r="I466" s="707"/>
      <c r="J466" s="707"/>
      <c r="K466" s="707"/>
      <c r="L466" s="707"/>
      <c r="M466" s="707"/>
      <c r="N466" s="707"/>
      <c r="O466" s="707"/>
      <c r="P466" s="707"/>
      <c r="Q466" s="707"/>
      <c r="R466" s="707"/>
      <c r="S466" s="707"/>
      <c r="T466" s="707"/>
      <c r="U466" s="707"/>
      <c r="V466" s="707"/>
      <c r="W466" s="707"/>
      <c r="X466" s="707"/>
      <c r="Y466" s="707"/>
      <c r="Z466" s="707"/>
      <c r="AA466" s="707"/>
      <c r="AB466" s="707"/>
      <c r="AC466" s="707"/>
      <c r="AD466" s="707"/>
      <c r="AE466" s="707"/>
      <c r="AF466" s="707"/>
      <c r="AG466" s="707"/>
      <c r="AH466" s="707"/>
      <c r="AI466" s="707"/>
      <c r="AJ466" s="707"/>
      <c r="AK466" s="707"/>
      <c r="AL466" s="707"/>
      <c r="AM466" s="707"/>
      <c r="AN466" s="707"/>
      <c r="AO466" s="707"/>
      <c r="AP466" s="707"/>
      <c r="AQ466" s="707"/>
      <c r="AR466" s="707"/>
      <c r="AS466" s="707"/>
      <c r="AT466" s="707"/>
      <c r="AU466" s="707"/>
      <c r="AV466" s="707"/>
      <c r="AW466" s="707"/>
      <c r="AX466" s="707"/>
      <c r="AY466" s="707"/>
      <c r="AZ466" s="707"/>
      <c r="BA466" s="707"/>
      <c r="BB466" s="707"/>
      <c r="BC466" s="707"/>
      <c r="BD466" s="707"/>
      <c r="BE466" s="707"/>
      <c r="BF466" s="707"/>
      <c r="BG466" s="707"/>
      <c r="BH466" s="707"/>
      <c r="BI466" s="707"/>
      <c r="BJ466" s="707"/>
      <c r="BK466" s="707"/>
      <c r="BL466" s="707"/>
      <c r="BM466" s="707"/>
      <c r="BN466" s="707"/>
      <c r="BO466" s="707"/>
      <c r="BP466" s="707"/>
      <c r="BQ466" s="707"/>
      <c r="BR466" s="707"/>
      <c r="BS466" s="707"/>
      <c r="BT466" s="707"/>
      <c r="BU466" s="707"/>
      <c r="BV466" s="707"/>
      <c r="BW466" s="707"/>
      <c r="BX466" s="707"/>
      <c r="BY466" s="707"/>
      <c r="BZ466" s="707"/>
      <c r="CA466" s="707"/>
      <c r="CB466" s="707"/>
      <c r="CC466" s="707"/>
      <c r="CD466" s="707"/>
      <c r="CE466" s="707"/>
      <c r="CF466" s="707"/>
      <c r="CG466" s="707"/>
      <c r="CH466" s="707"/>
      <c r="CI466" s="707"/>
      <c r="CJ466" s="707"/>
      <c r="CK466" s="707"/>
      <c r="CL466" s="707"/>
      <c r="CM466" s="707"/>
      <c r="CN466" s="707"/>
      <c r="CO466" s="707"/>
      <c r="CP466" s="707"/>
      <c r="CQ466" s="707"/>
      <c r="CR466" s="707"/>
      <c r="CS466" s="707"/>
      <c r="CT466" s="707"/>
      <c r="CU466" s="707"/>
      <c r="CV466" s="707"/>
      <c r="CW466" s="707"/>
      <c r="CX466" s="707"/>
      <c r="CY466" s="707"/>
      <c r="CZ466" s="707"/>
      <c r="DA466" s="707"/>
      <c r="DB466" s="707"/>
      <c r="DC466" s="707"/>
      <c r="DD466" s="707"/>
      <c r="DE466" s="707"/>
      <c r="DF466" s="707"/>
      <c r="DG466" s="707"/>
      <c r="DH466" s="707"/>
      <c r="DI466" s="707"/>
      <c r="DJ466" s="707"/>
      <c r="DK466" s="707"/>
      <c r="DL466" s="707"/>
      <c r="DM466" s="707"/>
      <c r="DN466" s="707"/>
      <c r="DO466" s="707"/>
      <c r="DP466" s="707"/>
      <c r="DQ466" s="707"/>
      <c r="DR466" s="707"/>
      <c r="DS466" s="707"/>
      <c r="DT466" s="707"/>
      <c r="DU466" s="707"/>
      <c r="DV466" s="707"/>
      <c r="DW466" s="707"/>
      <c r="DX466" s="707"/>
      <c r="DY466" s="707"/>
      <c r="DZ466" s="707"/>
      <c r="EA466" s="707"/>
      <c r="EB466" s="707"/>
      <c r="EC466" s="707"/>
      <c r="ED466" s="707"/>
      <c r="EE466" s="707"/>
      <c r="EF466" s="707"/>
      <c r="EG466" s="707"/>
      <c r="EH466" s="707"/>
      <c r="EI466" s="707"/>
      <c r="EJ466" s="707"/>
      <c r="EK466" s="707"/>
      <c r="EL466" s="707"/>
      <c r="EM466" s="707"/>
      <c r="EN466" s="707"/>
      <c r="EO466" s="707"/>
      <c r="EP466" s="707"/>
      <c r="EQ466" s="707"/>
      <c r="ER466" s="707"/>
      <c r="ES466" s="707"/>
      <c r="ET466" s="707"/>
      <c r="EU466" s="707"/>
      <c r="EV466" s="707"/>
      <c r="EW466" s="707"/>
      <c r="EX466" s="707"/>
      <c r="EY466" s="707"/>
      <c r="EZ466" s="707"/>
      <c r="FA466" s="707"/>
      <c r="FB466" s="707"/>
      <c r="FC466" s="707"/>
      <c r="FD466" s="707"/>
      <c r="FE466" s="707"/>
      <c r="FF466" s="707"/>
      <c r="FG466" s="707"/>
      <c r="FH466" s="707"/>
      <c r="FI466" s="707"/>
      <c r="FJ466" s="707"/>
      <c r="FK466" s="707"/>
      <c r="FL466" s="707"/>
      <c r="FM466" s="707"/>
      <c r="FN466" s="707"/>
      <c r="FO466" s="707"/>
      <c r="FP466" s="707"/>
      <c r="FQ466" s="707"/>
      <c r="FR466" s="707"/>
      <c r="FS466" s="707"/>
      <c r="FT466" s="707"/>
      <c r="FU466" s="707"/>
      <c r="FV466" s="707"/>
      <c r="FW466" s="707"/>
      <c r="FX466" s="707"/>
      <c r="FY466" s="707"/>
      <c r="FZ466" s="707"/>
      <c r="GA466" s="707"/>
      <c r="GB466" s="707"/>
      <c r="GC466" s="707"/>
      <c r="GD466" s="707"/>
      <c r="GE466" s="707"/>
      <c r="GF466" s="707"/>
      <c r="GG466" s="707"/>
      <c r="GH466" s="707"/>
      <c r="GI466" s="707"/>
      <c r="GJ466" s="707"/>
      <c r="GK466" s="707"/>
      <c r="GL466" s="707"/>
      <c r="GM466" s="707"/>
      <c r="GN466" s="707"/>
      <c r="GO466" s="707"/>
      <c r="GP466" s="707"/>
      <c r="GQ466" s="707"/>
      <c r="GR466" s="707"/>
      <c r="GS466" s="707"/>
      <c r="GT466" s="707"/>
      <c r="GU466" s="707"/>
      <c r="GV466" s="707"/>
      <c r="GW466" s="707"/>
      <c r="GX466" s="707"/>
      <c r="GY466" s="707"/>
      <c r="GZ466" s="707"/>
      <c r="HA466" s="707"/>
      <c r="HB466" s="707"/>
      <c r="HC466" s="707"/>
      <c r="HD466" s="707"/>
      <c r="HE466" s="707"/>
      <c r="HF466" s="707"/>
      <c r="HG466" s="707"/>
      <c r="HH466" s="707"/>
      <c r="HI466" s="707"/>
      <c r="HJ466" s="707"/>
      <c r="HK466" s="707"/>
      <c r="HL466" s="707"/>
      <c r="HM466" s="707"/>
      <c r="HN466" s="707"/>
      <c r="HO466" s="707"/>
      <c r="HP466" s="707"/>
      <c r="HQ466" s="707"/>
      <c r="HR466" s="707"/>
      <c r="HS466" s="707"/>
      <c r="HT466" s="707"/>
      <c r="HU466" s="707"/>
      <c r="HV466" s="707"/>
      <c r="HW466" s="707"/>
      <c r="HX466" s="707"/>
      <c r="HY466" s="707"/>
      <c r="HZ466" s="707"/>
      <c r="IA466" s="707"/>
      <c r="IB466" s="707"/>
      <c r="IC466" s="707"/>
      <c r="ID466" s="707"/>
      <c r="IE466" s="707"/>
      <c r="IF466" s="707"/>
      <c r="IG466" s="707"/>
      <c r="IH466" s="707"/>
      <c r="II466" s="707"/>
      <c r="IJ466" s="707"/>
      <c r="IK466" s="707"/>
      <c r="IL466" s="707"/>
      <c r="IM466" s="707"/>
      <c r="IN466" s="707"/>
      <c r="IO466" s="707"/>
      <c r="IP466" s="707"/>
      <c r="IQ466" s="707"/>
      <c r="IR466" s="707"/>
      <c r="IS466" s="707"/>
      <c r="IT466" s="707"/>
      <c r="IU466" s="707"/>
      <c r="IV466" s="707"/>
      <c r="IW466" s="707"/>
    </row>
    <row r="467" customFormat="false" ht="12.75" hidden="false" customHeight="false" outlineLevel="0" collapsed="false">
      <c r="A467" s="706"/>
      <c r="B467" s="706"/>
      <c r="C467" s="706"/>
      <c r="D467" s="706"/>
      <c r="E467" s="706"/>
      <c r="F467" s="706"/>
      <c r="G467" s="708"/>
      <c r="H467" s="709"/>
      <c r="I467" s="706"/>
      <c r="J467" s="710"/>
      <c r="K467" s="707"/>
      <c r="L467" s="707"/>
      <c r="M467" s="707"/>
      <c r="N467" s="707"/>
      <c r="O467" s="707"/>
      <c r="P467" s="707"/>
      <c r="Q467" s="707"/>
      <c r="R467" s="707"/>
      <c r="S467" s="707"/>
      <c r="T467" s="707"/>
      <c r="U467" s="707"/>
      <c r="V467" s="707"/>
      <c r="W467" s="707"/>
      <c r="X467" s="707"/>
      <c r="Y467" s="707"/>
      <c r="Z467" s="707"/>
      <c r="AA467" s="707"/>
      <c r="AB467" s="707"/>
      <c r="AC467" s="707"/>
      <c r="AD467" s="707"/>
      <c r="AE467" s="707"/>
      <c r="AF467" s="707"/>
      <c r="AG467" s="707"/>
      <c r="AH467" s="707"/>
      <c r="AI467" s="707"/>
      <c r="AJ467" s="707"/>
      <c r="AK467" s="707"/>
      <c r="AL467" s="707"/>
      <c r="AM467" s="707"/>
      <c r="AN467" s="707"/>
      <c r="AO467" s="707"/>
      <c r="AP467" s="707"/>
      <c r="AQ467" s="707"/>
      <c r="AR467" s="707"/>
      <c r="AS467" s="707"/>
      <c r="AT467" s="707"/>
      <c r="AU467" s="707"/>
      <c r="AV467" s="707"/>
      <c r="AW467" s="707"/>
      <c r="AX467" s="707"/>
      <c r="AY467" s="707"/>
      <c r="AZ467" s="707"/>
      <c r="BA467" s="707"/>
      <c r="BB467" s="707"/>
      <c r="BC467" s="707"/>
      <c r="BD467" s="707"/>
      <c r="BE467" s="707"/>
      <c r="BF467" s="707"/>
      <c r="BG467" s="707"/>
      <c r="BH467" s="707"/>
      <c r="BI467" s="707"/>
      <c r="BJ467" s="707"/>
      <c r="BK467" s="707"/>
      <c r="BL467" s="707"/>
      <c r="BM467" s="707"/>
      <c r="BN467" s="707"/>
      <c r="BO467" s="707"/>
      <c r="BP467" s="707"/>
      <c r="BQ467" s="707"/>
      <c r="BR467" s="707"/>
      <c r="BS467" s="707"/>
      <c r="BT467" s="707"/>
      <c r="BU467" s="707"/>
      <c r="BV467" s="707"/>
      <c r="BW467" s="707"/>
      <c r="BX467" s="707"/>
      <c r="BY467" s="707"/>
      <c r="BZ467" s="707"/>
      <c r="CA467" s="707"/>
      <c r="CB467" s="707"/>
      <c r="CC467" s="707"/>
      <c r="CD467" s="707"/>
      <c r="CE467" s="707"/>
      <c r="CF467" s="707"/>
      <c r="CG467" s="707"/>
      <c r="CH467" s="707"/>
      <c r="CI467" s="707"/>
      <c r="CJ467" s="707"/>
      <c r="CK467" s="707"/>
      <c r="CL467" s="707"/>
      <c r="CM467" s="707"/>
      <c r="CN467" s="707"/>
      <c r="CO467" s="707"/>
      <c r="CP467" s="707"/>
      <c r="CQ467" s="707"/>
      <c r="CR467" s="707"/>
      <c r="CS467" s="707"/>
      <c r="CT467" s="707"/>
      <c r="CU467" s="707"/>
      <c r="CV467" s="707"/>
      <c r="CW467" s="707"/>
      <c r="CX467" s="707"/>
      <c r="CY467" s="707"/>
      <c r="CZ467" s="707"/>
      <c r="DA467" s="707"/>
      <c r="DB467" s="707"/>
      <c r="DC467" s="707"/>
      <c r="DD467" s="707"/>
      <c r="DE467" s="707"/>
      <c r="DF467" s="707"/>
      <c r="DG467" s="707"/>
      <c r="DH467" s="707"/>
      <c r="DI467" s="707"/>
      <c r="DJ467" s="707"/>
      <c r="DK467" s="707"/>
      <c r="DL467" s="707"/>
      <c r="DM467" s="707"/>
      <c r="DN467" s="707"/>
      <c r="DO467" s="707"/>
      <c r="DP467" s="707"/>
      <c r="DQ467" s="707"/>
      <c r="DR467" s="707"/>
      <c r="DS467" s="707"/>
      <c r="DT467" s="707"/>
      <c r="DU467" s="707"/>
      <c r="DV467" s="707"/>
      <c r="DW467" s="707"/>
      <c r="DX467" s="707"/>
      <c r="DY467" s="707"/>
      <c r="DZ467" s="707"/>
      <c r="EA467" s="707"/>
      <c r="EB467" s="707"/>
      <c r="EC467" s="707"/>
      <c r="ED467" s="707"/>
      <c r="EE467" s="707"/>
      <c r="EF467" s="707"/>
      <c r="EG467" s="707"/>
      <c r="EH467" s="707"/>
      <c r="EI467" s="707"/>
      <c r="EJ467" s="707"/>
      <c r="EK467" s="707"/>
      <c r="EL467" s="707"/>
      <c r="EM467" s="707"/>
      <c r="EN467" s="707"/>
      <c r="EO467" s="707"/>
      <c r="EP467" s="707"/>
      <c r="EQ467" s="707"/>
      <c r="ER467" s="707"/>
      <c r="ES467" s="707"/>
      <c r="ET467" s="707"/>
      <c r="EU467" s="707"/>
      <c r="EV467" s="707"/>
      <c r="EW467" s="707"/>
      <c r="EX467" s="707"/>
      <c r="EY467" s="707"/>
      <c r="EZ467" s="707"/>
      <c r="FA467" s="707"/>
      <c r="FB467" s="707"/>
      <c r="FC467" s="707"/>
      <c r="FD467" s="707"/>
      <c r="FE467" s="707"/>
      <c r="FF467" s="707"/>
      <c r="FG467" s="707"/>
      <c r="FH467" s="707"/>
      <c r="FI467" s="707"/>
      <c r="FJ467" s="707"/>
      <c r="FK467" s="707"/>
      <c r="FL467" s="707"/>
      <c r="FM467" s="707"/>
      <c r="FN467" s="707"/>
      <c r="FO467" s="707"/>
      <c r="FP467" s="707"/>
      <c r="FQ467" s="707"/>
      <c r="FR467" s="707"/>
      <c r="FS467" s="707"/>
      <c r="FT467" s="707"/>
      <c r="FU467" s="707"/>
      <c r="FV467" s="707"/>
      <c r="FW467" s="707"/>
      <c r="FX467" s="707"/>
      <c r="FY467" s="707"/>
      <c r="FZ467" s="707"/>
      <c r="GA467" s="707"/>
      <c r="GB467" s="707"/>
      <c r="GC467" s="707"/>
      <c r="GD467" s="707"/>
      <c r="GE467" s="707"/>
      <c r="GF467" s="707"/>
      <c r="GG467" s="707"/>
      <c r="GH467" s="707"/>
      <c r="GI467" s="707"/>
      <c r="GJ467" s="707"/>
      <c r="GK467" s="707"/>
      <c r="GL467" s="707"/>
      <c r="GM467" s="707"/>
      <c r="GN467" s="707"/>
      <c r="GO467" s="707"/>
      <c r="GP467" s="707"/>
      <c r="GQ467" s="707"/>
      <c r="GR467" s="707"/>
      <c r="GS467" s="707"/>
      <c r="GT467" s="707"/>
      <c r="GU467" s="707"/>
      <c r="GV467" s="707"/>
      <c r="GW467" s="707"/>
      <c r="GX467" s="707"/>
      <c r="GY467" s="707"/>
      <c r="GZ467" s="707"/>
      <c r="HA467" s="707"/>
      <c r="HB467" s="707"/>
      <c r="HC467" s="707"/>
      <c r="HD467" s="707"/>
      <c r="HE467" s="707"/>
      <c r="HF467" s="707"/>
      <c r="HG467" s="707"/>
      <c r="HH467" s="707"/>
      <c r="HI467" s="707"/>
      <c r="HJ467" s="707"/>
      <c r="HK467" s="707"/>
      <c r="HL467" s="707"/>
      <c r="HM467" s="707"/>
      <c r="HN467" s="707"/>
      <c r="HO467" s="707"/>
      <c r="HP467" s="707"/>
      <c r="HQ467" s="707"/>
      <c r="HR467" s="707"/>
      <c r="HS467" s="707"/>
      <c r="HT467" s="707"/>
      <c r="HU467" s="707"/>
      <c r="HV467" s="707"/>
      <c r="HW467" s="707"/>
      <c r="HX467" s="707"/>
      <c r="HY467" s="707"/>
      <c r="HZ467" s="707"/>
      <c r="IA467" s="707"/>
      <c r="IB467" s="707"/>
      <c r="IC467" s="707"/>
      <c r="ID467" s="707"/>
      <c r="IE467" s="707"/>
      <c r="IF467" s="707"/>
      <c r="IG467" s="707"/>
      <c r="IH467" s="707"/>
      <c r="II467" s="707"/>
      <c r="IJ467" s="707"/>
      <c r="IK467" s="707"/>
      <c r="IL467" s="707"/>
      <c r="IM467" s="707"/>
      <c r="IN467" s="707"/>
      <c r="IO467" s="707"/>
      <c r="IP467" s="707"/>
      <c r="IQ467" s="707"/>
      <c r="IR467" s="707"/>
      <c r="IS467" s="707"/>
      <c r="IT467" s="707"/>
      <c r="IU467" s="707"/>
      <c r="IV467" s="707"/>
      <c r="IW467" s="707"/>
    </row>
    <row r="468" customFormat="false" ht="12.75" hidden="false" customHeight="false" outlineLevel="0" collapsed="false">
      <c r="A468" s="706"/>
      <c r="B468" s="709"/>
      <c r="C468" s="709"/>
      <c r="D468" s="709"/>
      <c r="E468" s="709"/>
      <c r="F468" s="709"/>
      <c r="G468" s="711"/>
      <c r="H468" s="688"/>
      <c r="I468" s="688"/>
      <c r="J468" s="710"/>
      <c r="K468" s="707"/>
      <c r="L468" s="707"/>
      <c r="M468" s="707"/>
      <c r="N468" s="707"/>
      <c r="O468" s="707"/>
      <c r="P468" s="707"/>
      <c r="Q468" s="707"/>
      <c r="R468" s="707"/>
      <c r="S468" s="707"/>
      <c r="T468" s="707"/>
      <c r="U468" s="707"/>
      <c r="V468" s="707"/>
      <c r="W468" s="707"/>
      <c r="X468" s="707"/>
      <c r="Y468" s="707"/>
      <c r="Z468" s="707"/>
      <c r="AA468" s="707"/>
      <c r="AB468" s="707"/>
      <c r="AC468" s="707"/>
      <c r="AD468" s="707"/>
      <c r="AE468" s="707"/>
      <c r="AF468" s="707"/>
      <c r="AG468" s="707"/>
      <c r="AH468" s="707"/>
      <c r="AI468" s="707"/>
      <c r="AJ468" s="707"/>
      <c r="AK468" s="707"/>
      <c r="AL468" s="707"/>
      <c r="AM468" s="707"/>
      <c r="AN468" s="707"/>
      <c r="AO468" s="707"/>
      <c r="AP468" s="707"/>
      <c r="AQ468" s="707"/>
      <c r="AR468" s="707"/>
      <c r="AS468" s="707"/>
      <c r="AT468" s="707"/>
      <c r="AU468" s="707"/>
      <c r="AV468" s="707"/>
      <c r="AW468" s="707"/>
      <c r="AX468" s="707"/>
      <c r="AY468" s="707"/>
      <c r="AZ468" s="707"/>
      <c r="BA468" s="707"/>
      <c r="BB468" s="707"/>
      <c r="BC468" s="707"/>
      <c r="BD468" s="707"/>
      <c r="BE468" s="707"/>
      <c r="BF468" s="707"/>
      <c r="BG468" s="707"/>
      <c r="BH468" s="707"/>
      <c r="BI468" s="707"/>
      <c r="BJ468" s="707"/>
      <c r="BK468" s="707"/>
      <c r="BL468" s="707"/>
      <c r="BM468" s="707"/>
      <c r="BN468" s="707"/>
      <c r="BO468" s="707"/>
      <c r="BP468" s="707"/>
      <c r="BQ468" s="707"/>
      <c r="BR468" s="707"/>
      <c r="BS468" s="707"/>
      <c r="BT468" s="707"/>
      <c r="BU468" s="707"/>
      <c r="BV468" s="707"/>
      <c r="BW468" s="707"/>
      <c r="BX468" s="707"/>
      <c r="BY468" s="707"/>
      <c r="BZ468" s="707"/>
      <c r="CA468" s="707"/>
      <c r="CB468" s="707"/>
      <c r="CC468" s="707"/>
      <c r="CD468" s="707"/>
      <c r="CE468" s="707"/>
      <c r="CF468" s="707"/>
      <c r="CG468" s="707"/>
      <c r="CH468" s="707"/>
      <c r="CI468" s="707"/>
      <c r="CJ468" s="707"/>
      <c r="CK468" s="707"/>
      <c r="CL468" s="707"/>
      <c r="CM468" s="707"/>
      <c r="CN468" s="707"/>
      <c r="CO468" s="707"/>
      <c r="CP468" s="707"/>
      <c r="CQ468" s="707"/>
      <c r="CR468" s="707"/>
      <c r="CS468" s="707"/>
      <c r="CT468" s="707"/>
      <c r="CU468" s="707"/>
      <c r="CV468" s="707"/>
      <c r="CW468" s="707"/>
      <c r="CX468" s="707"/>
      <c r="CY468" s="707"/>
      <c r="CZ468" s="707"/>
      <c r="DA468" s="707"/>
      <c r="DB468" s="707"/>
      <c r="DC468" s="707"/>
      <c r="DD468" s="707"/>
      <c r="DE468" s="707"/>
      <c r="DF468" s="707"/>
      <c r="DG468" s="707"/>
      <c r="DH468" s="707"/>
      <c r="DI468" s="707"/>
      <c r="DJ468" s="707"/>
      <c r="DK468" s="707"/>
      <c r="DL468" s="707"/>
      <c r="DM468" s="707"/>
      <c r="DN468" s="707"/>
      <c r="DO468" s="707"/>
      <c r="DP468" s="707"/>
      <c r="DQ468" s="707"/>
      <c r="DR468" s="707"/>
      <c r="DS468" s="707"/>
      <c r="DT468" s="707"/>
      <c r="DU468" s="707"/>
      <c r="DV468" s="707"/>
      <c r="DW468" s="707"/>
      <c r="DX468" s="707"/>
      <c r="DY468" s="707"/>
      <c r="DZ468" s="707"/>
      <c r="EA468" s="707"/>
      <c r="EB468" s="707"/>
      <c r="EC468" s="707"/>
      <c r="ED468" s="707"/>
      <c r="EE468" s="707"/>
      <c r="EF468" s="707"/>
      <c r="EG468" s="707"/>
      <c r="EH468" s="707"/>
      <c r="EI468" s="707"/>
      <c r="EJ468" s="707"/>
      <c r="EK468" s="707"/>
      <c r="EL468" s="707"/>
      <c r="EM468" s="707"/>
      <c r="EN468" s="707"/>
      <c r="EO468" s="707"/>
      <c r="EP468" s="707"/>
      <c r="EQ468" s="707"/>
      <c r="ER468" s="707"/>
      <c r="ES468" s="707"/>
      <c r="ET468" s="707"/>
      <c r="EU468" s="707"/>
      <c r="EV468" s="707"/>
      <c r="EW468" s="707"/>
      <c r="EX468" s="707"/>
      <c r="EY468" s="707"/>
      <c r="EZ468" s="707"/>
      <c r="FA468" s="707"/>
      <c r="FB468" s="707"/>
      <c r="FC468" s="707"/>
      <c r="FD468" s="707"/>
      <c r="FE468" s="707"/>
      <c r="FF468" s="707"/>
      <c r="FG468" s="707"/>
      <c r="FH468" s="707"/>
      <c r="FI468" s="707"/>
      <c r="FJ468" s="707"/>
      <c r="FK468" s="707"/>
      <c r="FL468" s="707"/>
      <c r="FM468" s="707"/>
      <c r="FN468" s="707"/>
      <c r="FO468" s="707"/>
      <c r="FP468" s="707"/>
      <c r="FQ468" s="707"/>
      <c r="FR468" s="707"/>
      <c r="FS468" s="707"/>
      <c r="FT468" s="707"/>
      <c r="FU468" s="707"/>
      <c r="FV468" s="707"/>
      <c r="FW468" s="707"/>
      <c r="FX468" s="707"/>
      <c r="FY468" s="707"/>
      <c r="FZ468" s="707"/>
      <c r="GA468" s="707"/>
      <c r="GB468" s="707"/>
      <c r="GC468" s="707"/>
      <c r="GD468" s="707"/>
      <c r="GE468" s="707"/>
      <c r="GF468" s="707"/>
      <c r="GG468" s="707"/>
      <c r="GH468" s="707"/>
      <c r="GI468" s="707"/>
      <c r="GJ468" s="707"/>
      <c r="GK468" s="707"/>
      <c r="GL468" s="707"/>
      <c r="GM468" s="707"/>
      <c r="GN468" s="707"/>
      <c r="GO468" s="707"/>
      <c r="GP468" s="707"/>
      <c r="GQ468" s="707"/>
      <c r="GR468" s="707"/>
      <c r="GS468" s="707"/>
      <c r="GT468" s="707"/>
      <c r="GU468" s="707"/>
      <c r="GV468" s="707"/>
      <c r="GW468" s="707"/>
      <c r="GX468" s="707"/>
      <c r="GY468" s="707"/>
      <c r="GZ468" s="707"/>
      <c r="HA468" s="707"/>
      <c r="HB468" s="707"/>
      <c r="HC468" s="707"/>
      <c r="HD468" s="707"/>
      <c r="HE468" s="707"/>
      <c r="HF468" s="707"/>
      <c r="HG468" s="707"/>
      <c r="HH468" s="707"/>
      <c r="HI468" s="707"/>
      <c r="HJ468" s="707"/>
      <c r="HK468" s="707"/>
      <c r="HL468" s="707"/>
      <c r="HM468" s="707"/>
      <c r="HN468" s="707"/>
      <c r="HO468" s="707"/>
      <c r="HP468" s="707"/>
      <c r="HQ468" s="707"/>
      <c r="HR468" s="707"/>
      <c r="HS468" s="707"/>
      <c r="HT468" s="707"/>
      <c r="HU468" s="707"/>
      <c r="HV468" s="707"/>
      <c r="HW468" s="707"/>
      <c r="HX468" s="707"/>
      <c r="HY468" s="707"/>
      <c r="HZ468" s="707"/>
      <c r="IA468" s="707"/>
      <c r="IB468" s="707"/>
      <c r="IC468" s="707"/>
      <c r="ID468" s="707"/>
      <c r="IE468" s="707"/>
      <c r="IF468" s="707"/>
      <c r="IG468" s="707"/>
      <c r="IH468" s="707"/>
      <c r="II468" s="707"/>
      <c r="IJ468" s="707"/>
      <c r="IK468" s="707"/>
      <c r="IL468" s="707"/>
      <c r="IM468" s="707"/>
      <c r="IN468" s="707"/>
      <c r="IO468" s="707"/>
      <c r="IP468" s="707"/>
      <c r="IQ468" s="707"/>
      <c r="IR468" s="707"/>
      <c r="IS468" s="707"/>
      <c r="IT468" s="707"/>
      <c r="IU468" s="707"/>
      <c r="IV468" s="707"/>
      <c r="IW468" s="707"/>
    </row>
    <row r="469" customFormat="false" ht="12.75" hidden="false" customHeight="false" outlineLevel="0" collapsed="false">
      <c r="A469" s="706"/>
      <c r="B469" s="688"/>
      <c r="C469" s="688"/>
      <c r="D469" s="688"/>
      <c r="E469" s="688"/>
      <c r="F469" s="688"/>
      <c r="G469" s="688"/>
      <c r="H469" s="710"/>
      <c r="I469" s="688"/>
      <c r="J469" s="711"/>
      <c r="K469" s="707"/>
      <c r="L469" s="707"/>
      <c r="M469" s="707"/>
      <c r="N469" s="707"/>
      <c r="O469" s="707"/>
      <c r="P469" s="707"/>
      <c r="Q469" s="707"/>
      <c r="R469" s="707"/>
      <c r="S469" s="707"/>
      <c r="T469" s="707"/>
      <c r="U469" s="707"/>
      <c r="V469" s="707"/>
      <c r="W469" s="707"/>
      <c r="X469" s="707"/>
      <c r="Y469" s="707"/>
      <c r="Z469" s="707"/>
      <c r="AA469" s="707"/>
      <c r="AB469" s="707"/>
      <c r="AC469" s="707"/>
      <c r="AD469" s="707"/>
      <c r="AE469" s="707"/>
      <c r="AF469" s="707"/>
      <c r="AG469" s="707"/>
      <c r="AH469" s="707"/>
      <c r="AI469" s="707"/>
      <c r="AJ469" s="707"/>
      <c r="AK469" s="707"/>
      <c r="AL469" s="707"/>
      <c r="AM469" s="707"/>
      <c r="AN469" s="707"/>
      <c r="AO469" s="707"/>
      <c r="AP469" s="707"/>
      <c r="AQ469" s="707"/>
      <c r="AR469" s="707"/>
      <c r="AS469" s="707"/>
      <c r="AT469" s="707"/>
      <c r="AU469" s="707"/>
      <c r="AV469" s="707"/>
      <c r="AW469" s="707"/>
      <c r="AX469" s="707"/>
      <c r="AY469" s="707"/>
      <c r="AZ469" s="707"/>
      <c r="BA469" s="707"/>
      <c r="BB469" s="707"/>
      <c r="BC469" s="707"/>
      <c r="BD469" s="707"/>
      <c r="BE469" s="707"/>
      <c r="BF469" s="707"/>
      <c r="BG469" s="707"/>
      <c r="BH469" s="707"/>
      <c r="BI469" s="707"/>
      <c r="BJ469" s="707"/>
      <c r="BK469" s="707"/>
      <c r="BL469" s="707"/>
      <c r="BM469" s="707"/>
      <c r="BN469" s="707"/>
      <c r="BO469" s="707"/>
      <c r="BP469" s="707"/>
      <c r="BQ469" s="707"/>
      <c r="BR469" s="707"/>
      <c r="BS469" s="707"/>
      <c r="BT469" s="707"/>
      <c r="BU469" s="707"/>
      <c r="BV469" s="707"/>
      <c r="BW469" s="707"/>
      <c r="BX469" s="707"/>
      <c r="BY469" s="707"/>
      <c r="BZ469" s="707"/>
      <c r="CA469" s="707"/>
      <c r="CB469" s="707"/>
      <c r="CC469" s="707"/>
      <c r="CD469" s="707"/>
      <c r="CE469" s="707"/>
      <c r="CF469" s="707"/>
      <c r="CG469" s="707"/>
      <c r="CH469" s="707"/>
      <c r="CI469" s="707"/>
      <c r="CJ469" s="707"/>
      <c r="CK469" s="707"/>
      <c r="CL469" s="707"/>
      <c r="CM469" s="707"/>
      <c r="CN469" s="707"/>
      <c r="CO469" s="707"/>
      <c r="CP469" s="707"/>
      <c r="CQ469" s="707"/>
      <c r="CR469" s="707"/>
      <c r="CS469" s="707"/>
      <c r="CT469" s="707"/>
      <c r="CU469" s="707"/>
      <c r="CV469" s="707"/>
      <c r="CW469" s="707"/>
      <c r="CX469" s="707"/>
      <c r="CY469" s="707"/>
      <c r="CZ469" s="707"/>
      <c r="DA469" s="707"/>
      <c r="DB469" s="707"/>
      <c r="DC469" s="707"/>
      <c r="DD469" s="707"/>
      <c r="DE469" s="707"/>
      <c r="DF469" s="707"/>
      <c r="DG469" s="707"/>
      <c r="DH469" s="707"/>
      <c r="DI469" s="707"/>
      <c r="DJ469" s="707"/>
      <c r="DK469" s="707"/>
      <c r="DL469" s="707"/>
      <c r="DM469" s="707"/>
      <c r="DN469" s="707"/>
      <c r="DO469" s="707"/>
      <c r="DP469" s="707"/>
      <c r="DQ469" s="707"/>
      <c r="DR469" s="707"/>
      <c r="DS469" s="707"/>
      <c r="DT469" s="707"/>
      <c r="DU469" s="707"/>
      <c r="DV469" s="707"/>
      <c r="DW469" s="707"/>
      <c r="DX469" s="707"/>
      <c r="DY469" s="707"/>
      <c r="DZ469" s="707"/>
      <c r="EA469" s="707"/>
      <c r="EB469" s="707"/>
      <c r="EC469" s="707"/>
      <c r="ED469" s="707"/>
      <c r="EE469" s="707"/>
      <c r="EF469" s="707"/>
      <c r="EG469" s="707"/>
      <c r="EH469" s="707"/>
      <c r="EI469" s="707"/>
      <c r="EJ469" s="707"/>
      <c r="EK469" s="707"/>
      <c r="EL469" s="707"/>
      <c r="EM469" s="707"/>
      <c r="EN469" s="707"/>
      <c r="EO469" s="707"/>
      <c r="EP469" s="707"/>
      <c r="EQ469" s="707"/>
      <c r="ER469" s="707"/>
      <c r="ES469" s="707"/>
      <c r="ET469" s="707"/>
      <c r="EU469" s="707"/>
      <c r="EV469" s="707"/>
      <c r="EW469" s="707"/>
      <c r="EX469" s="707"/>
      <c r="EY469" s="707"/>
      <c r="EZ469" s="707"/>
      <c r="FA469" s="707"/>
      <c r="FB469" s="707"/>
      <c r="FC469" s="707"/>
      <c r="FD469" s="707"/>
      <c r="FE469" s="707"/>
      <c r="FF469" s="707"/>
      <c r="FG469" s="707"/>
      <c r="FH469" s="707"/>
      <c r="FI469" s="707"/>
      <c r="FJ469" s="707"/>
      <c r="FK469" s="707"/>
      <c r="FL469" s="707"/>
      <c r="FM469" s="707"/>
      <c r="FN469" s="707"/>
      <c r="FO469" s="707"/>
      <c r="FP469" s="707"/>
      <c r="FQ469" s="707"/>
      <c r="FR469" s="707"/>
      <c r="FS469" s="707"/>
      <c r="FT469" s="707"/>
      <c r="FU469" s="707"/>
      <c r="FV469" s="707"/>
      <c r="FW469" s="707"/>
      <c r="FX469" s="707"/>
      <c r="FY469" s="707"/>
      <c r="FZ469" s="707"/>
      <c r="GA469" s="707"/>
      <c r="GB469" s="707"/>
      <c r="GC469" s="707"/>
      <c r="GD469" s="707"/>
      <c r="GE469" s="707"/>
      <c r="GF469" s="707"/>
      <c r="GG469" s="707"/>
      <c r="GH469" s="707"/>
      <c r="GI469" s="707"/>
      <c r="GJ469" s="707"/>
      <c r="GK469" s="707"/>
      <c r="GL469" s="707"/>
      <c r="GM469" s="707"/>
      <c r="GN469" s="707"/>
      <c r="GO469" s="707"/>
      <c r="GP469" s="707"/>
      <c r="GQ469" s="707"/>
      <c r="GR469" s="707"/>
      <c r="GS469" s="707"/>
      <c r="GT469" s="707"/>
      <c r="GU469" s="707"/>
      <c r="GV469" s="707"/>
      <c r="GW469" s="707"/>
      <c r="GX469" s="707"/>
      <c r="GY469" s="707"/>
      <c r="GZ469" s="707"/>
      <c r="HA469" s="707"/>
      <c r="HB469" s="707"/>
      <c r="HC469" s="707"/>
      <c r="HD469" s="707"/>
      <c r="HE469" s="707"/>
      <c r="HF469" s="707"/>
      <c r="HG469" s="707"/>
      <c r="HH469" s="707"/>
      <c r="HI469" s="707"/>
      <c r="HJ469" s="707"/>
      <c r="HK469" s="707"/>
      <c r="HL469" s="707"/>
      <c r="HM469" s="707"/>
      <c r="HN469" s="707"/>
      <c r="HO469" s="707"/>
      <c r="HP469" s="707"/>
      <c r="HQ469" s="707"/>
      <c r="HR469" s="707"/>
      <c r="HS469" s="707"/>
      <c r="HT469" s="707"/>
      <c r="HU469" s="707"/>
      <c r="HV469" s="707"/>
      <c r="HW469" s="707"/>
      <c r="HX469" s="707"/>
      <c r="HY469" s="707"/>
      <c r="HZ469" s="707"/>
      <c r="IA469" s="707"/>
      <c r="IB469" s="707"/>
      <c r="IC469" s="707"/>
      <c r="ID469" s="707"/>
      <c r="IE469" s="707"/>
      <c r="IF469" s="707"/>
      <c r="IG469" s="707"/>
      <c r="IH469" s="707"/>
      <c r="II469" s="707"/>
      <c r="IJ469" s="707"/>
      <c r="IK469" s="707"/>
      <c r="IL469" s="707"/>
      <c r="IM469" s="707"/>
      <c r="IN469" s="707"/>
      <c r="IO469" s="707"/>
      <c r="IP469" s="707"/>
      <c r="IQ469" s="707"/>
      <c r="IR469" s="707"/>
      <c r="IS469" s="707"/>
      <c r="IT469" s="707"/>
      <c r="IU469" s="707"/>
      <c r="IV469" s="707"/>
      <c r="IW469" s="707"/>
    </row>
    <row r="470" customFormat="false" ht="12.75" hidden="false" customHeight="false" outlineLevel="0" collapsed="false">
      <c r="A470" s="712"/>
      <c r="B470" s="708"/>
      <c r="C470" s="708"/>
      <c r="D470" s="708"/>
      <c r="E470" s="708"/>
      <c r="F470" s="708"/>
      <c r="G470" s="708"/>
      <c r="H470" s="708"/>
      <c r="I470" s="708"/>
      <c r="J470" s="708"/>
      <c r="K470" s="708"/>
      <c r="L470" s="708"/>
      <c r="M470" s="708"/>
      <c r="N470" s="708"/>
      <c r="O470" s="708"/>
      <c r="P470" s="708"/>
      <c r="Q470" s="708"/>
      <c r="R470" s="708"/>
      <c r="S470" s="708"/>
      <c r="T470" s="708"/>
      <c r="U470" s="708"/>
      <c r="V470" s="708"/>
      <c r="W470" s="708"/>
      <c r="X470" s="708"/>
      <c r="Y470" s="708"/>
      <c r="Z470" s="708"/>
      <c r="AA470" s="707"/>
      <c r="AB470" s="707"/>
      <c r="AC470" s="707"/>
      <c r="AD470" s="707"/>
      <c r="AE470" s="707"/>
      <c r="AF470" s="707"/>
      <c r="AG470" s="707"/>
      <c r="AH470" s="707"/>
      <c r="AI470" s="707"/>
      <c r="AJ470" s="707"/>
      <c r="AK470" s="707"/>
      <c r="AL470" s="707"/>
      <c r="AM470" s="707"/>
      <c r="AN470" s="707"/>
      <c r="AO470" s="707"/>
      <c r="AP470" s="707"/>
      <c r="AQ470" s="707"/>
      <c r="AR470" s="707"/>
      <c r="AS470" s="707"/>
      <c r="AT470" s="707"/>
      <c r="AU470" s="707"/>
      <c r="AV470" s="707"/>
      <c r="AW470" s="707"/>
      <c r="AX470" s="707"/>
      <c r="AY470" s="707"/>
      <c r="AZ470" s="707"/>
      <c r="BA470" s="707"/>
      <c r="BB470" s="707"/>
      <c r="BC470" s="707"/>
      <c r="BD470" s="707"/>
      <c r="BE470" s="707"/>
      <c r="BF470" s="707"/>
      <c r="BG470" s="707"/>
      <c r="BH470" s="707"/>
      <c r="BI470" s="707"/>
      <c r="BJ470" s="707"/>
      <c r="BK470" s="707"/>
      <c r="BL470" s="707"/>
      <c r="BM470" s="707"/>
      <c r="BN470" s="707"/>
      <c r="BO470" s="707"/>
      <c r="BP470" s="707"/>
      <c r="BQ470" s="707"/>
      <c r="BR470" s="707"/>
      <c r="BS470" s="707"/>
      <c r="BT470" s="707"/>
      <c r="BU470" s="707"/>
      <c r="BV470" s="707"/>
      <c r="BW470" s="707"/>
      <c r="BX470" s="707"/>
      <c r="BY470" s="707"/>
      <c r="BZ470" s="707"/>
      <c r="CA470" s="707"/>
      <c r="CB470" s="707"/>
      <c r="CC470" s="707"/>
      <c r="CD470" s="707"/>
      <c r="CE470" s="707"/>
      <c r="CF470" s="707"/>
      <c r="CG470" s="707"/>
      <c r="CH470" s="707"/>
      <c r="CI470" s="707"/>
      <c r="CJ470" s="707"/>
      <c r="CK470" s="707"/>
      <c r="CL470" s="707"/>
      <c r="CM470" s="707"/>
      <c r="CN470" s="707"/>
      <c r="CO470" s="707"/>
      <c r="CP470" s="707"/>
      <c r="CQ470" s="707"/>
      <c r="CR470" s="707"/>
      <c r="CS470" s="707"/>
      <c r="CT470" s="707"/>
      <c r="CU470" s="707"/>
      <c r="CV470" s="707"/>
      <c r="CW470" s="707"/>
      <c r="CX470" s="707"/>
      <c r="CY470" s="707"/>
      <c r="CZ470" s="707"/>
      <c r="DA470" s="707"/>
      <c r="DB470" s="707"/>
      <c r="DC470" s="707"/>
      <c r="DD470" s="707"/>
      <c r="DE470" s="707"/>
      <c r="DF470" s="707"/>
      <c r="DG470" s="707"/>
      <c r="DH470" s="707"/>
      <c r="DI470" s="707"/>
      <c r="DJ470" s="707"/>
      <c r="DK470" s="707"/>
      <c r="DL470" s="707"/>
      <c r="DM470" s="707"/>
      <c r="DN470" s="707"/>
      <c r="DO470" s="707"/>
      <c r="DP470" s="707"/>
      <c r="DQ470" s="707"/>
      <c r="DR470" s="707"/>
      <c r="DS470" s="707"/>
      <c r="DT470" s="707"/>
      <c r="DU470" s="707"/>
      <c r="DV470" s="707"/>
      <c r="DW470" s="707"/>
      <c r="DX470" s="707"/>
      <c r="DY470" s="707"/>
      <c r="DZ470" s="707"/>
      <c r="EA470" s="707"/>
      <c r="EB470" s="707"/>
      <c r="EC470" s="707"/>
      <c r="ED470" s="707"/>
      <c r="EE470" s="707"/>
      <c r="EF470" s="707"/>
      <c r="EG470" s="707"/>
      <c r="EH470" s="707"/>
      <c r="EI470" s="707"/>
      <c r="EJ470" s="707"/>
      <c r="EK470" s="707"/>
      <c r="EL470" s="707"/>
      <c r="EM470" s="707"/>
      <c r="EN470" s="707"/>
      <c r="EO470" s="707"/>
      <c r="EP470" s="707"/>
      <c r="EQ470" s="707"/>
      <c r="ER470" s="707"/>
      <c r="ES470" s="707"/>
      <c r="ET470" s="707"/>
      <c r="EU470" s="707"/>
      <c r="EV470" s="707"/>
      <c r="EW470" s="707"/>
      <c r="EX470" s="707"/>
      <c r="EY470" s="707"/>
      <c r="EZ470" s="707"/>
      <c r="FA470" s="707"/>
      <c r="FB470" s="707"/>
      <c r="FC470" s="707"/>
      <c r="FD470" s="707"/>
      <c r="FE470" s="707"/>
      <c r="FF470" s="707"/>
      <c r="FG470" s="707"/>
      <c r="FH470" s="707"/>
      <c r="FI470" s="707"/>
      <c r="FJ470" s="707"/>
      <c r="FK470" s="707"/>
      <c r="FL470" s="707"/>
      <c r="FM470" s="707"/>
      <c r="FN470" s="707"/>
      <c r="FO470" s="707"/>
      <c r="FP470" s="707"/>
      <c r="FQ470" s="707"/>
      <c r="FR470" s="707"/>
      <c r="FS470" s="707"/>
      <c r="FT470" s="707"/>
      <c r="FU470" s="707"/>
      <c r="FV470" s="707"/>
      <c r="FW470" s="707"/>
      <c r="FX470" s="707"/>
      <c r="FY470" s="707"/>
      <c r="FZ470" s="707"/>
      <c r="GA470" s="707"/>
      <c r="GB470" s="707"/>
      <c r="GC470" s="707"/>
      <c r="GD470" s="707"/>
      <c r="GE470" s="707"/>
      <c r="GF470" s="707"/>
      <c r="GG470" s="707"/>
      <c r="GH470" s="707"/>
      <c r="GI470" s="707"/>
      <c r="GJ470" s="707"/>
      <c r="GK470" s="707"/>
      <c r="GL470" s="707"/>
      <c r="GM470" s="707"/>
      <c r="GN470" s="707"/>
      <c r="GO470" s="707"/>
      <c r="GP470" s="707"/>
      <c r="GQ470" s="707"/>
      <c r="GR470" s="707"/>
      <c r="GS470" s="707"/>
      <c r="GT470" s="707"/>
      <c r="GU470" s="707"/>
      <c r="GV470" s="707"/>
      <c r="GW470" s="707"/>
      <c r="GX470" s="707"/>
      <c r="GY470" s="707"/>
      <c r="GZ470" s="707"/>
      <c r="HA470" s="707"/>
      <c r="HB470" s="707"/>
      <c r="HC470" s="707"/>
      <c r="HD470" s="707"/>
      <c r="HE470" s="707"/>
      <c r="HF470" s="707"/>
      <c r="HG470" s="707"/>
      <c r="HH470" s="707"/>
      <c r="HI470" s="707"/>
      <c r="HJ470" s="707"/>
      <c r="HK470" s="707"/>
      <c r="HL470" s="707"/>
      <c r="HM470" s="707"/>
      <c r="HN470" s="707"/>
      <c r="HO470" s="707"/>
      <c r="HP470" s="707"/>
      <c r="HQ470" s="707"/>
      <c r="HR470" s="707"/>
      <c r="HS470" s="707"/>
      <c r="HT470" s="707"/>
      <c r="HU470" s="707"/>
      <c r="HV470" s="707"/>
      <c r="HW470" s="707"/>
      <c r="HX470" s="707"/>
      <c r="HY470" s="707"/>
      <c r="HZ470" s="707"/>
      <c r="IA470" s="707"/>
      <c r="IB470" s="707"/>
      <c r="IC470" s="707"/>
      <c r="ID470" s="707"/>
      <c r="IE470" s="707"/>
      <c r="IF470" s="707"/>
      <c r="IG470" s="707"/>
      <c r="IH470" s="707"/>
      <c r="II470" s="707"/>
      <c r="IJ470" s="707"/>
      <c r="IK470" s="707"/>
      <c r="IL470" s="707"/>
      <c r="IM470" s="707"/>
      <c r="IN470" s="707"/>
      <c r="IO470" s="707"/>
      <c r="IP470" s="707"/>
      <c r="IQ470" s="707"/>
      <c r="IR470" s="707"/>
      <c r="IS470" s="707"/>
      <c r="IT470" s="707"/>
      <c r="IU470" s="707"/>
      <c r="IV470" s="707"/>
      <c r="IW470" s="707"/>
    </row>
    <row r="471" customFormat="false" ht="12.75" hidden="false" customHeight="false" outlineLevel="0" collapsed="false">
      <c r="A471" s="388"/>
      <c r="B471" s="706"/>
      <c r="C471" s="706"/>
      <c r="D471" s="706"/>
      <c r="E471" s="706"/>
      <c r="F471" s="706"/>
      <c r="G471" s="706"/>
      <c r="H471" s="713"/>
      <c r="I471" s="713"/>
      <c r="J471" s="713"/>
      <c r="K471" s="713"/>
      <c r="L471" s="713"/>
      <c r="M471" s="713"/>
      <c r="N471" s="713"/>
      <c r="O471" s="713"/>
      <c r="P471" s="713"/>
      <c r="Q471" s="713"/>
      <c r="R471" s="713"/>
      <c r="S471" s="713"/>
      <c r="T471" s="713"/>
      <c r="U471" s="713"/>
      <c r="V471" s="713"/>
      <c r="W471" s="713"/>
      <c r="X471" s="713"/>
      <c r="Y471" s="713"/>
      <c r="Z471" s="713"/>
      <c r="AA471" s="707"/>
      <c r="AB471" s="707"/>
      <c r="AC471" s="707"/>
      <c r="AD471" s="707"/>
      <c r="AE471" s="707"/>
      <c r="AF471" s="707"/>
      <c r="AG471" s="707"/>
      <c r="AH471" s="707"/>
      <c r="AI471" s="707"/>
      <c r="AJ471" s="707"/>
      <c r="AK471" s="707"/>
      <c r="AL471" s="707"/>
      <c r="AM471" s="707"/>
      <c r="AN471" s="707"/>
      <c r="AO471" s="707"/>
      <c r="AP471" s="707"/>
      <c r="AQ471" s="707"/>
      <c r="AR471" s="707"/>
      <c r="AS471" s="707"/>
      <c r="AT471" s="707"/>
      <c r="AU471" s="707"/>
      <c r="AV471" s="707"/>
      <c r="AW471" s="707"/>
      <c r="AX471" s="707"/>
      <c r="AY471" s="707"/>
      <c r="AZ471" s="707"/>
      <c r="BA471" s="707"/>
      <c r="BB471" s="707"/>
      <c r="BC471" s="707"/>
      <c r="BD471" s="707"/>
      <c r="BE471" s="707"/>
      <c r="BF471" s="707"/>
      <c r="BG471" s="707"/>
      <c r="BH471" s="707"/>
      <c r="BI471" s="707"/>
      <c r="BJ471" s="707"/>
      <c r="BK471" s="707"/>
      <c r="BL471" s="707"/>
      <c r="BM471" s="707"/>
      <c r="BN471" s="707"/>
      <c r="BO471" s="707"/>
      <c r="BP471" s="707"/>
      <c r="BQ471" s="707"/>
      <c r="BR471" s="707"/>
      <c r="BS471" s="707"/>
      <c r="BT471" s="707"/>
      <c r="BU471" s="707"/>
      <c r="BV471" s="707"/>
      <c r="BW471" s="707"/>
      <c r="BX471" s="707"/>
      <c r="BY471" s="707"/>
      <c r="BZ471" s="707"/>
      <c r="CA471" s="707"/>
      <c r="CB471" s="707"/>
      <c r="CC471" s="707"/>
      <c r="CD471" s="707"/>
      <c r="CE471" s="707"/>
      <c r="CF471" s="707"/>
      <c r="CG471" s="707"/>
      <c r="CH471" s="707"/>
      <c r="CI471" s="707"/>
      <c r="CJ471" s="707"/>
      <c r="CK471" s="707"/>
      <c r="CL471" s="707"/>
      <c r="CM471" s="707"/>
      <c r="CN471" s="707"/>
      <c r="CO471" s="707"/>
      <c r="CP471" s="707"/>
      <c r="CQ471" s="707"/>
      <c r="CR471" s="707"/>
      <c r="CS471" s="707"/>
      <c r="CT471" s="707"/>
      <c r="CU471" s="707"/>
      <c r="CV471" s="707"/>
      <c r="CW471" s="707"/>
      <c r="CX471" s="707"/>
      <c r="CY471" s="707"/>
      <c r="CZ471" s="707"/>
      <c r="DA471" s="707"/>
      <c r="DB471" s="707"/>
      <c r="DC471" s="707"/>
      <c r="DD471" s="707"/>
      <c r="DE471" s="707"/>
      <c r="DF471" s="707"/>
      <c r="DG471" s="707"/>
      <c r="DH471" s="707"/>
      <c r="DI471" s="707"/>
      <c r="DJ471" s="707"/>
      <c r="DK471" s="707"/>
      <c r="DL471" s="707"/>
      <c r="DM471" s="707"/>
      <c r="DN471" s="707"/>
      <c r="DO471" s="707"/>
      <c r="DP471" s="707"/>
      <c r="DQ471" s="707"/>
      <c r="DR471" s="707"/>
      <c r="DS471" s="707"/>
      <c r="DT471" s="707"/>
      <c r="DU471" s="707"/>
      <c r="DV471" s="707"/>
      <c r="DW471" s="707"/>
      <c r="DX471" s="707"/>
      <c r="DY471" s="707"/>
      <c r="DZ471" s="707"/>
      <c r="EA471" s="707"/>
      <c r="EB471" s="707"/>
      <c r="EC471" s="707"/>
      <c r="ED471" s="707"/>
      <c r="EE471" s="707"/>
      <c r="EF471" s="707"/>
      <c r="EG471" s="707"/>
      <c r="EH471" s="707"/>
      <c r="EI471" s="707"/>
      <c r="EJ471" s="707"/>
      <c r="EK471" s="707"/>
      <c r="EL471" s="707"/>
      <c r="EM471" s="707"/>
      <c r="EN471" s="707"/>
      <c r="EO471" s="707"/>
      <c r="EP471" s="707"/>
      <c r="EQ471" s="707"/>
      <c r="ER471" s="707"/>
      <c r="ES471" s="707"/>
      <c r="ET471" s="707"/>
      <c r="EU471" s="707"/>
      <c r="EV471" s="707"/>
      <c r="EW471" s="707"/>
      <c r="EX471" s="707"/>
      <c r="EY471" s="707"/>
      <c r="EZ471" s="707"/>
      <c r="FA471" s="707"/>
      <c r="FB471" s="707"/>
      <c r="FC471" s="707"/>
      <c r="FD471" s="707"/>
      <c r="FE471" s="707"/>
      <c r="FF471" s="707"/>
      <c r="FG471" s="707"/>
      <c r="FH471" s="707"/>
      <c r="FI471" s="707"/>
      <c r="FJ471" s="707"/>
      <c r="FK471" s="707"/>
      <c r="FL471" s="707"/>
      <c r="FM471" s="707"/>
      <c r="FN471" s="707"/>
      <c r="FO471" s="707"/>
      <c r="FP471" s="707"/>
      <c r="FQ471" s="707"/>
      <c r="FR471" s="707"/>
      <c r="FS471" s="707"/>
      <c r="FT471" s="707"/>
      <c r="FU471" s="707"/>
      <c r="FV471" s="707"/>
      <c r="FW471" s="707"/>
      <c r="FX471" s="707"/>
      <c r="FY471" s="707"/>
      <c r="FZ471" s="707"/>
      <c r="GA471" s="707"/>
      <c r="GB471" s="707"/>
      <c r="GC471" s="707"/>
      <c r="GD471" s="707"/>
      <c r="GE471" s="707"/>
      <c r="GF471" s="707"/>
      <c r="GG471" s="707"/>
      <c r="GH471" s="707"/>
      <c r="GI471" s="707"/>
      <c r="GJ471" s="707"/>
      <c r="GK471" s="707"/>
      <c r="GL471" s="707"/>
      <c r="GM471" s="707"/>
      <c r="GN471" s="707"/>
      <c r="GO471" s="707"/>
      <c r="GP471" s="707"/>
      <c r="GQ471" s="707"/>
      <c r="GR471" s="707"/>
      <c r="GS471" s="707"/>
      <c r="GT471" s="707"/>
      <c r="GU471" s="707"/>
      <c r="GV471" s="707"/>
      <c r="GW471" s="707"/>
      <c r="GX471" s="707"/>
      <c r="GY471" s="707"/>
      <c r="GZ471" s="707"/>
      <c r="HA471" s="707"/>
      <c r="HB471" s="707"/>
      <c r="HC471" s="707"/>
      <c r="HD471" s="707"/>
      <c r="HE471" s="707"/>
      <c r="HF471" s="707"/>
      <c r="HG471" s="707"/>
      <c r="HH471" s="707"/>
      <c r="HI471" s="707"/>
      <c r="HJ471" s="707"/>
      <c r="HK471" s="707"/>
      <c r="HL471" s="707"/>
      <c r="HM471" s="707"/>
      <c r="HN471" s="707"/>
      <c r="HO471" s="707"/>
      <c r="HP471" s="707"/>
      <c r="HQ471" s="707"/>
      <c r="HR471" s="707"/>
      <c r="HS471" s="707"/>
      <c r="HT471" s="707"/>
      <c r="HU471" s="707"/>
      <c r="HV471" s="707"/>
      <c r="HW471" s="707"/>
      <c r="HX471" s="707"/>
      <c r="HY471" s="707"/>
      <c r="HZ471" s="707"/>
      <c r="IA471" s="707"/>
      <c r="IB471" s="707"/>
      <c r="IC471" s="707"/>
      <c r="ID471" s="707"/>
      <c r="IE471" s="707"/>
      <c r="IF471" s="707"/>
      <c r="IG471" s="707"/>
      <c r="IH471" s="707"/>
      <c r="II471" s="707"/>
      <c r="IJ471" s="707"/>
      <c r="IK471" s="707"/>
      <c r="IL471" s="707"/>
      <c r="IM471" s="707"/>
      <c r="IN471" s="707"/>
      <c r="IO471" s="707"/>
      <c r="IP471" s="707"/>
      <c r="IQ471" s="707"/>
      <c r="IR471" s="707"/>
      <c r="IS471" s="707"/>
      <c r="IT471" s="707"/>
      <c r="IU471" s="707"/>
      <c r="IV471" s="707"/>
      <c r="IW471" s="707"/>
    </row>
    <row r="472" customFormat="false" ht="12.75" hidden="false" customHeight="false" outlineLevel="0" collapsed="false">
      <c r="A472" s="367"/>
      <c r="B472" s="706"/>
      <c r="C472" s="706"/>
      <c r="D472" s="706"/>
      <c r="E472" s="713"/>
      <c r="F472" s="713"/>
      <c r="G472" s="713"/>
      <c r="H472" s="713"/>
      <c r="I472" s="713"/>
      <c r="J472" s="713"/>
      <c r="K472" s="713"/>
      <c r="L472" s="713"/>
      <c r="M472" s="713"/>
      <c r="N472" s="713"/>
      <c r="O472" s="713"/>
      <c r="P472" s="713"/>
      <c r="Q472" s="713"/>
      <c r="R472" s="713"/>
      <c r="S472" s="713"/>
      <c r="T472" s="713"/>
      <c r="U472" s="713"/>
      <c r="V472" s="713"/>
      <c r="W472" s="713"/>
      <c r="X472" s="713"/>
      <c r="Y472" s="713"/>
      <c r="Z472" s="713"/>
      <c r="AA472" s="707"/>
      <c r="AB472" s="707"/>
      <c r="AC472" s="707"/>
      <c r="AD472" s="707"/>
      <c r="AE472" s="707"/>
      <c r="AF472" s="707"/>
      <c r="AG472" s="707"/>
      <c r="AH472" s="707"/>
      <c r="AI472" s="707"/>
      <c r="AJ472" s="707"/>
      <c r="AK472" s="707"/>
      <c r="AL472" s="707"/>
      <c r="AM472" s="707"/>
      <c r="AN472" s="707"/>
      <c r="AO472" s="707"/>
      <c r="AP472" s="707"/>
      <c r="AQ472" s="707"/>
      <c r="AR472" s="707"/>
      <c r="AS472" s="707"/>
      <c r="AT472" s="707"/>
      <c r="AU472" s="707"/>
      <c r="AV472" s="707"/>
      <c r="AW472" s="707"/>
      <c r="AX472" s="707"/>
      <c r="AY472" s="707"/>
      <c r="AZ472" s="707"/>
      <c r="BA472" s="707"/>
      <c r="BB472" s="707"/>
      <c r="BC472" s="707"/>
      <c r="BD472" s="707"/>
      <c r="BE472" s="707"/>
      <c r="BF472" s="707"/>
      <c r="BG472" s="707"/>
      <c r="BH472" s="707"/>
      <c r="BI472" s="707"/>
      <c r="BJ472" s="707"/>
      <c r="BK472" s="707"/>
      <c r="BL472" s="707"/>
      <c r="BM472" s="707"/>
      <c r="BN472" s="707"/>
      <c r="BO472" s="707"/>
      <c r="BP472" s="707"/>
      <c r="BQ472" s="707"/>
      <c r="BR472" s="707"/>
      <c r="BS472" s="707"/>
      <c r="BT472" s="707"/>
      <c r="BU472" s="707"/>
      <c r="BV472" s="707"/>
      <c r="BW472" s="707"/>
      <c r="BX472" s="707"/>
      <c r="BY472" s="707"/>
      <c r="BZ472" s="707"/>
      <c r="CA472" s="707"/>
      <c r="CB472" s="707"/>
      <c r="CC472" s="707"/>
      <c r="CD472" s="707"/>
      <c r="CE472" s="707"/>
      <c r="CF472" s="707"/>
      <c r="CG472" s="707"/>
      <c r="CH472" s="707"/>
      <c r="CI472" s="707"/>
      <c r="CJ472" s="707"/>
      <c r="CK472" s="707"/>
      <c r="CL472" s="707"/>
      <c r="CM472" s="707"/>
      <c r="CN472" s="707"/>
      <c r="CO472" s="707"/>
      <c r="CP472" s="707"/>
      <c r="CQ472" s="707"/>
      <c r="CR472" s="707"/>
      <c r="CS472" s="707"/>
      <c r="CT472" s="707"/>
      <c r="CU472" s="707"/>
      <c r="CV472" s="707"/>
      <c r="CW472" s="707"/>
      <c r="CX472" s="707"/>
      <c r="CY472" s="707"/>
      <c r="CZ472" s="707"/>
      <c r="DA472" s="707"/>
      <c r="DB472" s="707"/>
      <c r="DC472" s="707"/>
      <c r="DD472" s="707"/>
      <c r="DE472" s="707"/>
      <c r="DF472" s="707"/>
      <c r="DG472" s="707"/>
      <c r="DH472" s="707"/>
      <c r="DI472" s="707"/>
      <c r="DJ472" s="707"/>
      <c r="DK472" s="707"/>
      <c r="DL472" s="707"/>
      <c r="DM472" s="707"/>
      <c r="DN472" s="707"/>
      <c r="DO472" s="707"/>
      <c r="DP472" s="707"/>
      <c r="DQ472" s="707"/>
      <c r="DR472" s="707"/>
      <c r="DS472" s="707"/>
      <c r="DT472" s="707"/>
      <c r="DU472" s="707"/>
      <c r="DV472" s="707"/>
      <c r="DW472" s="707"/>
      <c r="DX472" s="707"/>
      <c r="DY472" s="707"/>
      <c r="DZ472" s="707"/>
      <c r="EA472" s="707"/>
      <c r="EB472" s="707"/>
      <c r="EC472" s="707"/>
      <c r="ED472" s="707"/>
      <c r="EE472" s="707"/>
      <c r="EF472" s="707"/>
      <c r="EG472" s="707"/>
      <c r="EH472" s="707"/>
      <c r="EI472" s="707"/>
      <c r="EJ472" s="707"/>
      <c r="EK472" s="707"/>
      <c r="EL472" s="707"/>
      <c r="EM472" s="707"/>
      <c r="EN472" s="707"/>
      <c r="EO472" s="707"/>
      <c r="EP472" s="707"/>
      <c r="EQ472" s="707"/>
      <c r="ER472" s="707"/>
      <c r="ES472" s="707"/>
      <c r="ET472" s="707"/>
      <c r="EU472" s="707"/>
      <c r="EV472" s="707"/>
      <c r="EW472" s="707"/>
      <c r="EX472" s="707"/>
      <c r="EY472" s="707"/>
      <c r="EZ472" s="707"/>
      <c r="FA472" s="707"/>
      <c r="FB472" s="707"/>
      <c r="FC472" s="707"/>
      <c r="FD472" s="707"/>
      <c r="FE472" s="707"/>
      <c r="FF472" s="707"/>
      <c r="FG472" s="707"/>
      <c r="FH472" s="707"/>
      <c r="FI472" s="707"/>
      <c r="FJ472" s="707"/>
      <c r="FK472" s="707"/>
      <c r="FL472" s="707"/>
      <c r="FM472" s="707"/>
      <c r="FN472" s="707"/>
      <c r="FO472" s="707"/>
      <c r="FP472" s="707"/>
      <c r="FQ472" s="707"/>
      <c r="FR472" s="707"/>
      <c r="FS472" s="707"/>
      <c r="FT472" s="707"/>
      <c r="FU472" s="707"/>
      <c r="FV472" s="707"/>
      <c r="FW472" s="707"/>
      <c r="FX472" s="707"/>
      <c r="FY472" s="707"/>
      <c r="FZ472" s="707"/>
      <c r="GA472" s="707"/>
      <c r="GB472" s="707"/>
      <c r="GC472" s="707"/>
      <c r="GD472" s="707"/>
      <c r="GE472" s="707"/>
      <c r="GF472" s="707"/>
      <c r="GG472" s="707"/>
      <c r="GH472" s="707"/>
      <c r="GI472" s="707"/>
      <c r="GJ472" s="707"/>
      <c r="GK472" s="707"/>
      <c r="GL472" s="707"/>
      <c r="GM472" s="707"/>
      <c r="GN472" s="707"/>
      <c r="GO472" s="707"/>
      <c r="GP472" s="707"/>
      <c r="GQ472" s="707"/>
      <c r="GR472" s="707"/>
      <c r="GS472" s="707"/>
      <c r="GT472" s="707"/>
      <c r="GU472" s="707"/>
      <c r="GV472" s="707"/>
      <c r="GW472" s="707"/>
      <c r="GX472" s="707"/>
      <c r="GY472" s="707"/>
      <c r="GZ472" s="707"/>
      <c r="HA472" s="707"/>
      <c r="HB472" s="707"/>
      <c r="HC472" s="707"/>
      <c r="HD472" s="707"/>
      <c r="HE472" s="707"/>
      <c r="HF472" s="707"/>
      <c r="HG472" s="707"/>
      <c r="HH472" s="707"/>
      <c r="HI472" s="707"/>
      <c r="HJ472" s="707"/>
      <c r="HK472" s="707"/>
      <c r="HL472" s="707"/>
      <c r="HM472" s="707"/>
      <c r="HN472" s="707"/>
      <c r="HO472" s="707"/>
      <c r="HP472" s="707"/>
      <c r="HQ472" s="707"/>
      <c r="HR472" s="707"/>
      <c r="HS472" s="707"/>
      <c r="HT472" s="707"/>
      <c r="HU472" s="707"/>
      <c r="HV472" s="707"/>
      <c r="HW472" s="707"/>
      <c r="HX472" s="707"/>
      <c r="HY472" s="707"/>
      <c r="HZ472" s="707"/>
      <c r="IA472" s="707"/>
      <c r="IB472" s="707"/>
      <c r="IC472" s="707"/>
      <c r="ID472" s="707"/>
      <c r="IE472" s="707"/>
      <c r="IF472" s="707"/>
      <c r="IG472" s="707"/>
      <c r="IH472" s="707"/>
      <c r="II472" s="707"/>
      <c r="IJ472" s="707"/>
      <c r="IK472" s="707"/>
      <c r="IL472" s="707"/>
      <c r="IM472" s="707"/>
      <c r="IN472" s="707"/>
      <c r="IO472" s="707"/>
      <c r="IP472" s="707"/>
      <c r="IQ472" s="707"/>
      <c r="IR472" s="707"/>
      <c r="IS472" s="707"/>
      <c r="IT472" s="707"/>
      <c r="IU472" s="707"/>
      <c r="IV472" s="707"/>
      <c r="IW472" s="707"/>
    </row>
    <row r="473" customFormat="false" ht="12.75" hidden="false" customHeight="false" outlineLevel="0" collapsed="false">
      <c r="A473" s="367"/>
      <c r="B473" s="714"/>
      <c r="C473" s="714"/>
      <c r="D473" s="714"/>
      <c r="E473" s="713"/>
      <c r="F473" s="713"/>
      <c r="G473" s="713"/>
      <c r="H473" s="713"/>
      <c r="I473" s="713"/>
      <c r="J473" s="713"/>
      <c r="K473" s="713"/>
      <c r="L473" s="713"/>
      <c r="M473" s="713"/>
      <c r="N473" s="713"/>
      <c r="O473" s="713"/>
      <c r="P473" s="713"/>
      <c r="Q473" s="713"/>
      <c r="R473" s="713"/>
      <c r="S473" s="713"/>
      <c r="T473" s="713"/>
      <c r="U473" s="713"/>
      <c r="V473" s="713"/>
      <c r="W473" s="713"/>
      <c r="X473" s="713"/>
      <c r="Y473" s="713"/>
      <c r="Z473" s="713"/>
      <c r="AA473" s="707"/>
      <c r="AB473" s="707"/>
      <c r="AC473" s="707"/>
      <c r="AD473" s="707"/>
      <c r="AE473" s="707"/>
      <c r="AF473" s="707"/>
      <c r="AG473" s="707"/>
      <c r="AH473" s="707"/>
      <c r="AI473" s="707"/>
      <c r="AJ473" s="707"/>
      <c r="AK473" s="707"/>
      <c r="AL473" s="707"/>
      <c r="AM473" s="707"/>
      <c r="AN473" s="707"/>
      <c r="AO473" s="707"/>
      <c r="AP473" s="707"/>
      <c r="AQ473" s="707"/>
      <c r="AR473" s="707"/>
      <c r="AS473" s="707"/>
      <c r="AT473" s="707"/>
      <c r="AU473" s="707"/>
      <c r="AV473" s="707"/>
      <c r="AW473" s="707"/>
      <c r="AX473" s="707"/>
      <c r="AY473" s="707"/>
      <c r="AZ473" s="707"/>
      <c r="BA473" s="707"/>
      <c r="BB473" s="707"/>
      <c r="BC473" s="707"/>
      <c r="BD473" s="707"/>
      <c r="BE473" s="707"/>
      <c r="BF473" s="707"/>
      <c r="BG473" s="707"/>
      <c r="BH473" s="707"/>
      <c r="BI473" s="707"/>
      <c r="BJ473" s="707"/>
      <c r="BK473" s="707"/>
      <c r="BL473" s="707"/>
      <c r="BM473" s="707"/>
      <c r="BN473" s="707"/>
      <c r="BO473" s="707"/>
      <c r="BP473" s="707"/>
      <c r="BQ473" s="707"/>
      <c r="BR473" s="707"/>
      <c r="BS473" s="707"/>
      <c r="BT473" s="707"/>
      <c r="BU473" s="707"/>
      <c r="BV473" s="707"/>
      <c r="BW473" s="707"/>
      <c r="BX473" s="707"/>
      <c r="BY473" s="707"/>
      <c r="BZ473" s="707"/>
      <c r="CA473" s="707"/>
      <c r="CB473" s="707"/>
      <c r="CC473" s="707"/>
      <c r="CD473" s="707"/>
      <c r="CE473" s="707"/>
      <c r="CF473" s="707"/>
      <c r="CG473" s="707"/>
      <c r="CH473" s="707"/>
      <c r="CI473" s="707"/>
      <c r="CJ473" s="707"/>
      <c r="CK473" s="707"/>
      <c r="CL473" s="707"/>
      <c r="CM473" s="707"/>
      <c r="CN473" s="707"/>
      <c r="CO473" s="707"/>
      <c r="CP473" s="707"/>
      <c r="CQ473" s="707"/>
      <c r="CR473" s="707"/>
      <c r="CS473" s="707"/>
      <c r="CT473" s="707"/>
      <c r="CU473" s="707"/>
      <c r="CV473" s="707"/>
      <c r="CW473" s="707"/>
      <c r="CX473" s="707"/>
      <c r="CY473" s="707"/>
      <c r="CZ473" s="707"/>
      <c r="DA473" s="707"/>
      <c r="DB473" s="707"/>
      <c r="DC473" s="707"/>
      <c r="DD473" s="707"/>
      <c r="DE473" s="707"/>
      <c r="DF473" s="707"/>
      <c r="DG473" s="707"/>
      <c r="DH473" s="707"/>
      <c r="DI473" s="707"/>
      <c r="DJ473" s="707"/>
      <c r="DK473" s="707"/>
      <c r="DL473" s="707"/>
      <c r="DM473" s="707"/>
      <c r="DN473" s="707"/>
      <c r="DO473" s="707"/>
      <c r="DP473" s="707"/>
      <c r="DQ473" s="707"/>
      <c r="DR473" s="707"/>
      <c r="DS473" s="707"/>
      <c r="DT473" s="707"/>
      <c r="DU473" s="707"/>
      <c r="DV473" s="707"/>
      <c r="DW473" s="707"/>
      <c r="DX473" s="707"/>
      <c r="DY473" s="707"/>
      <c r="DZ473" s="707"/>
      <c r="EA473" s="707"/>
      <c r="EB473" s="707"/>
      <c r="EC473" s="707"/>
      <c r="ED473" s="707"/>
      <c r="EE473" s="707"/>
      <c r="EF473" s="707"/>
      <c r="EG473" s="707"/>
      <c r="EH473" s="707"/>
      <c r="EI473" s="707"/>
      <c r="EJ473" s="707"/>
      <c r="EK473" s="707"/>
      <c r="EL473" s="707"/>
      <c r="EM473" s="707"/>
      <c r="EN473" s="707"/>
      <c r="EO473" s="707"/>
      <c r="EP473" s="707"/>
      <c r="EQ473" s="707"/>
      <c r="ER473" s="707"/>
      <c r="ES473" s="707"/>
      <c r="ET473" s="707"/>
      <c r="EU473" s="707"/>
      <c r="EV473" s="707"/>
      <c r="EW473" s="707"/>
      <c r="EX473" s="707"/>
      <c r="EY473" s="707"/>
      <c r="EZ473" s="707"/>
      <c r="FA473" s="707"/>
      <c r="FB473" s="707"/>
      <c r="FC473" s="707"/>
      <c r="FD473" s="707"/>
      <c r="FE473" s="707"/>
      <c r="FF473" s="707"/>
      <c r="FG473" s="707"/>
      <c r="FH473" s="707"/>
      <c r="FI473" s="707"/>
      <c r="FJ473" s="707"/>
      <c r="FK473" s="707"/>
      <c r="FL473" s="707"/>
      <c r="FM473" s="707"/>
      <c r="FN473" s="707"/>
      <c r="FO473" s="707"/>
      <c r="FP473" s="707"/>
      <c r="FQ473" s="707"/>
      <c r="FR473" s="707"/>
      <c r="FS473" s="707"/>
      <c r="FT473" s="707"/>
      <c r="FU473" s="707"/>
      <c r="FV473" s="707"/>
      <c r="FW473" s="707"/>
      <c r="FX473" s="707"/>
      <c r="FY473" s="707"/>
      <c r="FZ473" s="707"/>
      <c r="GA473" s="707"/>
      <c r="GB473" s="707"/>
      <c r="GC473" s="707"/>
      <c r="GD473" s="707"/>
      <c r="GE473" s="707"/>
      <c r="GF473" s="707"/>
      <c r="GG473" s="707"/>
      <c r="GH473" s="707"/>
      <c r="GI473" s="707"/>
      <c r="GJ473" s="707"/>
      <c r="GK473" s="707"/>
      <c r="GL473" s="707"/>
      <c r="GM473" s="707"/>
      <c r="GN473" s="707"/>
      <c r="GO473" s="707"/>
      <c r="GP473" s="707"/>
      <c r="GQ473" s="707"/>
      <c r="GR473" s="707"/>
      <c r="GS473" s="707"/>
      <c r="GT473" s="707"/>
      <c r="GU473" s="707"/>
      <c r="GV473" s="707"/>
      <c r="GW473" s="707"/>
      <c r="GX473" s="707"/>
      <c r="GY473" s="707"/>
      <c r="GZ473" s="707"/>
      <c r="HA473" s="707"/>
      <c r="HB473" s="707"/>
      <c r="HC473" s="707"/>
      <c r="HD473" s="707"/>
      <c r="HE473" s="707"/>
      <c r="HF473" s="707"/>
      <c r="HG473" s="707"/>
      <c r="HH473" s="707"/>
      <c r="HI473" s="707"/>
      <c r="HJ473" s="707"/>
      <c r="HK473" s="707"/>
      <c r="HL473" s="707"/>
      <c r="HM473" s="707"/>
      <c r="HN473" s="707"/>
      <c r="HO473" s="707"/>
      <c r="HP473" s="707"/>
      <c r="HQ473" s="707"/>
      <c r="HR473" s="707"/>
      <c r="HS473" s="707"/>
      <c r="HT473" s="707"/>
      <c r="HU473" s="707"/>
      <c r="HV473" s="707"/>
      <c r="HW473" s="707"/>
      <c r="HX473" s="707"/>
      <c r="HY473" s="707"/>
      <c r="HZ473" s="707"/>
      <c r="IA473" s="707"/>
      <c r="IB473" s="707"/>
      <c r="IC473" s="707"/>
      <c r="ID473" s="707"/>
      <c r="IE473" s="707"/>
      <c r="IF473" s="707"/>
      <c r="IG473" s="707"/>
      <c r="IH473" s="707"/>
      <c r="II473" s="707"/>
      <c r="IJ473" s="707"/>
      <c r="IK473" s="707"/>
      <c r="IL473" s="707"/>
      <c r="IM473" s="707"/>
      <c r="IN473" s="707"/>
      <c r="IO473" s="707"/>
      <c r="IP473" s="707"/>
      <c r="IQ473" s="707"/>
      <c r="IR473" s="707"/>
      <c r="IS473" s="707"/>
      <c r="IT473" s="707"/>
      <c r="IU473" s="707"/>
      <c r="IV473" s="707"/>
      <c r="IW473" s="707"/>
    </row>
    <row r="474" customFormat="false" ht="12.75" hidden="false" customHeight="false" outlineLevel="0" collapsed="false">
      <c r="A474" s="367"/>
      <c r="B474" s="715"/>
      <c r="C474" s="715"/>
      <c r="D474" s="715"/>
      <c r="E474" s="713"/>
      <c r="F474" s="713"/>
      <c r="G474" s="713"/>
      <c r="H474" s="713"/>
      <c r="I474" s="713"/>
      <c r="J474" s="713"/>
      <c r="K474" s="713"/>
      <c r="L474" s="713"/>
      <c r="M474" s="713"/>
      <c r="N474" s="713"/>
      <c r="O474" s="713"/>
      <c r="P474" s="713"/>
      <c r="Q474" s="713"/>
      <c r="R474" s="713"/>
      <c r="S474" s="713"/>
      <c r="T474" s="713"/>
      <c r="U474" s="713"/>
      <c r="V474" s="713"/>
      <c r="W474" s="713"/>
      <c r="X474" s="713"/>
      <c r="Y474" s="713"/>
      <c r="Z474" s="713"/>
      <c r="AA474" s="707"/>
      <c r="AB474" s="707"/>
      <c r="AC474" s="707"/>
      <c r="AD474" s="707"/>
      <c r="AE474" s="707"/>
      <c r="AF474" s="707"/>
      <c r="AG474" s="707"/>
      <c r="AH474" s="707"/>
      <c r="AI474" s="707"/>
      <c r="AJ474" s="707"/>
      <c r="AK474" s="707"/>
      <c r="AL474" s="707"/>
      <c r="AM474" s="707"/>
      <c r="AN474" s="707"/>
      <c r="AO474" s="707"/>
      <c r="AP474" s="707"/>
      <c r="AQ474" s="707"/>
      <c r="AR474" s="707"/>
      <c r="AS474" s="707"/>
      <c r="AT474" s="707"/>
      <c r="AU474" s="707"/>
      <c r="AV474" s="707"/>
      <c r="AW474" s="707"/>
      <c r="AX474" s="707"/>
      <c r="AY474" s="707"/>
      <c r="AZ474" s="707"/>
      <c r="BA474" s="707"/>
      <c r="BB474" s="707"/>
      <c r="BC474" s="707"/>
      <c r="BD474" s="707"/>
      <c r="BE474" s="707"/>
      <c r="BF474" s="707"/>
      <c r="BG474" s="707"/>
      <c r="BH474" s="707"/>
      <c r="BI474" s="707"/>
      <c r="BJ474" s="707"/>
      <c r="BK474" s="707"/>
      <c r="BL474" s="707"/>
      <c r="BM474" s="707"/>
      <c r="BN474" s="707"/>
      <c r="BO474" s="707"/>
      <c r="BP474" s="707"/>
      <c r="BQ474" s="707"/>
      <c r="BR474" s="707"/>
      <c r="BS474" s="707"/>
      <c r="BT474" s="707"/>
      <c r="BU474" s="707"/>
      <c r="BV474" s="707"/>
      <c r="BW474" s="707"/>
      <c r="BX474" s="707"/>
      <c r="BY474" s="707"/>
      <c r="BZ474" s="707"/>
      <c r="CA474" s="707"/>
      <c r="CB474" s="707"/>
      <c r="CC474" s="707"/>
      <c r="CD474" s="707"/>
      <c r="CE474" s="707"/>
      <c r="CF474" s="707"/>
      <c r="CG474" s="707"/>
      <c r="CH474" s="707"/>
      <c r="CI474" s="707"/>
      <c r="CJ474" s="707"/>
      <c r="CK474" s="707"/>
      <c r="CL474" s="707"/>
      <c r="CM474" s="707"/>
      <c r="CN474" s="707"/>
      <c r="CO474" s="707"/>
      <c r="CP474" s="707"/>
      <c r="CQ474" s="707"/>
      <c r="CR474" s="707"/>
      <c r="CS474" s="707"/>
      <c r="CT474" s="707"/>
      <c r="CU474" s="707"/>
      <c r="CV474" s="707"/>
      <c r="CW474" s="707"/>
      <c r="CX474" s="707"/>
      <c r="CY474" s="707"/>
      <c r="CZ474" s="707"/>
      <c r="DA474" s="707"/>
      <c r="DB474" s="707"/>
      <c r="DC474" s="707"/>
      <c r="DD474" s="707"/>
      <c r="DE474" s="707"/>
      <c r="DF474" s="707"/>
      <c r="DG474" s="707"/>
      <c r="DH474" s="707"/>
      <c r="DI474" s="707"/>
      <c r="DJ474" s="707"/>
      <c r="DK474" s="707"/>
      <c r="DL474" s="707"/>
      <c r="DM474" s="707"/>
      <c r="DN474" s="707"/>
      <c r="DO474" s="707"/>
      <c r="DP474" s="707"/>
      <c r="DQ474" s="707"/>
      <c r="DR474" s="707"/>
      <c r="DS474" s="707"/>
      <c r="DT474" s="707"/>
      <c r="DU474" s="707"/>
      <c r="DV474" s="707"/>
      <c r="DW474" s="707"/>
      <c r="DX474" s="707"/>
      <c r="DY474" s="707"/>
      <c r="DZ474" s="707"/>
      <c r="EA474" s="707"/>
      <c r="EB474" s="707"/>
      <c r="EC474" s="707"/>
      <c r="ED474" s="707"/>
      <c r="EE474" s="707"/>
      <c r="EF474" s="707"/>
      <c r="EG474" s="707"/>
      <c r="EH474" s="707"/>
      <c r="EI474" s="707"/>
      <c r="EJ474" s="707"/>
      <c r="EK474" s="707"/>
      <c r="EL474" s="707"/>
      <c r="EM474" s="707"/>
      <c r="EN474" s="707"/>
      <c r="EO474" s="707"/>
      <c r="EP474" s="707"/>
      <c r="EQ474" s="707"/>
      <c r="ER474" s="707"/>
      <c r="ES474" s="707"/>
      <c r="ET474" s="707"/>
      <c r="EU474" s="707"/>
      <c r="EV474" s="707"/>
      <c r="EW474" s="707"/>
      <c r="EX474" s="707"/>
      <c r="EY474" s="707"/>
      <c r="EZ474" s="707"/>
      <c r="FA474" s="707"/>
      <c r="FB474" s="707"/>
      <c r="FC474" s="707"/>
      <c r="FD474" s="707"/>
      <c r="FE474" s="707"/>
      <c r="FF474" s="707"/>
      <c r="FG474" s="707"/>
      <c r="FH474" s="707"/>
      <c r="FI474" s="707"/>
      <c r="FJ474" s="707"/>
      <c r="FK474" s="707"/>
      <c r="FL474" s="707"/>
      <c r="FM474" s="707"/>
      <c r="FN474" s="707"/>
      <c r="FO474" s="707"/>
      <c r="FP474" s="707"/>
      <c r="FQ474" s="707"/>
      <c r="FR474" s="707"/>
      <c r="FS474" s="707"/>
      <c r="FT474" s="707"/>
      <c r="FU474" s="707"/>
      <c r="FV474" s="707"/>
      <c r="FW474" s="707"/>
      <c r="FX474" s="707"/>
      <c r="FY474" s="707"/>
      <c r="FZ474" s="707"/>
      <c r="GA474" s="707"/>
      <c r="GB474" s="707"/>
      <c r="GC474" s="707"/>
      <c r="GD474" s="707"/>
      <c r="GE474" s="707"/>
      <c r="GF474" s="707"/>
      <c r="GG474" s="707"/>
      <c r="GH474" s="707"/>
      <c r="GI474" s="707"/>
      <c r="GJ474" s="707"/>
      <c r="GK474" s="707"/>
      <c r="GL474" s="707"/>
      <c r="GM474" s="707"/>
      <c r="GN474" s="707"/>
      <c r="GO474" s="707"/>
      <c r="GP474" s="707"/>
      <c r="GQ474" s="707"/>
      <c r="GR474" s="707"/>
      <c r="GS474" s="707"/>
      <c r="GT474" s="707"/>
      <c r="GU474" s="707"/>
      <c r="GV474" s="707"/>
      <c r="GW474" s="707"/>
      <c r="GX474" s="707"/>
      <c r="GY474" s="707"/>
      <c r="GZ474" s="707"/>
      <c r="HA474" s="707"/>
      <c r="HB474" s="707"/>
      <c r="HC474" s="707"/>
      <c r="HD474" s="707"/>
      <c r="HE474" s="707"/>
      <c r="HF474" s="707"/>
      <c r="HG474" s="707"/>
      <c r="HH474" s="707"/>
      <c r="HI474" s="707"/>
      <c r="HJ474" s="707"/>
      <c r="HK474" s="707"/>
      <c r="HL474" s="707"/>
      <c r="HM474" s="707"/>
      <c r="HN474" s="707"/>
      <c r="HO474" s="707"/>
      <c r="HP474" s="707"/>
      <c r="HQ474" s="707"/>
      <c r="HR474" s="707"/>
      <c r="HS474" s="707"/>
      <c r="HT474" s="707"/>
      <c r="HU474" s="707"/>
      <c r="HV474" s="707"/>
      <c r="HW474" s="707"/>
      <c r="HX474" s="707"/>
      <c r="HY474" s="707"/>
      <c r="HZ474" s="707"/>
      <c r="IA474" s="707"/>
      <c r="IB474" s="707"/>
      <c r="IC474" s="707"/>
      <c r="ID474" s="707"/>
      <c r="IE474" s="707"/>
      <c r="IF474" s="707"/>
      <c r="IG474" s="707"/>
      <c r="IH474" s="707"/>
      <c r="II474" s="707"/>
      <c r="IJ474" s="707"/>
      <c r="IK474" s="707"/>
      <c r="IL474" s="707"/>
      <c r="IM474" s="707"/>
      <c r="IN474" s="707"/>
      <c r="IO474" s="707"/>
      <c r="IP474" s="707"/>
      <c r="IQ474" s="707"/>
      <c r="IR474" s="707"/>
      <c r="IS474" s="707"/>
      <c r="IT474" s="707"/>
      <c r="IU474" s="707"/>
      <c r="IV474" s="707"/>
      <c r="IW474" s="707"/>
    </row>
    <row r="475" customFormat="false" ht="12.75" hidden="false" customHeight="false" outlineLevel="0" collapsed="false">
      <c r="A475" s="366"/>
      <c r="B475" s="712"/>
      <c r="C475" s="712"/>
      <c r="D475" s="712"/>
      <c r="E475" s="713"/>
      <c r="F475" s="713"/>
      <c r="G475" s="713"/>
      <c r="H475" s="713"/>
      <c r="I475" s="713"/>
      <c r="J475" s="713"/>
      <c r="K475" s="713"/>
      <c r="L475" s="713"/>
      <c r="M475" s="713"/>
      <c r="N475" s="713"/>
      <c r="O475" s="713"/>
      <c r="P475" s="713"/>
      <c r="Q475" s="713"/>
      <c r="R475" s="713"/>
      <c r="S475" s="713"/>
      <c r="T475" s="713"/>
      <c r="U475" s="713"/>
      <c r="V475" s="713"/>
      <c r="W475" s="713"/>
      <c r="X475" s="713"/>
      <c r="Y475" s="713"/>
      <c r="Z475" s="713"/>
      <c r="AA475" s="707"/>
      <c r="AB475" s="707"/>
      <c r="AC475" s="707"/>
      <c r="AD475" s="707"/>
      <c r="AE475" s="707"/>
      <c r="AF475" s="707"/>
      <c r="AG475" s="707"/>
      <c r="AH475" s="707"/>
      <c r="AI475" s="707"/>
      <c r="AJ475" s="707"/>
      <c r="AK475" s="707"/>
      <c r="AL475" s="707"/>
      <c r="AM475" s="707"/>
      <c r="AN475" s="707"/>
      <c r="AO475" s="707"/>
      <c r="AP475" s="707"/>
      <c r="AQ475" s="707"/>
      <c r="AR475" s="707"/>
      <c r="AS475" s="707"/>
      <c r="AT475" s="707"/>
      <c r="AU475" s="707"/>
      <c r="AV475" s="707"/>
      <c r="AW475" s="707"/>
      <c r="AX475" s="707"/>
      <c r="AY475" s="707"/>
      <c r="AZ475" s="707"/>
      <c r="BA475" s="707"/>
      <c r="BB475" s="707"/>
      <c r="BC475" s="707"/>
      <c r="BD475" s="707"/>
      <c r="BE475" s="707"/>
      <c r="BF475" s="707"/>
      <c r="BG475" s="707"/>
      <c r="BH475" s="707"/>
      <c r="BI475" s="707"/>
      <c r="BJ475" s="707"/>
      <c r="BK475" s="707"/>
      <c r="BL475" s="707"/>
      <c r="BM475" s="707"/>
      <c r="BN475" s="707"/>
      <c r="BO475" s="707"/>
      <c r="BP475" s="707"/>
      <c r="BQ475" s="707"/>
      <c r="BR475" s="707"/>
      <c r="BS475" s="707"/>
      <c r="BT475" s="707"/>
      <c r="BU475" s="707"/>
      <c r="BV475" s="707"/>
      <c r="BW475" s="707"/>
      <c r="BX475" s="707"/>
      <c r="BY475" s="707"/>
      <c r="BZ475" s="707"/>
      <c r="CA475" s="707"/>
      <c r="CB475" s="707"/>
      <c r="CC475" s="707"/>
      <c r="CD475" s="707"/>
      <c r="CE475" s="707"/>
      <c r="CF475" s="707"/>
      <c r="CG475" s="707"/>
      <c r="CH475" s="707"/>
      <c r="CI475" s="707"/>
      <c r="CJ475" s="707"/>
      <c r="CK475" s="707"/>
      <c r="CL475" s="707"/>
      <c r="CM475" s="707"/>
      <c r="CN475" s="707"/>
      <c r="CO475" s="707"/>
      <c r="CP475" s="707"/>
      <c r="CQ475" s="707"/>
      <c r="CR475" s="707"/>
      <c r="CS475" s="707"/>
      <c r="CT475" s="707"/>
      <c r="CU475" s="707"/>
      <c r="CV475" s="707"/>
      <c r="CW475" s="707"/>
      <c r="CX475" s="707"/>
      <c r="CY475" s="707"/>
      <c r="CZ475" s="707"/>
      <c r="DA475" s="707"/>
      <c r="DB475" s="707"/>
      <c r="DC475" s="707"/>
      <c r="DD475" s="707"/>
      <c r="DE475" s="707"/>
      <c r="DF475" s="707"/>
      <c r="DG475" s="707"/>
      <c r="DH475" s="707"/>
      <c r="DI475" s="707"/>
      <c r="DJ475" s="707"/>
      <c r="DK475" s="707"/>
      <c r="DL475" s="707"/>
      <c r="DM475" s="707"/>
      <c r="DN475" s="707"/>
      <c r="DO475" s="707"/>
      <c r="DP475" s="707"/>
      <c r="DQ475" s="707"/>
      <c r="DR475" s="707"/>
      <c r="DS475" s="707"/>
      <c r="DT475" s="707"/>
      <c r="DU475" s="707"/>
      <c r="DV475" s="707"/>
      <c r="DW475" s="707"/>
      <c r="DX475" s="707"/>
      <c r="DY475" s="707"/>
      <c r="DZ475" s="707"/>
      <c r="EA475" s="707"/>
      <c r="EB475" s="707"/>
      <c r="EC475" s="707"/>
      <c r="ED475" s="707"/>
      <c r="EE475" s="707"/>
      <c r="EF475" s="707"/>
      <c r="EG475" s="707"/>
      <c r="EH475" s="707"/>
      <c r="EI475" s="707"/>
      <c r="EJ475" s="707"/>
      <c r="EK475" s="707"/>
      <c r="EL475" s="707"/>
      <c r="EM475" s="707"/>
      <c r="EN475" s="707"/>
      <c r="EO475" s="707"/>
      <c r="EP475" s="707"/>
      <c r="EQ475" s="707"/>
      <c r="ER475" s="707"/>
      <c r="ES475" s="707"/>
      <c r="ET475" s="707"/>
      <c r="EU475" s="707"/>
      <c r="EV475" s="707"/>
      <c r="EW475" s="707"/>
      <c r="EX475" s="707"/>
      <c r="EY475" s="707"/>
      <c r="EZ475" s="707"/>
      <c r="FA475" s="707"/>
      <c r="FB475" s="707"/>
      <c r="FC475" s="707"/>
      <c r="FD475" s="707"/>
      <c r="FE475" s="707"/>
      <c r="FF475" s="707"/>
      <c r="FG475" s="707"/>
      <c r="FH475" s="707"/>
      <c r="FI475" s="707"/>
      <c r="FJ475" s="707"/>
      <c r="FK475" s="707"/>
      <c r="FL475" s="707"/>
      <c r="FM475" s="707"/>
      <c r="FN475" s="707"/>
      <c r="FO475" s="707"/>
      <c r="FP475" s="707"/>
      <c r="FQ475" s="707"/>
      <c r="FR475" s="707"/>
      <c r="FS475" s="707"/>
      <c r="FT475" s="707"/>
      <c r="FU475" s="707"/>
      <c r="FV475" s="707"/>
      <c r="FW475" s="707"/>
      <c r="FX475" s="707"/>
      <c r="FY475" s="707"/>
      <c r="FZ475" s="707"/>
      <c r="GA475" s="707"/>
      <c r="GB475" s="707"/>
      <c r="GC475" s="707"/>
      <c r="GD475" s="707"/>
      <c r="GE475" s="707"/>
      <c r="GF475" s="707"/>
      <c r="GG475" s="707"/>
      <c r="GH475" s="707"/>
      <c r="GI475" s="707"/>
      <c r="GJ475" s="707"/>
      <c r="GK475" s="707"/>
      <c r="GL475" s="707"/>
      <c r="GM475" s="707"/>
      <c r="GN475" s="707"/>
      <c r="GO475" s="707"/>
      <c r="GP475" s="707"/>
      <c r="GQ475" s="707"/>
      <c r="GR475" s="707"/>
      <c r="GS475" s="707"/>
      <c r="GT475" s="707"/>
      <c r="GU475" s="707"/>
      <c r="GV475" s="707"/>
      <c r="GW475" s="707"/>
      <c r="GX475" s="707"/>
      <c r="GY475" s="707"/>
      <c r="GZ475" s="707"/>
      <c r="HA475" s="707"/>
      <c r="HB475" s="707"/>
      <c r="HC475" s="707"/>
      <c r="HD475" s="707"/>
      <c r="HE475" s="707"/>
      <c r="HF475" s="707"/>
      <c r="HG475" s="707"/>
      <c r="HH475" s="707"/>
      <c r="HI475" s="707"/>
      <c r="HJ475" s="707"/>
      <c r="HK475" s="707"/>
      <c r="HL475" s="707"/>
      <c r="HM475" s="707"/>
      <c r="HN475" s="707"/>
      <c r="HO475" s="707"/>
      <c r="HP475" s="707"/>
      <c r="HQ475" s="707"/>
      <c r="HR475" s="707"/>
      <c r="HS475" s="707"/>
      <c r="HT475" s="707"/>
      <c r="HU475" s="707"/>
      <c r="HV475" s="707"/>
      <c r="HW475" s="707"/>
      <c r="HX475" s="707"/>
      <c r="HY475" s="707"/>
      <c r="HZ475" s="707"/>
      <c r="IA475" s="707"/>
      <c r="IB475" s="707"/>
      <c r="IC475" s="707"/>
      <c r="ID475" s="707"/>
      <c r="IE475" s="707"/>
      <c r="IF475" s="707"/>
      <c r="IG475" s="707"/>
      <c r="IH475" s="707"/>
      <c r="II475" s="707"/>
      <c r="IJ475" s="707"/>
      <c r="IK475" s="707"/>
      <c r="IL475" s="707"/>
      <c r="IM475" s="707"/>
      <c r="IN475" s="707"/>
      <c r="IO475" s="707"/>
      <c r="IP475" s="707"/>
      <c r="IQ475" s="707"/>
      <c r="IR475" s="707"/>
      <c r="IS475" s="707"/>
      <c r="IT475" s="707"/>
      <c r="IU475" s="707"/>
      <c r="IV475" s="707"/>
      <c r="IW475" s="707"/>
    </row>
    <row r="476" customFormat="false" ht="12.75" hidden="false" customHeight="false" outlineLevel="0" collapsed="false">
      <c r="A476" s="245"/>
      <c r="B476" s="707"/>
      <c r="C476" s="707"/>
      <c r="D476" s="707"/>
      <c r="E476" s="713"/>
      <c r="F476" s="713"/>
      <c r="G476" s="713"/>
      <c r="H476" s="713"/>
      <c r="I476" s="713"/>
      <c r="J476" s="713"/>
      <c r="K476" s="713"/>
      <c r="L476" s="713"/>
      <c r="M476" s="713"/>
      <c r="N476" s="713"/>
      <c r="O476" s="713"/>
      <c r="P476" s="713"/>
      <c r="Q476" s="713"/>
      <c r="R476" s="713"/>
      <c r="S476" s="713"/>
      <c r="T476" s="713"/>
      <c r="U476" s="713"/>
      <c r="V476" s="713"/>
      <c r="W476" s="713"/>
      <c r="X476" s="713"/>
      <c r="Y476" s="713"/>
      <c r="Z476" s="713"/>
      <c r="AA476" s="707"/>
      <c r="AB476" s="707"/>
      <c r="AC476" s="707"/>
      <c r="AD476" s="707"/>
      <c r="AE476" s="707"/>
      <c r="AF476" s="707"/>
      <c r="AG476" s="707"/>
      <c r="AH476" s="707"/>
      <c r="AI476" s="707"/>
      <c r="AJ476" s="707"/>
      <c r="AK476" s="707"/>
      <c r="AL476" s="707"/>
      <c r="AM476" s="707"/>
      <c r="AN476" s="707"/>
      <c r="AO476" s="707"/>
      <c r="AP476" s="707"/>
      <c r="AQ476" s="707"/>
      <c r="AR476" s="707"/>
      <c r="AS476" s="707"/>
      <c r="AT476" s="707"/>
      <c r="AU476" s="707"/>
      <c r="AV476" s="707"/>
      <c r="AW476" s="707"/>
      <c r="AX476" s="707"/>
      <c r="AY476" s="707"/>
      <c r="AZ476" s="707"/>
      <c r="BA476" s="707"/>
      <c r="BB476" s="707"/>
      <c r="BC476" s="707"/>
      <c r="BD476" s="707"/>
      <c r="BE476" s="707"/>
      <c r="BF476" s="707"/>
      <c r="BG476" s="707"/>
      <c r="BH476" s="707"/>
      <c r="BI476" s="707"/>
      <c r="BJ476" s="707"/>
      <c r="BK476" s="707"/>
      <c r="BL476" s="707"/>
      <c r="BM476" s="707"/>
      <c r="BN476" s="707"/>
      <c r="BO476" s="707"/>
      <c r="BP476" s="707"/>
      <c r="BQ476" s="707"/>
      <c r="BR476" s="707"/>
      <c r="BS476" s="707"/>
      <c r="BT476" s="707"/>
      <c r="BU476" s="707"/>
      <c r="BV476" s="707"/>
      <c r="BW476" s="707"/>
      <c r="BX476" s="707"/>
      <c r="BY476" s="707"/>
      <c r="BZ476" s="707"/>
      <c r="CA476" s="707"/>
      <c r="CB476" s="707"/>
      <c r="CC476" s="707"/>
      <c r="CD476" s="707"/>
      <c r="CE476" s="707"/>
      <c r="CF476" s="707"/>
      <c r="CG476" s="707"/>
      <c r="CH476" s="707"/>
      <c r="CI476" s="707"/>
      <c r="CJ476" s="707"/>
      <c r="CK476" s="707"/>
      <c r="CL476" s="707"/>
      <c r="CM476" s="707"/>
      <c r="CN476" s="707"/>
      <c r="CO476" s="707"/>
      <c r="CP476" s="707"/>
      <c r="CQ476" s="707"/>
      <c r="CR476" s="707"/>
      <c r="CS476" s="707"/>
      <c r="CT476" s="707"/>
      <c r="CU476" s="707"/>
      <c r="CV476" s="707"/>
      <c r="CW476" s="707"/>
      <c r="CX476" s="707"/>
      <c r="CY476" s="707"/>
      <c r="CZ476" s="707"/>
      <c r="DA476" s="707"/>
      <c r="DB476" s="707"/>
      <c r="DC476" s="707"/>
      <c r="DD476" s="707"/>
      <c r="DE476" s="707"/>
      <c r="DF476" s="707"/>
      <c r="DG476" s="707"/>
      <c r="DH476" s="707"/>
      <c r="DI476" s="707"/>
      <c r="DJ476" s="707"/>
      <c r="DK476" s="707"/>
      <c r="DL476" s="707"/>
      <c r="DM476" s="707"/>
      <c r="DN476" s="707"/>
      <c r="DO476" s="707"/>
      <c r="DP476" s="707"/>
      <c r="DQ476" s="707"/>
      <c r="DR476" s="707"/>
      <c r="DS476" s="707"/>
      <c r="DT476" s="707"/>
      <c r="DU476" s="707"/>
      <c r="DV476" s="707"/>
      <c r="DW476" s="707"/>
      <c r="DX476" s="707"/>
      <c r="DY476" s="707"/>
      <c r="DZ476" s="707"/>
      <c r="EA476" s="707"/>
      <c r="EB476" s="707"/>
      <c r="EC476" s="707"/>
      <c r="ED476" s="707"/>
      <c r="EE476" s="707"/>
      <c r="EF476" s="707"/>
      <c r="EG476" s="707"/>
      <c r="EH476" s="707"/>
      <c r="EI476" s="707"/>
      <c r="EJ476" s="707"/>
      <c r="EK476" s="707"/>
      <c r="EL476" s="707"/>
      <c r="EM476" s="707"/>
      <c r="EN476" s="707"/>
      <c r="EO476" s="707"/>
      <c r="EP476" s="707"/>
      <c r="EQ476" s="707"/>
      <c r="ER476" s="707"/>
      <c r="ES476" s="707"/>
      <c r="ET476" s="707"/>
      <c r="EU476" s="707"/>
      <c r="EV476" s="707"/>
      <c r="EW476" s="707"/>
      <c r="EX476" s="707"/>
      <c r="EY476" s="707"/>
      <c r="EZ476" s="707"/>
      <c r="FA476" s="707"/>
      <c r="FB476" s="707"/>
      <c r="FC476" s="707"/>
      <c r="FD476" s="707"/>
      <c r="FE476" s="707"/>
      <c r="FF476" s="707"/>
      <c r="FG476" s="707"/>
      <c r="FH476" s="707"/>
      <c r="FI476" s="707"/>
      <c r="FJ476" s="707"/>
      <c r="FK476" s="707"/>
      <c r="FL476" s="707"/>
      <c r="FM476" s="707"/>
      <c r="FN476" s="707"/>
      <c r="FO476" s="707"/>
      <c r="FP476" s="707"/>
      <c r="FQ476" s="707"/>
      <c r="FR476" s="707"/>
      <c r="FS476" s="707"/>
      <c r="FT476" s="707"/>
      <c r="FU476" s="707"/>
      <c r="FV476" s="707"/>
      <c r="FW476" s="707"/>
      <c r="FX476" s="707"/>
      <c r="FY476" s="707"/>
      <c r="FZ476" s="707"/>
      <c r="GA476" s="707"/>
      <c r="GB476" s="707"/>
      <c r="GC476" s="707"/>
      <c r="GD476" s="707"/>
      <c r="GE476" s="707"/>
      <c r="GF476" s="707"/>
      <c r="GG476" s="707"/>
      <c r="GH476" s="707"/>
      <c r="GI476" s="707"/>
      <c r="GJ476" s="707"/>
      <c r="GK476" s="707"/>
      <c r="GL476" s="707"/>
      <c r="GM476" s="707"/>
      <c r="GN476" s="707"/>
      <c r="GO476" s="707"/>
      <c r="GP476" s="707"/>
      <c r="GQ476" s="707"/>
      <c r="GR476" s="707"/>
      <c r="GS476" s="707"/>
      <c r="GT476" s="707"/>
      <c r="GU476" s="707"/>
      <c r="GV476" s="707"/>
      <c r="GW476" s="707"/>
      <c r="GX476" s="707"/>
      <c r="GY476" s="707"/>
      <c r="GZ476" s="707"/>
      <c r="HA476" s="707"/>
      <c r="HB476" s="707"/>
      <c r="HC476" s="707"/>
      <c r="HD476" s="707"/>
      <c r="HE476" s="707"/>
      <c r="HF476" s="707"/>
      <c r="HG476" s="707"/>
      <c r="HH476" s="707"/>
      <c r="HI476" s="707"/>
      <c r="HJ476" s="707"/>
      <c r="HK476" s="707"/>
      <c r="HL476" s="707"/>
      <c r="HM476" s="707"/>
      <c r="HN476" s="707"/>
      <c r="HO476" s="707"/>
      <c r="HP476" s="707"/>
      <c r="HQ476" s="707"/>
      <c r="HR476" s="707"/>
      <c r="HS476" s="707"/>
      <c r="HT476" s="707"/>
      <c r="HU476" s="707"/>
      <c r="HV476" s="707"/>
      <c r="HW476" s="707"/>
      <c r="HX476" s="707"/>
      <c r="HY476" s="707"/>
      <c r="HZ476" s="707"/>
      <c r="IA476" s="707"/>
      <c r="IB476" s="707"/>
      <c r="IC476" s="707"/>
      <c r="ID476" s="707"/>
      <c r="IE476" s="707"/>
      <c r="IF476" s="707"/>
      <c r="IG476" s="707"/>
      <c r="IH476" s="707"/>
      <c r="II476" s="707"/>
      <c r="IJ476" s="707"/>
      <c r="IK476" s="707"/>
      <c r="IL476" s="707"/>
      <c r="IM476" s="707"/>
      <c r="IN476" s="707"/>
      <c r="IO476" s="707"/>
      <c r="IP476" s="707"/>
      <c r="IQ476" s="707"/>
      <c r="IR476" s="707"/>
      <c r="IS476" s="707"/>
      <c r="IT476" s="707"/>
      <c r="IU476" s="707"/>
      <c r="IV476" s="707"/>
      <c r="IW476" s="707"/>
    </row>
    <row r="477" customFormat="false" ht="12.75" hidden="false" customHeight="false" outlineLevel="0" collapsed="false">
      <c r="A477" s="388"/>
      <c r="B477" s="706"/>
      <c r="C477" s="706"/>
      <c r="D477" s="706"/>
      <c r="E477" s="713"/>
      <c r="F477" s="713"/>
      <c r="G477" s="713"/>
      <c r="H477" s="713"/>
      <c r="I477" s="713"/>
      <c r="J477" s="713"/>
      <c r="K477" s="713"/>
      <c r="L477" s="713"/>
      <c r="M477" s="713"/>
      <c r="N477" s="713"/>
      <c r="O477" s="713"/>
      <c r="P477" s="713"/>
      <c r="Q477" s="713"/>
      <c r="R477" s="713"/>
      <c r="S477" s="713"/>
      <c r="T477" s="713"/>
      <c r="U477" s="713"/>
      <c r="V477" s="713"/>
      <c r="W477" s="713"/>
      <c r="X477" s="713"/>
      <c r="Y477" s="713"/>
      <c r="Z477" s="713"/>
      <c r="AA477" s="707"/>
      <c r="AB477" s="707"/>
      <c r="AC477" s="707"/>
      <c r="AD477" s="707"/>
      <c r="AE477" s="707"/>
      <c r="AF477" s="707"/>
      <c r="AG477" s="707"/>
      <c r="AH477" s="707"/>
      <c r="AI477" s="707"/>
      <c r="AJ477" s="707"/>
      <c r="AK477" s="707"/>
      <c r="AL477" s="707"/>
      <c r="AM477" s="707"/>
      <c r="AN477" s="707"/>
      <c r="AO477" s="707"/>
      <c r="AP477" s="707"/>
      <c r="AQ477" s="707"/>
      <c r="AR477" s="707"/>
      <c r="AS477" s="707"/>
      <c r="AT477" s="707"/>
      <c r="AU477" s="707"/>
      <c r="AV477" s="707"/>
      <c r="AW477" s="707"/>
      <c r="AX477" s="707"/>
      <c r="AY477" s="707"/>
      <c r="AZ477" s="707"/>
      <c r="BA477" s="707"/>
      <c r="BB477" s="707"/>
      <c r="BC477" s="707"/>
      <c r="BD477" s="707"/>
      <c r="BE477" s="707"/>
      <c r="BF477" s="707"/>
      <c r="BG477" s="707"/>
      <c r="BH477" s="707"/>
      <c r="BI477" s="707"/>
      <c r="BJ477" s="707"/>
      <c r="BK477" s="707"/>
      <c r="BL477" s="707"/>
      <c r="BM477" s="707"/>
      <c r="BN477" s="707"/>
      <c r="BO477" s="707"/>
      <c r="BP477" s="707"/>
      <c r="BQ477" s="707"/>
      <c r="BR477" s="707"/>
      <c r="BS477" s="707"/>
      <c r="BT477" s="707"/>
      <c r="BU477" s="707"/>
      <c r="BV477" s="707"/>
      <c r="BW477" s="707"/>
      <c r="BX477" s="707"/>
      <c r="BY477" s="707"/>
      <c r="BZ477" s="707"/>
      <c r="CA477" s="707"/>
      <c r="CB477" s="707"/>
      <c r="CC477" s="707"/>
      <c r="CD477" s="707"/>
      <c r="CE477" s="707"/>
      <c r="CF477" s="707"/>
      <c r="CG477" s="707"/>
      <c r="CH477" s="707"/>
      <c r="CI477" s="707"/>
      <c r="CJ477" s="707"/>
      <c r="CK477" s="707"/>
      <c r="CL477" s="707"/>
      <c r="CM477" s="707"/>
      <c r="CN477" s="707"/>
      <c r="CO477" s="707"/>
      <c r="CP477" s="707"/>
      <c r="CQ477" s="707"/>
      <c r="CR477" s="707"/>
      <c r="CS477" s="707"/>
      <c r="CT477" s="707"/>
      <c r="CU477" s="707"/>
      <c r="CV477" s="707"/>
      <c r="CW477" s="707"/>
      <c r="CX477" s="707"/>
      <c r="CY477" s="707"/>
      <c r="CZ477" s="707"/>
      <c r="DA477" s="707"/>
      <c r="DB477" s="707"/>
      <c r="DC477" s="707"/>
      <c r="DD477" s="707"/>
      <c r="DE477" s="707"/>
      <c r="DF477" s="707"/>
      <c r="DG477" s="707"/>
      <c r="DH477" s="707"/>
      <c r="DI477" s="707"/>
      <c r="DJ477" s="707"/>
      <c r="DK477" s="707"/>
      <c r="DL477" s="707"/>
      <c r="DM477" s="707"/>
      <c r="DN477" s="707"/>
      <c r="DO477" s="707"/>
      <c r="DP477" s="707"/>
      <c r="DQ477" s="707"/>
      <c r="DR477" s="707"/>
      <c r="DS477" s="707"/>
      <c r="DT477" s="707"/>
      <c r="DU477" s="707"/>
      <c r="DV477" s="707"/>
      <c r="DW477" s="707"/>
      <c r="DX477" s="707"/>
      <c r="DY477" s="707"/>
      <c r="DZ477" s="707"/>
      <c r="EA477" s="707"/>
      <c r="EB477" s="707"/>
      <c r="EC477" s="707"/>
      <c r="ED477" s="707"/>
      <c r="EE477" s="707"/>
      <c r="EF477" s="707"/>
      <c r="EG477" s="707"/>
      <c r="EH477" s="707"/>
      <c r="EI477" s="707"/>
      <c r="EJ477" s="707"/>
      <c r="EK477" s="707"/>
      <c r="EL477" s="707"/>
      <c r="EM477" s="707"/>
      <c r="EN477" s="707"/>
      <c r="EO477" s="707"/>
      <c r="EP477" s="707"/>
      <c r="EQ477" s="707"/>
      <c r="ER477" s="707"/>
      <c r="ES477" s="707"/>
      <c r="ET477" s="707"/>
      <c r="EU477" s="707"/>
      <c r="EV477" s="707"/>
      <c r="EW477" s="707"/>
      <c r="EX477" s="707"/>
      <c r="EY477" s="707"/>
      <c r="EZ477" s="707"/>
      <c r="FA477" s="707"/>
      <c r="FB477" s="707"/>
      <c r="FC477" s="707"/>
      <c r="FD477" s="707"/>
      <c r="FE477" s="707"/>
      <c r="FF477" s="707"/>
      <c r="FG477" s="707"/>
      <c r="FH477" s="707"/>
      <c r="FI477" s="707"/>
      <c r="FJ477" s="707"/>
      <c r="FK477" s="707"/>
      <c r="FL477" s="707"/>
      <c r="FM477" s="707"/>
      <c r="FN477" s="707"/>
      <c r="FO477" s="707"/>
      <c r="FP477" s="707"/>
      <c r="FQ477" s="707"/>
      <c r="FR477" s="707"/>
      <c r="FS477" s="707"/>
      <c r="FT477" s="707"/>
      <c r="FU477" s="707"/>
      <c r="FV477" s="707"/>
      <c r="FW477" s="707"/>
      <c r="FX477" s="707"/>
      <c r="FY477" s="707"/>
      <c r="FZ477" s="707"/>
      <c r="GA477" s="707"/>
      <c r="GB477" s="707"/>
      <c r="GC477" s="707"/>
      <c r="GD477" s="707"/>
      <c r="GE477" s="707"/>
      <c r="GF477" s="707"/>
      <c r="GG477" s="707"/>
      <c r="GH477" s="707"/>
      <c r="GI477" s="707"/>
      <c r="GJ477" s="707"/>
      <c r="GK477" s="707"/>
      <c r="GL477" s="707"/>
      <c r="GM477" s="707"/>
      <c r="GN477" s="707"/>
      <c r="GO477" s="707"/>
      <c r="GP477" s="707"/>
      <c r="GQ477" s="707"/>
      <c r="GR477" s="707"/>
      <c r="GS477" s="707"/>
      <c r="GT477" s="707"/>
      <c r="GU477" s="707"/>
      <c r="GV477" s="707"/>
      <c r="GW477" s="707"/>
      <c r="GX477" s="707"/>
      <c r="GY477" s="707"/>
      <c r="GZ477" s="707"/>
      <c r="HA477" s="707"/>
      <c r="HB477" s="707"/>
      <c r="HC477" s="707"/>
      <c r="HD477" s="707"/>
      <c r="HE477" s="707"/>
      <c r="HF477" s="707"/>
      <c r="HG477" s="707"/>
      <c r="HH477" s="707"/>
      <c r="HI477" s="707"/>
      <c r="HJ477" s="707"/>
      <c r="HK477" s="707"/>
      <c r="HL477" s="707"/>
      <c r="HM477" s="707"/>
      <c r="HN477" s="707"/>
      <c r="HO477" s="707"/>
      <c r="HP477" s="707"/>
      <c r="HQ477" s="707"/>
      <c r="HR477" s="707"/>
      <c r="HS477" s="707"/>
      <c r="HT477" s="707"/>
      <c r="HU477" s="707"/>
      <c r="HV477" s="707"/>
      <c r="HW477" s="707"/>
      <c r="HX477" s="707"/>
      <c r="HY477" s="707"/>
      <c r="HZ477" s="707"/>
      <c r="IA477" s="707"/>
      <c r="IB477" s="707"/>
      <c r="IC477" s="707"/>
      <c r="ID477" s="707"/>
      <c r="IE477" s="707"/>
      <c r="IF477" s="707"/>
      <c r="IG477" s="707"/>
      <c r="IH477" s="707"/>
      <c r="II477" s="707"/>
      <c r="IJ477" s="707"/>
      <c r="IK477" s="707"/>
      <c r="IL477" s="707"/>
      <c r="IM477" s="707"/>
      <c r="IN477" s="707"/>
      <c r="IO477" s="707"/>
      <c r="IP477" s="707"/>
      <c r="IQ477" s="707"/>
      <c r="IR477" s="707"/>
      <c r="IS477" s="707"/>
      <c r="IT477" s="707"/>
      <c r="IU477" s="707"/>
      <c r="IV477" s="707"/>
      <c r="IW477" s="707"/>
    </row>
    <row r="478" customFormat="false" ht="12.75" hidden="false" customHeight="false" outlineLevel="0" collapsed="false">
      <c r="A478" s="716"/>
      <c r="B478" s="717"/>
      <c r="C478" s="717"/>
      <c r="D478" s="717"/>
      <c r="E478" s="713"/>
      <c r="F478" s="713"/>
      <c r="G478" s="713"/>
      <c r="H478" s="713"/>
      <c r="I478" s="713"/>
      <c r="J478" s="713"/>
      <c r="K478" s="713"/>
      <c r="L478" s="713"/>
      <c r="M478" s="713"/>
      <c r="N478" s="713"/>
      <c r="O478" s="713"/>
      <c r="P478" s="713"/>
      <c r="Q478" s="713"/>
      <c r="R478" s="713"/>
      <c r="S478" s="713"/>
      <c r="T478" s="713"/>
      <c r="U478" s="713"/>
      <c r="V478" s="713"/>
      <c r="W478" s="713"/>
      <c r="X478" s="713"/>
      <c r="Y478" s="713"/>
      <c r="Z478" s="713"/>
      <c r="AA478" s="707"/>
      <c r="AB478" s="707"/>
      <c r="AC478" s="707"/>
      <c r="AD478" s="707"/>
      <c r="AE478" s="707"/>
      <c r="AF478" s="707"/>
      <c r="AG478" s="707"/>
      <c r="AH478" s="707"/>
      <c r="AI478" s="707"/>
      <c r="AJ478" s="707"/>
      <c r="AK478" s="707"/>
      <c r="AL478" s="707"/>
      <c r="AM478" s="707"/>
      <c r="AN478" s="707"/>
      <c r="AO478" s="707"/>
      <c r="AP478" s="707"/>
      <c r="AQ478" s="707"/>
      <c r="AR478" s="707"/>
      <c r="AS478" s="707"/>
      <c r="AT478" s="707"/>
      <c r="AU478" s="707"/>
      <c r="AV478" s="707"/>
      <c r="AW478" s="707"/>
      <c r="AX478" s="707"/>
      <c r="AY478" s="707"/>
      <c r="AZ478" s="707"/>
      <c r="BA478" s="707"/>
      <c r="BB478" s="707"/>
      <c r="BC478" s="707"/>
      <c r="BD478" s="707"/>
      <c r="BE478" s="707"/>
      <c r="BF478" s="707"/>
      <c r="BG478" s="707"/>
      <c r="BH478" s="707"/>
      <c r="BI478" s="707"/>
      <c r="BJ478" s="707"/>
      <c r="BK478" s="707"/>
      <c r="BL478" s="707"/>
      <c r="BM478" s="707"/>
      <c r="BN478" s="707"/>
      <c r="BO478" s="707"/>
      <c r="BP478" s="707"/>
      <c r="BQ478" s="707"/>
      <c r="BR478" s="707"/>
      <c r="BS478" s="707"/>
      <c r="BT478" s="707"/>
      <c r="BU478" s="707"/>
      <c r="BV478" s="707"/>
      <c r="BW478" s="707"/>
      <c r="BX478" s="707"/>
      <c r="BY478" s="707"/>
      <c r="BZ478" s="707"/>
      <c r="CA478" s="707"/>
      <c r="CB478" s="707"/>
      <c r="CC478" s="707"/>
      <c r="CD478" s="707"/>
      <c r="CE478" s="707"/>
      <c r="CF478" s="707"/>
      <c r="CG478" s="707"/>
      <c r="CH478" s="707"/>
      <c r="CI478" s="707"/>
      <c r="CJ478" s="707"/>
      <c r="CK478" s="707"/>
      <c r="CL478" s="707"/>
      <c r="CM478" s="707"/>
      <c r="CN478" s="707"/>
      <c r="CO478" s="707"/>
      <c r="CP478" s="707"/>
      <c r="CQ478" s="707"/>
      <c r="CR478" s="707"/>
      <c r="CS478" s="707"/>
      <c r="CT478" s="707"/>
      <c r="CU478" s="707"/>
      <c r="CV478" s="707"/>
      <c r="CW478" s="707"/>
      <c r="CX478" s="707"/>
      <c r="CY478" s="707"/>
      <c r="CZ478" s="707"/>
      <c r="DA478" s="707"/>
      <c r="DB478" s="707"/>
      <c r="DC478" s="707"/>
      <c r="DD478" s="707"/>
      <c r="DE478" s="707"/>
      <c r="DF478" s="707"/>
      <c r="DG478" s="707"/>
      <c r="DH478" s="707"/>
      <c r="DI478" s="707"/>
      <c r="DJ478" s="707"/>
      <c r="DK478" s="707"/>
      <c r="DL478" s="707"/>
      <c r="DM478" s="707"/>
      <c r="DN478" s="707"/>
      <c r="DO478" s="707"/>
      <c r="DP478" s="707"/>
      <c r="DQ478" s="707"/>
      <c r="DR478" s="707"/>
      <c r="DS478" s="707"/>
      <c r="DT478" s="707"/>
      <c r="DU478" s="707"/>
      <c r="DV478" s="707"/>
      <c r="DW478" s="707"/>
      <c r="DX478" s="707"/>
      <c r="DY478" s="707"/>
      <c r="DZ478" s="707"/>
      <c r="EA478" s="707"/>
      <c r="EB478" s="707"/>
      <c r="EC478" s="707"/>
      <c r="ED478" s="707"/>
      <c r="EE478" s="707"/>
      <c r="EF478" s="707"/>
      <c r="EG478" s="707"/>
      <c r="EH478" s="707"/>
      <c r="EI478" s="707"/>
      <c r="EJ478" s="707"/>
      <c r="EK478" s="707"/>
      <c r="EL478" s="707"/>
      <c r="EM478" s="707"/>
      <c r="EN478" s="707"/>
      <c r="EO478" s="707"/>
      <c r="EP478" s="707"/>
      <c r="EQ478" s="707"/>
      <c r="ER478" s="707"/>
      <c r="ES478" s="707"/>
      <c r="ET478" s="707"/>
      <c r="EU478" s="707"/>
      <c r="EV478" s="707"/>
      <c r="EW478" s="707"/>
      <c r="EX478" s="707"/>
      <c r="EY478" s="707"/>
      <c r="EZ478" s="707"/>
      <c r="FA478" s="707"/>
      <c r="FB478" s="707"/>
      <c r="FC478" s="707"/>
      <c r="FD478" s="707"/>
      <c r="FE478" s="707"/>
      <c r="FF478" s="707"/>
      <c r="FG478" s="707"/>
      <c r="FH478" s="707"/>
      <c r="FI478" s="707"/>
      <c r="FJ478" s="707"/>
      <c r="FK478" s="707"/>
      <c r="FL478" s="707"/>
      <c r="FM478" s="707"/>
      <c r="FN478" s="707"/>
      <c r="FO478" s="707"/>
      <c r="FP478" s="707"/>
      <c r="FQ478" s="707"/>
      <c r="FR478" s="707"/>
      <c r="FS478" s="707"/>
      <c r="FT478" s="707"/>
      <c r="FU478" s="707"/>
      <c r="FV478" s="707"/>
      <c r="FW478" s="707"/>
      <c r="FX478" s="707"/>
      <c r="FY478" s="707"/>
      <c r="FZ478" s="707"/>
      <c r="GA478" s="707"/>
      <c r="GB478" s="707"/>
      <c r="GC478" s="707"/>
      <c r="GD478" s="707"/>
      <c r="GE478" s="707"/>
      <c r="GF478" s="707"/>
      <c r="GG478" s="707"/>
      <c r="GH478" s="707"/>
      <c r="GI478" s="707"/>
      <c r="GJ478" s="707"/>
      <c r="GK478" s="707"/>
      <c r="GL478" s="707"/>
      <c r="GM478" s="707"/>
      <c r="GN478" s="707"/>
      <c r="GO478" s="707"/>
      <c r="GP478" s="707"/>
      <c r="GQ478" s="707"/>
      <c r="GR478" s="707"/>
      <c r="GS478" s="707"/>
      <c r="GT478" s="707"/>
      <c r="GU478" s="707"/>
      <c r="GV478" s="707"/>
      <c r="GW478" s="707"/>
      <c r="GX478" s="707"/>
      <c r="GY478" s="707"/>
      <c r="GZ478" s="707"/>
      <c r="HA478" s="707"/>
      <c r="HB478" s="707"/>
      <c r="HC478" s="707"/>
      <c r="HD478" s="707"/>
      <c r="HE478" s="707"/>
      <c r="HF478" s="707"/>
      <c r="HG478" s="707"/>
      <c r="HH478" s="707"/>
      <c r="HI478" s="707"/>
      <c r="HJ478" s="707"/>
      <c r="HK478" s="707"/>
      <c r="HL478" s="707"/>
      <c r="HM478" s="707"/>
      <c r="HN478" s="707"/>
      <c r="HO478" s="707"/>
      <c r="HP478" s="707"/>
      <c r="HQ478" s="707"/>
      <c r="HR478" s="707"/>
      <c r="HS478" s="707"/>
      <c r="HT478" s="707"/>
      <c r="HU478" s="707"/>
      <c r="HV478" s="707"/>
      <c r="HW478" s="707"/>
      <c r="HX478" s="707"/>
      <c r="HY478" s="707"/>
      <c r="HZ478" s="707"/>
      <c r="IA478" s="707"/>
      <c r="IB478" s="707"/>
      <c r="IC478" s="707"/>
      <c r="ID478" s="707"/>
      <c r="IE478" s="707"/>
      <c r="IF478" s="707"/>
      <c r="IG478" s="707"/>
      <c r="IH478" s="707"/>
      <c r="II478" s="707"/>
      <c r="IJ478" s="707"/>
      <c r="IK478" s="707"/>
      <c r="IL478" s="707"/>
      <c r="IM478" s="707"/>
      <c r="IN478" s="707"/>
      <c r="IO478" s="707"/>
      <c r="IP478" s="707"/>
      <c r="IQ478" s="707"/>
      <c r="IR478" s="707"/>
      <c r="IS478" s="707"/>
      <c r="IT478" s="707"/>
      <c r="IU478" s="707"/>
      <c r="IV478" s="707"/>
      <c r="IW478" s="707"/>
    </row>
    <row r="479" customFormat="false" ht="12.75" hidden="false" customHeight="false" outlineLevel="0" collapsed="false">
      <c r="A479" s="716"/>
      <c r="B479" s="717"/>
      <c r="C479" s="717"/>
      <c r="D479" s="717"/>
      <c r="E479" s="713"/>
      <c r="F479" s="713"/>
      <c r="G479" s="713"/>
      <c r="H479" s="713"/>
      <c r="I479" s="713"/>
      <c r="J479" s="713"/>
      <c r="K479" s="713"/>
      <c r="L479" s="713"/>
      <c r="M479" s="713"/>
      <c r="N479" s="713"/>
      <c r="O479" s="713"/>
      <c r="P479" s="713"/>
      <c r="Q479" s="713"/>
      <c r="R479" s="713"/>
      <c r="S479" s="713"/>
      <c r="T479" s="713"/>
      <c r="U479" s="713"/>
      <c r="V479" s="713"/>
      <c r="W479" s="713"/>
      <c r="X479" s="713"/>
      <c r="Y479" s="713"/>
      <c r="Z479" s="713"/>
      <c r="AA479" s="707"/>
      <c r="AB479" s="707"/>
      <c r="AC479" s="707"/>
      <c r="AD479" s="707"/>
      <c r="AE479" s="707"/>
      <c r="AF479" s="707"/>
      <c r="AG479" s="707"/>
      <c r="AH479" s="707"/>
      <c r="AI479" s="707"/>
      <c r="AJ479" s="707"/>
      <c r="AK479" s="707"/>
      <c r="AL479" s="707"/>
      <c r="AM479" s="707"/>
      <c r="AN479" s="707"/>
      <c r="AO479" s="707"/>
      <c r="AP479" s="707"/>
      <c r="AQ479" s="707"/>
      <c r="AR479" s="707"/>
      <c r="AS479" s="707"/>
      <c r="AT479" s="707"/>
      <c r="AU479" s="707"/>
      <c r="AV479" s="707"/>
      <c r="AW479" s="707"/>
      <c r="AX479" s="707"/>
      <c r="AY479" s="707"/>
      <c r="AZ479" s="707"/>
      <c r="BA479" s="707"/>
      <c r="BB479" s="707"/>
      <c r="BC479" s="707"/>
      <c r="BD479" s="707"/>
      <c r="BE479" s="707"/>
      <c r="BF479" s="707"/>
      <c r="BG479" s="707"/>
      <c r="BH479" s="707"/>
      <c r="BI479" s="707"/>
      <c r="BJ479" s="707"/>
      <c r="BK479" s="707"/>
      <c r="BL479" s="707"/>
      <c r="BM479" s="707"/>
      <c r="BN479" s="707"/>
      <c r="BO479" s="707"/>
      <c r="BP479" s="707"/>
      <c r="BQ479" s="707"/>
      <c r="BR479" s="707"/>
      <c r="BS479" s="707"/>
      <c r="BT479" s="707"/>
      <c r="BU479" s="707"/>
      <c r="BV479" s="707"/>
      <c r="BW479" s="707"/>
      <c r="BX479" s="707"/>
      <c r="BY479" s="707"/>
      <c r="BZ479" s="707"/>
      <c r="CA479" s="707"/>
      <c r="CB479" s="707"/>
      <c r="CC479" s="707"/>
      <c r="CD479" s="707"/>
      <c r="CE479" s="707"/>
      <c r="CF479" s="707"/>
      <c r="CG479" s="707"/>
      <c r="CH479" s="707"/>
      <c r="CI479" s="707"/>
      <c r="CJ479" s="707"/>
      <c r="CK479" s="707"/>
      <c r="CL479" s="707"/>
      <c r="CM479" s="707"/>
      <c r="CN479" s="707"/>
      <c r="CO479" s="707"/>
      <c r="CP479" s="707"/>
      <c r="CQ479" s="707"/>
      <c r="CR479" s="707"/>
      <c r="CS479" s="707"/>
      <c r="CT479" s="707"/>
      <c r="CU479" s="707"/>
      <c r="CV479" s="707"/>
      <c r="CW479" s="707"/>
      <c r="CX479" s="707"/>
      <c r="CY479" s="707"/>
      <c r="CZ479" s="707"/>
      <c r="DA479" s="707"/>
      <c r="DB479" s="707"/>
      <c r="DC479" s="707"/>
      <c r="DD479" s="707"/>
      <c r="DE479" s="707"/>
      <c r="DF479" s="707"/>
      <c r="DG479" s="707"/>
      <c r="DH479" s="707"/>
      <c r="DI479" s="707"/>
      <c r="DJ479" s="707"/>
      <c r="DK479" s="707"/>
      <c r="DL479" s="707"/>
      <c r="DM479" s="707"/>
      <c r="DN479" s="707"/>
      <c r="DO479" s="707"/>
      <c r="DP479" s="707"/>
      <c r="DQ479" s="707"/>
      <c r="DR479" s="707"/>
      <c r="DS479" s="707"/>
      <c r="DT479" s="707"/>
      <c r="DU479" s="707"/>
      <c r="DV479" s="707"/>
      <c r="DW479" s="707"/>
      <c r="DX479" s="707"/>
      <c r="DY479" s="707"/>
      <c r="DZ479" s="707"/>
      <c r="EA479" s="707"/>
      <c r="EB479" s="707"/>
      <c r="EC479" s="707"/>
      <c r="ED479" s="707"/>
      <c r="EE479" s="707"/>
      <c r="EF479" s="707"/>
      <c r="EG479" s="707"/>
      <c r="EH479" s="707"/>
      <c r="EI479" s="707"/>
      <c r="EJ479" s="707"/>
      <c r="EK479" s="707"/>
      <c r="EL479" s="707"/>
      <c r="EM479" s="707"/>
      <c r="EN479" s="707"/>
      <c r="EO479" s="707"/>
      <c r="EP479" s="707"/>
      <c r="EQ479" s="707"/>
      <c r="ER479" s="707"/>
      <c r="ES479" s="707"/>
      <c r="ET479" s="707"/>
      <c r="EU479" s="707"/>
      <c r="EV479" s="707"/>
      <c r="EW479" s="707"/>
      <c r="EX479" s="707"/>
      <c r="EY479" s="707"/>
      <c r="EZ479" s="707"/>
      <c r="FA479" s="707"/>
      <c r="FB479" s="707"/>
      <c r="FC479" s="707"/>
      <c r="FD479" s="707"/>
      <c r="FE479" s="707"/>
      <c r="FF479" s="707"/>
      <c r="FG479" s="707"/>
      <c r="FH479" s="707"/>
      <c r="FI479" s="707"/>
      <c r="FJ479" s="707"/>
      <c r="FK479" s="707"/>
      <c r="FL479" s="707"/>
      <c r="FM479" s="707"/>
      <c r="FN479" s="707"/>
      <c r="FO479" s="707"/>
      <c r="FP479" s="707"/>
      <c r="FQ479" s="707"/>
      <c r="FR479" s="707"/>
      <c r="FS479" s="707"/>
      <c r="FT479" s="707"/>
      <c r="FU479" s="707"/>
      <c r="FV479" s="707"/>
      <c r="FW479" s="707"/>
      <c r="FX479" s="707"/>
      <c r="FY479" s="707"/>
      <c r="FZ479" s="707"/>
      <c r="GA479" s="707"/>
      <c r="GB479" s="707"/>
      <c r="GC479" s="707"/>
      <c r="GD479" s="707"/>
      <c r="GE479" s="707"/>
      <c r="GF479" s="707"/>
      <c r="GG479" s="707"/>
      <c r="GH479" s="707"/>
      <c r="GI479" s="707"/>
      <c r="GJ479" s="707"/>
      <c r="GK479" s="707"/>
      <c r="GL479" s="707"/>
      <c r="GM479" s="707"/>
      <c r="GN479" s="707"/>
      <c r="GO479" s="707"/>
      <c r="GP479" s="707"/>
      <c r="GQ479" s="707"/>
      <c r="GR479" s="707"/>
      <c r="GS479" s="707"/>
      <c r="GT479" s="707"/>
      <c r="GU479" s="707"/>
      <c r="GV479" s="707"/>
      <c r="GW479" s="707"/>
      <c r="GX479" s="707"/>
      <c r="GY479" s="707"/>
      <c r="GZ479" s="707"/>
      <c r="HA479" s="707"/>
      <c r="HB479" s="707"/>
      <c r="HC479" s="707"/>
      <c r="HD479" s="707"/>
      <c r="HE479" s="707"/>
      <c r="HF479" s="707"/>
      <c r="HG479" s="707"/>
      <c r="HH479" s="707"/>
      <c r="HI479" s="707"/>
      <c r="HJ479" s="707"/>
      <c r="HK479" s="707"/>
      <c r="HL479" s="707"/>
      <c r="HM479" s="707"/>
      <c r="HN479" s="707"/>
      <c r="HO479" s="707"/>
      <c r="HP479" s="707"/>
      <c r="HQ479" s="707"/>
      <c r="HR479" s="707"/>
      <c r="HS479" s="707"/>
      <c r="HT479" s="707"/>
      <c r="HU479" s="707"/>
      <c r="HV479" s="707"/>
      <c r="HW479" s="707"/>
      <c r="HX479" s="707"/>
      <c r="HY479" s="707"/>
      <c r="HZ479" s="707"/>
      <c r="IA479" s="707"/>
      <c r="IB479" s="707"/>
      <c r="IC479" s="707"/>
      <c r="ID479" s="707"/>
      <c r="IE479" s="707"/>
      <c r="IF479" s="707"/>
      <c r="IG479" s="707"/>
      <c r="IH479" s="707"/>
      <c r="II479" s="707"/>
      <c r="IJ479" s="707"/>
      <c r="IK479" s="707"/>
      <c r="IL479" s="707"/>
      <c r="IM479" s="707"/>
      <c r="IN479" s="707"/>
      <c r="IO479" s="707"/>
      <c r="IP479" s="707"/>
      <c r="IQ479" s="707"/>
      <c r="IR479" s="707"/>
      <c r="IS479" s="707"/>
      <c r="IT479" s="707"/>
      <c r="IU479" s="707"/>
      <c r="IV479" s="707"/>
      <c r="IW479" s="707"/>
    </row>
    <row r="480" customFormat="false" ht="12.75" hidden="false" customHeight="false" outlineLevel="0" collapsed="false">
      <c r="A480" s="716"/>
      <c r="B480" s="717"/>
      <c r="C480" s="717"/>
      <c r="D480" s="717"/>
      <c r="E480" s="713"/>
      <c r="F480" s="713"/>
      <c r="G480" s="713"/>
      <c r="H480" s="713"/>
      <c r="I480" s="713"/>
      <c r="J480" s="713"/>
      <c r="K480" s="713"/>
      <c r="L480" s="713"/>
      <c r="M480" s="713"/>
      <c r="N480" s="713"/>
      <c r="O480" s="713"/>
      <c r="P480" s="713"/>
      <c r="Q480" s="713"/>
      <c r="R480" s="713"/>
      <c r="S480" s="713"/>
      <c r="T480" s="713"/>
      <c r="U480" s="713"/>
      <c r="V480" s="713"/>
      <c r="W480" s="713"/>
      <c r="X480" s="713"/>
      <c r="Y480" s="713"/>
      <c r="Z480" s="713"/>
      <c r="AA480" s="707"/>
      <c r="AB480" s="707"/>
      <c r="AC480" s="707"/>
      <c r="AD480" s="707"/>
      <c r="AE480" s="707"/>
      <c r="AF480" s="707"/>
      <c r="AG480" s="707"/>
      <c r="AH480" s="707"/>
      <c r="AI480" s="707"/>
      <c r="AJ480" s="707"/>
      <c r="AK480" s="707"/>
      <c r="AL480" s="707"/>
      <c r="AM480" s="707"/>
      <c r="AN480" s="707"/>
      <c r="AO480" s="707"/>
      <c r="AP480" s="707"/>
      <c r="AQ480" s="707"/>
      <c r="AR480" s="707"/>
      <c r="AS480" s="707"/>
      <c r="AT480" s="707"/>
      <c r="AU480" s="707"/>
      <c r="AV480" s="707"/>
      <c r="AW480" s="707"/>
      <c r="AX480" s="707"/>
      <c r="AY480" s="707"/>
      <c r="AZ480" s="707"/>
      <c r="BA480" s="707"/>
      <c r="BB480" s="707"/>
      <c r="BC480" s="707"/>
      <c r="BD480" s="707"/>
      <c r="BE480" s="707"/>
      <c r="BF480" s="707"/>
      <c r="BG480" s="707"/>
      <c r="BH480" s="707"/>
      <c r="BI480" s="707"/>
      <c r="BJ480" s="707"/>
      <c r="BK480" s="707"/>
      <c r="BL480" s="707"/>
      <c r="BM480" s="707"/>
      <c r="BN480" s="707"/>
      <c r="BO480" s="707"/>
      <c r="BP480" s="707"/>
      <c r="BQ480" s="707"/>
      <c r="BR480" s="707"/>
      <c r="BS480" s="707"/>
      <c r="BT480" s="707"/>
      <c r="BU480" s="707"/>
      <c r="BV480" s="707"/>
      <c r="BW480" s="707"/>
      <c r="BX480" s="707"/>
      <c r="BY480" s="707"/>
      <c r="BZ480" s="707"/>
      <c r="CA480" s="707"/>
      <c r="CB480" s="707"/>
      <c r="CC480" s="707"/>
      <c r="CD480" s="707"/>
      <c r="CE480" s="707"/>
      <c r="CF480" s="707"/>
      <c r="CG480" s="707"/>
      <c r="CH480" s="707"/>
      <c r="CI480" s="707"/>
      <c r="CJ480" s="707"/>
      <c r="CK480" s="707"/>
      <c r="CL480" s="707"/>
      <c r="CM480" s="707"/>
      <c r="CN480" s="707"/>
      <c r="CO480" s="707"/>
      <c r="CP480" s="707"/>
      <c r="CQ480" s="707"/>
      <c r="CR480" s="707"/>
      <c r="CS480" s="707"/>
      <c r="CT480" s="707"/>
      <c r="CU480" s="707"/>
      <c r="CV480" s="707"/>
      <c r="CW480" s="707"/>
      <c r="CX480" s="707"/>
      <c r="CY480" s="707"/>
      <c r="CZ480" s="707"/>
      <c r="DA480" s="707"/>
      <c r="DB480" s="707"/>
      <c r="DC480" s="707"/>
      <c r="DD480" s="707"/>
      <c r="DE480" s="707"/>
      <c r="DF480" s="707"/>
      <c r="DG480" s="707"/>
      <c r="DH480" s="707"/>
      <c r="DI480" s="707"/>
      <c r="DJ480" s="707"/>
      <c r="DK480" s="707"/>
      <c r="DL480" s="707"/>
      <c r="DM480" s="707"/>
      <c r="DN480" s="707"/>
      <c r="DO480" s="707"/>
      <c r="DP480" s="707"/>
      <c r="DQ480" s="707"/>
      <c r="DR480" s="707"/>
      <c r="DS480" s="707"/>
      <c r="DT480" s="707"/>
      <c r="DU480" s="707"/>
      <c r="DV480" s="707"/>
      <c r="DW480" s="707"/>
      <c r="DX480" s="707"/>
      <c r="DY480" s="707"/>
      <c r="DZ480" s="707"/>
      <c r="EA480" s="707"/>
      <c r="EB480" s="707"/>
      <c r="EC480" s="707"/>
      <c r="ED480" s="707"/>
      <c r="EE480" s="707"/>
      <c r="EF480" s="707"/>
      <c r="EG480" s="707"/>
      <c r="EH480" s="707"/>
      <c r="EI480" s="707"/>
      <c r="EJ480" s="707"/>
      <c r="EK480" s="707"/>
      <c r="EL480" s="707"/>
      <c r="EM480" s="707"/>
      <c r="EN480" s="707"/>
      <c r="EO480" s="707"/>
      <c r="EP480" s="707"/>
      <c r="EQ480" s="707"/>
      <c r="ER480" s="707"/>
      <c r="ES480" s="707"/>
      <c r="ET480" s="707"/>
      <c r="EU480" s="707"/>
      <c r="EV480" s="707"/>
      <c r="EW480" s="707"/>
      <c r="EX480" s="707"/>
      <c r="EY480" s="707"/>
      <c r="EZ480" s="707"/>
      <c r="FA480" s="707"/>
      <c r="FB480" s="707"/>
      <c r="FC480" s="707"/>
      <c r="FD480" s="707"/>
      <c r="FE480" s="707"/>
      <c r="FF480" s="707"/>
      <c r="FG480" s="707"/>
      <c r="FH480" s="707"/>
      <c r="FI480" s="707"/>
      <c r="FJ480" s="707"/>
      <c r="FK480" s="707"/>
      <c r="FL480" s="707"/>
      <c r="FM480" s="707"/>
      <c r="FN480" s="707"/>
      <c r="FO480" s="707"/>
      <c r="FP480" s="707"/>
      <c r="FQ480" s="707"/>
      <c r="FR480" s="707"/>
      <c r="FS480" s="707"/>
      <c r="FT480" s="707"/>
      <c r="FU480" s="707"/>
      <c r="FV480" s="707"/>
      <c r="FW480" s="707"/>
      <c r="FX480" s="707"/>
      <c r="FY480" s="707"/>
      <c r="FZ480" s="707"/>
      <c r="GA480" s="707"/>
      <c r="GB480" s="707"/>
      <c r="GC480" s="707"/>
      <c r="GD480" s="707"/>
      <c r="GE480" s="707"/>
      <c r="GF480" s="707"/>
      <c r="GG480" s="707"/>
      <c r="GH480" s="707"/>
      <c r="GI480" s="707"/>
      <c r="GJ480" s="707"/>
      <c r="GK480" s="707"/>
      <c r="GL480" s="707"/>
      <c r="GM480" s="707"/>
      <c r="GN480" s="707"/>
      <c r="GO480" s="707"/>
      <c r="GP480" s="707"/>
      <c r="GQ480" s="707"/>
      <c r="GR480" s="707"/>
      <c r="GS480" s="707"/>
      <c r="GT480" s="707"/>
      <c r="GU480" s="707"/>
      <c r="GV480" s="707"/>
      <c r="GW480" s="707"/>
      <c r="GX480" s="707"/>
      <c r="GY480" s="707"/>
      <c r="GZ480" s="707"/>
      <c r="HA480" s="707"/>
      <c r="HB480" s="707"/>
      <c r="HC480" s="707"/>
      <c r="HD480" s="707"/>
      <c r="HE480" s="707"/>
      <c r="HF480" s="707"/>
      <c r="HG480" s="707"/>
      <c r="HH480" s="707"/>
      <c r="HI480" s="707"/>
      <c r="HJ480" s="707"/>
      <c r="HK480" s="707"/>
      <c r="HL480" s="707"/>
      <c r="HM480" s="707"/>
      <c r="HN480" s="707"/>
      <c r="HO480" s="707"/>
      <c r="HP480" s="707"/>
      <c r="HQ480" s="707"/>
      <c r="HR480" s="707"/>
      <c r="HS480" s="707"/>
      <c r="HT480" s="707"/>
      <c r="HU480" s="707"/>
      <c r="HV480" s="707"/>
      <c r="HW480" s="707"/>
      <c r="HX480" s="707"/>
      <c r="HY480" s="707"/>
      <c r="HZ480" s="707"/>
      <c r="IA480" s="707"/>
      <c r="IB480" s="707"/>
      <c r="IC480" s="707"/>
      <c r="ID480" s="707"/>
      <c r="IE480" s="707"/>
      <c r="IF480" s="707"/>
      <c r="IG480" s="707"/>
      <c r="IH480" s="707"/>
      <c r="II480" s="707"/>
      <c r="IJ480" s="707"/>
      <c r="IK480" s="707"/>
      <c r="IL480" s="707"/>
      <c r="IM480" s="707"/>
      <c r="IN480" s="707"/>
      <c r="IO480" s="707"/>
      <c r="IP480" s="707"/>
      <c r="IQ480" s="707"/>
      <c r="IR480" s="707"/>
      <c r="IS480" s="707"/>
      <c r="IT480" s="707"/>
      <c r="IU480" s="707"/>
      <c r="IV480" s="707"/>
      <c r="IW480" s="707"/>
    </row>
    <row r="481" customFormat="false" ht="12.75" hidden="false" customHeight="false" outlineLevel="0" collapsed="false">
      <c r="A481" s="716"/>
      <c r="B481" s="717"/>
      <c r="C481" s="717"/>
      <c r="D481" s="717"/>
      <c r="E481" s="713"/>
      <c r="F481" s="713"/>
      <c r="G481" s="713"/>
      <c r="H481" s="713"/>
      <c r="I481" s="713"/>
      <c r="J481" s="713"/>
      <c r="K481" s="713"/>
      <c r="L481" s="713"/>
      <c r="M481" s="713"/>
      <c r="N481" s="713"/>
      <c r="O481" s="713"/>
      <c r="P481" s="713"/>
      <c r="Q481" s="713"/>
      <c r="R481" s="713"/>
      <c r="S481" s="713"/>
      <c r="T481" s="713"/>
      <c r="U481" s="713"/>
      <c r="V481" s="713"/>
      <c r="W481" s="713"/>
      <c r="X481" s="713"/>
      <c r="Y481" s="713"/>
      <c r="Z481" s="713"/>
      <c r="AA481" s="707"/>
      <c r="AB481" s="707"/>
      <c r="AC481" s="707"/>
      <c r="AD481" s="707"/>
      <c r="AE481" s="707"/>
      <c r="AF481" s="707"/>
      <c r="AG481" s="707"/>
      <c r="AH481" s="707"/>
      <c r="AI481" s="707"/>
      <c r="AJ481" s="707"/>
      <c r="AK481" s="707"/>
      <c r="AL481" s="707"/>
      <c r="AM481" s="707"/>
      <c r="AN481" s="707"/>
      <c r="AO481" s="707"/>
      <c r="AP481" s="707"/>
      <c r="AQ481" s="707"/>
      <c r="AR481" s="707"/>
      <c r="AS481" s="707"/>
      <c r="AT481" s="707"/>
      <c r="AU481" s="707"/>
      <c r="AV481" s="707"/>
      <c r="AW481" s="707"/>
      <c r="AX481" s="707"/>
      <c r="AY481" s="707"/>
      <c r="AZ481" s="707"/>
      <c r="BA481" s="707"/>
      <c r="BB481" s="707"/>
      <c r="BC481" s="707"/>
      <c r="BD481" s="707"/>
      <c r="BE481" s="707"/>
      <c r="BF481" s="707"/>
      <c r="BG481" s="707"/>
      <c r="BH481" s="707"/>
      <c r="BI481" s="707"/>
      <c r="BJ481" s="707"/>
      <c r="BK481" s="707"/>
      <c r="BL481" s="707"/>
      <c r="BM481" s="707"/>
      <c r="BN481" s="707"/>
      <c r="BO481" s="707"/>
      <c r="BP481" s="707"/>
      <c r="BQ481" s="707"/>
      <c r="BR481" s="707"/>
      <c r="BS481" s="707"/>
      <c r="BT481" s="707"/>
      <c r="BU481" s="707"/>
      <c r="BV481" s="707"/>
      <c r="BW481" s="707"/>
      <c r="BX481" s="707"/>
      <c r="BY481" s="707"/>
      <c r="BZ481" s="707"/>
      <c r="CA481" s="707"/>
      <c r="CB481" s="707"/>
      <c r="CC481" s="707"/>
      <c r="CD481" s="707"/>
      <c r="CE481" s="707"/>
      <c r="CF481" s="707"/>
      <c r="CG481" s="707"/>
      <c r="CH481" s="707"/>
      <c r="CI481" s="707"/>
      <c r="CJ481" s="707"/>
      <c r="CK481" s="707"/>
      <c r="CL481" s="707"/>
      <c r="CM481" s="707"/>
      <c r="CN481" s="707"/>
      <c r="CO481" s="707"/>
      <c r="CP481" s="707"/>
      <c r="CQ481" s="707"/>
      <c r="CR481" s="707"/>
      <c r="CS481" s="707"/>
      <c r="CT481" s="707"/>
      <c r="CU481" s="707"/>
      <c r="CV481" s="707"/>
      <c r="CW481" s="707"/>
      <c r="CX481" s="707"/>
      <c r="CY481" s="707"/>
      <c r="CZ481" s="707"/>
      <c r="DA481" s="707"/>
      <c r="DB481" s="707"/>
      <c r="DC481" s="707"/>
      <c r="DD481" s="707"/>
      <c r="DE481" s="707"/>
      <c r="DF481" s="707"/>
      <c r="DG481" s="707"/>
      <c r="DH481" s="707"/>
      <c r="DI481" s="707"/>
      <c r="DJ481" s="707"/>
      <c r="DK481" s="707"/>
      <c r="DL481" s="707"/>
      <c r="DM481" s="707"/>
      <c r="DN481" s="707"/>
      <c r="DO481" s="707"/>
      <c r="DP481" s="707"/>
      <c r="DQ481" s="707"/>
      <c r="DR481" s="707"/>
      <c r="DS481" s="707"/>
      <c r="DT481" s="707"/>
      <c r="DU481" s="707"/>
      <c r="DV481" s="707"/>
      <c r="DW481" s="707"/>
      <c r="DX481" s="707"/>
      <c r="DY481" s="707"/>
      <c r="DZ481" s="707"/>
      <c r="EA481" s="707"/>
      <c r="EB481" s="707"/>
      <c r="EC481" s="707"/>
      <c r="ED481" s="707"/>
      <c r="EE481" s="707"/>
      <c r="EF481" s="707"/>
      <c r="EG481" s="707"/>
      <c r="EH481" s="707"/>
      <c r="EI481" s="707"/>
      <c r="EJ481" s="707"/>
      <c r="EK481" s="707"/>
      <c r="EL481" s="707"/>
      <c r="EM481" s="707"/>
      <c r="EN481" s="707"/>
      <c r="EO481" s="707"/>
      <c r="EP481" s="707"/>
      <c r="EQ481" s="707"/>
      <c r="ER481" s="707"/>
      <c r="ES481" s="707"/>
      <c r="ET481" s="707"/>
      <c r="EU481" s="707"/>
      <c r="EV481" s="707"/>
      <c r="EW481" s="707"/>
      <c r="EX481" s="707"/>
      <c r="EY481" s="707"/>
      <c r="EZ481" s="707"/>
      <c r="FA481" s="707"/>
      <c r="FB481" s="707"/>
      <c r="FC481" s="707"/>
      <c r="FD481" s="707"/>
      <c r="FE481" s="707"/>
      <c r="FF481" s="707"/>
      <c r="FG481" s="707"/>
      <c r="FH481" s="707"/>
      <c r="FI481" s="707"/>
      <c r="FJ481" s="707"/>
      <c r="FK481" s="707"/>
      <c r="FL481" s="707"/>
      <c r="FM481" s="707"/>
      <c r="FN481" s="707"/>
      <c r="FO481" s="707"/>
      <c r="FP481" s="707"/>
      <c r="FQ481" s="707"/>
      <c r="FR481" s="707"/>
      <c r="FS481" s="707"/>
      <c r="FT481" s="707"/>
      <c r="FU481" s="707"/>
      <c r="FV481" s="707"/>
      <c r="FW481" s="707"/>
      <c r="FX481" s="707"/>
      <c r="FY481" s="707"/>
      <c r="FZ481" s="707"/>
      <c r="GA481" s="707"/>
      <c r="GB481" s="707"/>
      <c r="GC481" s="707"/>
      <c r="GD481" s="707"/>
      <c r="GE481" s="707"/>
      <c r="GF481" s="707"/>
      <c r="GG481" s="707"/>
      <c r="GH481" s="707"/>
      <c r="GI481" s="707"/>
      <c r="GJ481" s="707"/>
      <c r="GK481" s="707"/>
      <c r="GL481" s="707"/>
      <c r="GM481" s="707"/>
      <c r="GN481" s="707"/>
      <c r="GO481" s="707"/>
      <c r="GP481" s="707"/>
      <c r="GQ481" s="707"/>
      <c r="GR481" s="707"/>
      <c r="GS481" s="707"/>
      <c r="GT481" s="707"/>
      <c r="GU481" s="707"/>
      <c r="GV481" s="707"/>
      <c r="GW481" s="707"/>
      <c r="GX481" s="707"/>
      <c r="GY481" s="707"/>
      <c r="GZ481" s="707"/>
      <c r="HA481" s="707"/>
      <c r="HB481" s="707"/>
      <c r="HC481" s="707"/>
      <c r="HD481" s="707"/>
      <c r="HE481" s="707"/>
      <c r="HF481" s="707"/>
      <c r="HG481" s="707"/>
      <c r="HH481" s="707"/>
      <c r="HI481" s="707"/>
      <c r="HJ481" s="707"/>
      <c r="HK481" s="707"/>
      <c r="HL481" s="707"/>
      <c r="HM481" s="707"/>
      <c r="HN481" s="707"/>
      <c r="HO481" s="707"/>
      <c r="HP481" s="707"/>
      <c r="HQ481" s="707"/>
      <c r="HR481" s="707"/>
      <c r="HS481" s="707"/>
      <c r="HT481" s="707"/>
      <c r="HU481" s="707"/>
      <c r="HV481" s="707"/>
      <c r="HW481" s="707"/>
      <c r="HX481" s="707"/>
      <c r="HY481" s="707"/>
      <c r="HZ481" s="707"/>
      <c r="IA481" s="707"/>
      <c r="IB481" s="707"/>
      <c r="IC481" s="707"/>
      <c r="ID481" s="707"/>
      <c r="IE481" s="707"/>
      <c r="IF481" s="707"/>
      <c r="IG481" s="707"/>
      <c r="IH481" s="707"/>
      <c r="II481" s="707"/>
      <c r="IJ481" s="707"/>
      <c r="IK481" s="707"/>
      <c r="IL481" s="707"/>
      <c r="IM481" s="707"/>
      <c r="IN481" s="707"/>
      <c r="IO481" s="707"/>
      <c r="IP481" s="707"/>
      <c r="IQ481" s="707"/>
      <c r="IR481" s="707"/>
      <c r="IS481" s="707"/>
      <c r="IT481" s="707"/>
      <c r="IU481" s="707"/>
      <c r="IV481" s="707"/>
      <c r="IW481" s="707"/>
    </row>
    <row r="482" customFormat="false" ht="12.75" hidden="false" customHeight="false" outlineLevel="0" collapsed="false">
      <c r="A482" s="716"/>
      <c r="B482" s="717"/>
      <c r="C482" s="717"/>
      <c r="D482" s="717"/>
      <c r="E482" s="713"/>
      <c r="F482" s="713"/>
      <c r="G482" s="713"/>
      <c r="H482" s="713"/>
      <c r="I482" s="713"/>
      <c r="J482" s="713"/>
      <c r="K482" s="713"/>
      <c r="L482" s="713"/>
      <c r="M482" s="713"/>
      <c r="N482" s="713"/>
      <c r="O482" s="713"/>
      <c r="P482" s="713"/>
      <c r="Q482" s="713"/>
      <c r="R482" s="713"/>
      <c r="S482" s="713"/>
      <c r="T482" s="713"/>
      <c r="U482" s="713"/>
      <c r="V482" s="713"/>
      <c r="W482" s="713"/>
      <c r="X482" s="713"/>
      <c r="Y482" s="713"/>
      <c r="Z482" s="713"/>
      <c r="AA482" s="707"/>
      <c r="AB482" s="707"/>
      <c r="AC482" s="707"/>
      <c r="AD482" s="707"/>
      <c r="AE482" s="707"/>
      <c r="AF482" s="707"/>
      <c r="AG482" s="707"/>
      <c r="AH482" s="707"/>
      <c r="AI482" s="707"/>
      <c r="AJ482" s="707"/>
      <c r="AK482" s="707"/>
      <c r="AL482" s="707"/>
      <c r="AM482" s="707"/>
      <c r="AN482" s="707"/>
      <c r="AO482" s="707"/>
      <c r="AP482" s="707"/>
      <c r="AQ482" s="707"/>
      <c r="AR482" s="707"/>
      <c r="AS482" s="707"/>
      <c r="AT482" s="707"/>
      <c r="AU482" s="707"/>
      <c r="AV482" s="707"/>
      <c r="AW482" s="707"/>
      <c r="AX482" s="707"/>
      <c r="AY482" s="707"/>
      <c r="AZ482" s="707"/>
      <c r="BA482" s="707"/>
      <c r="BB482" s="707"/>
      <c r="BC482" s="707"/>
      <c r="BD482" s="707"/>
      <c r="BE482" s="707"/>
      <c r="BF482" s="707"/>
      <c r="BG482" s="707"/>
      <c r="BH482" s="707"/>
      <c r="BI482" s="707"/>
      <c r="BJ482" s="707"/>
      <c r="BK482" s="707"/>
      <c r="BL482" s="707"/>
      <c r="BM482" s="707"/>
      <c r="BN482" s="707"/>
      <c r="BO482" s="707"/>
      <c r="BP482" s="707"/>
      <c r="BQ482" s="707"/>
      <c r="BR482" s="707"/>
      <c r="BS482" s="707"/>
      <c r="BT482" s="707"/>
      <c r="BU482" s="707"/>
      <c r="BV482" s="707"/>
      <c r="BW482" s="707"/>
      <c r="BX482" s="707"/>
      <c r="BY482" s="707"/>
      <c r="BZ482" s="707"/>
      <c r="CA482" s="707"/>
      <c r="CB482" s="707"/>
      <c r="CC482" s="707"/>
      <c r="CD482" s="707"/>
      <c r="CE482" s="707"/>
      <c r="CF482" s="707"/>
      <c r="CG482" s="707"/>
      <c r="CH482" s="707"/>
      <c r="CI482" s="707"/>
      <c r="CJ482" s="707"/>
      <c r="CK482" s="707"/>
      <c r="CL482" s="707"/>
      <c r="CM482" s="707"/>
      <c r="CN482" s="707"/>
      <c r="CO482" s="707"/>
      <c r="CP482" s="707"/>
      <c r="CQ482" s="707"/>
      <c r="CR482" s="707"/>
      <c r="CS482" s="707"/>
      <c r="CT482" s="707"/>
      <c r="CU482" s="707"/>
      <c r="CV482" s="707"/>
      <c r="CW482" s="707"/>
      <c r="CX482" s="707"/>
      <c r="CY482" s="707"/>
      <c r="CZ482" s="707"/>
      <c r="DA482" s="707"/>
      <c r="DB482" s="707"/>
      <c r="DC482" s="707"/>
      <c r="DD482" s="707"/>
      <c r="DE482" s="707"/>
      <c r="DF482" s="707"/>
      <c r="DG482" s="707"/>
      <c r="DH482" s="707"/>
      <c r="DI482" s="707"/>
      <c r="DJ482" s="707"/>
      <c r="DK482" s="707"/>
      <c r="DL482" s="707"/>
      <c r="DM482" s="707"/>
      <c r="DN482" s="707"/>
      <c r="DO482" s="707"/>
      <c r="DP482" s="707"/>
      <c r="DQ482" s="707"/>
      <c r="DR482" s="707"/>
      <c r="DS482" s="707"/>
      <c r="DT482" s="707"/>
      <c r="DU482" s="707"/>
      <c r="DV482" s="707"/>
      <c r="DW482" s="707"/>
      <c r="DX482" s="707"/>
      <c r="DY482" s="707"/>
      <c r="DZ482" s="707"/>
      <c r="EA482" s="707"/>
      <c r="EB482" s="707"/>
      <c r="EC482" s="707"/>
      <c r="ED482" s="707"/>
      <c r="EE482" s="707"/>
      <c r="EF482" s="707"/>
      <c r="EG482" s="707"/>
      <c r="EH482" s="707"/>
      <c r="EI482" s="707"/>
      <c r="EJ482" s="707"/>
      <c r="EK482" s="707"/>
      <c r="EL482" s="707"/>
      <c r="EM482" s="707"/>
      <c r="EN482" s="707"/>
      <c r="EO482" s="707"/>
      <c r="EP482" s="707"/>
      <c r="EQ482" s="707"/>
      <c r="ER482" s="707"/>
      <c r="ES482" s="707"/>
      <c r="ET482" s="707"/>
      <c r="EU482" s="707"/>
      <c r="EV482" s="707"/>
      <c r="EW482" s="707"/>
      <c r="EX482" s="707"/>
      <c r="EY482" s="707"/>
      <c r="EZ482" s="707"/>
      <c r="FA482" s="707"/>
      <c r="FB482" s="707"/>
      <c r="FC482" s="707"/>
      <c r="FD482" s="707"/>
      <c r="FE482" s="707"/>
      <c r="FF482" s="707"/>
      <c r="FG482" s="707"/>
      <c r="FH482" s="707"/>
      <c r="FI482" s="707"/>
      <c r="FJ482" s="707"/>
      <c r="FK482" s="707"/>
      <c r="FL482" s="707"/>
      <c r="FM482" s="707"/>
      <c r="FN482" s="707"/>
      <c r="FO482" s="707"/>
      <c r="FP482" s="707"/>
      <c r="FQ482" s="707"/>
      <c r="FR482" s="707"/>
      <c r="FS482" s="707"/>
      <c r="FT482" s="707"/>
      <c r="FU482" s="707"/>
      <c r="FV482" s="707"/>
      <c r="FW482" s="707"/>
      <c r="FX482" s="707"/>
      <c r="FY482" s="707"/>
      <c r="FZ482" s="707"/>
      <c r="GA482" s="707"/>
      <c r="GB482" s="707"/>
      <c r="GC482" s="707"/>
      <c r="GD482" s="707"/>
      <c r="GE482" s="707"/>
      <c r="GF482" s="707"/>
      <c r="GG482" s="707"/>
      <c r="GH482" s="707"/>
      <c r="GI482" s="707"/>
      <c r="GJ482" s="707"/>
      <c r="GK482" s="707"/>
      <c r="GL482" s="707"/>
      <c r="GM482" s="707"/>
      <c r="GN482" s="707"/>
      <c r="GO482" s="707"/>
      <c r="GP482" s="707"/>
      <c r="GQ482" s="707"/>
      <c r="GR482" s="707"/>
      <c r="GS482" s="707"/>
      <c r="GT482" s="707"/>
      <c r="GU482" s="707"/>
      <c r="GV482" s="707"/>
      <c r="GW482" s="707"/>
      <c r="GX482" s="707"/>
      <c r="GY482" s="707"/>
      <c r="GZ482" s="707"/>
      <c r="HA482" s="707"/>
      <c r="HB482" s="707"/>
      <c r="HC482" s="707"/>
      <c r="HD482" s="707"/>
      <c r="HE482" s="707"/>
      <c r="HF482" s="707"/>
      <c r="HG482" s="707"/>
      <c r="HH482" s="707"/>
      <c r="HI482" s="707"/>
      <c r="HJ482" s="707"/>
      <c r="HK482" s="707"/>
      <c r="HL482" s="707"/>
      <c r="HM482" s="707"/>
      <c r="HN482" s="707"/>
      <c r="HO482" s="707"/>
      <c r="HP482" s="707"/>
      <c r="HQ482" s="707"/>
      <c r="HR482" s="707"/>
      <c r="HS482" s="707"/>
      <c r="HT482" s="707"/>
      <c r="HU482" s="707"/>
      <c r="HV482" s="707"/>
      <c r="HW482" s="707"/>
      <c r="HX482" s="707"/>
      <c r="HY482" s="707"/>
      <c r="HZ482" s="707"/>
      <c r="IA482" s="707"/>
      <c r="IB482" s="707"/>
      <c r="IC482" s="707"/>
      <c r="ID482" s="707"/>
      <c r="IE482" s="707"/>
      <c r="IF482" s="707"/>
      <c r="IG482" s="707"/>
      <c r="IH482" s="707"/>
      <c r="II482" s="707"/>
      <c r="IJ482" s="707"/>
      <c r="IK482" s="707"/>
      <c r="IL482" s="707"/>
      <c r="IM482" s="707"/>
      <c r="IN482" s="707"/>
      <c r="IO482" s="707"/>
      <c r="IP482" s="707"/>
      <c r="IQ482" s="707"/>
      <c r="IR482" s="707"/>
      <c r="IS482" s="707"/>
      <c r="IT482" s="707"/>
      <c r="IU482" s="707"/>
      <c r="IV482" s="707"/>
      <c r="IW482" s="707"/>
    </row>
    <row r="483" customFormat="false" ht="12.75" hidden="false" customHeight="false" outlineLevel="0" collapsed="false">
      <c r="A483" s="398"/>
      <c r="B483" s="717"/>
      <c r="C483" s="717"/>
      <c r="D483" s="717"/>
      <c r="E483" s="713"/>
      <c r="F483" s="713"/>
      <c r="G483" s="713"/>
      <c r="H483" s="713"/>
      <c r="I483" s="713"/>
      <c r="J483" s="713"/>
      <c r="K483" s="713"/>
      <c r="L483" s="713"/>
      <c r="M483" s="713"/>
      <c r="N483" s="713"/>
      <c r="O483" s="713"/>
      <c r="P483" s="713"/>
      <c r="Q483" s="713"/>
      <c r="R483" s="713"/>
      <c r="S483" s="713"/>
      <c r="T483" s="713"/>
      <c r="U483" s="713"/>
      <c r="V483" s="713"/>
      <c r="W483" s="713"/>
      <c r="X483" s="713"/>
      <c r="Y483" s="713"/>
      <c r="Z483" s="713"/>
      <c r="AA483" s="707"/>
      <c r="AB483" s="707"/>
      <c r="AC483" s="707"/>
      <c r="AD483" s="707"/>
      <c r="AE483" s="707"/>
      <c r="AF483" s="707"/>
      <c r="AG483" s="707"/>
      <c r="AH483" s="707"/>
      <c r="AI483" s="707"/>
      <c r="AJ483" s="707"/>
      <c r="AK483" s="707"/>
      <c r="AL483" s="707"/>
      <c r="AM483" s="707"/>
      <c r="AN483" s="707"/>
      <c r="AO483" s="707"/>
      <c r="AP483" s="707"/>
      <c r="AQ483" s="707"/>
      <c r="AR483" s="707"/>
      <c r="AS483" s="707"/>
      <c r="AT483" s="707"/>
      <c r="AU483" s="707"/>
      <c r="AV483" s="707"/>
      <c r="AW483" s="707"/>
      <c r="AX483" s="707"/>
      <c r="AY483" s="707"/>
      <c r="AZ483" s="707"/>
      <c r="BA483" s="707"/>
      <c r="BB483" s="707"/>
      <c r="BC483" s="707"/>
      <c r="BD483" s="707"/>
      <c r="BE483" s="707"/>
      <c r="BF483" s="707"/>
      <c r="BG483" s="707"/>
      <c r="BH483" s="707"/>
      <c r="BI483" s="707"/>
      <c r="BJ483" s="707"/>
      <c r="BK483" s="707"/>
      <c r="BL483" s="707"/>
      <c r="BM483" s="707"/>
      <c r="BN483" s="707"/>
      <c r="BO483" s="707"/>
      <c r="BP483" s="707"/>
      <c r="BQ483" s="707"/>
      <c r="BR483" s="707"/>
      <c r="BS483" s="707"/>
      <c r="BT483" s="707"/>
      <c r="BU483" s="707"/>
      <c r="BV483" s="707"/>
      <c r="BW483" s="707"/>
      <c r="BX483" s="707"/>
      <c r="BY483" s="707"/>
      <c r="BZ483" s="707"/>
      <c r="CA483" s="707"/>
      <c r="CB483" s="707"/>
      <c r="CC483" s="707"/>
      <c r="CD483" s="707"/>
      <c r="CE483" s="707"/>
      <c r="CF483" s="707"/>
      <c r="CG483" s="707"/>
      <c r="CH483" s="707"/>
      <c r="CI483" s="707"/>
      <c r="CJ483" s="707"/>
      <c r="CK483" s="707"/>
      <c r="CL483" s="707"/>
      <c r="CM483" s="707"/>
      <c r="CN483" s="707"/>
      <c r="CO483" s="707"/>
      <c r="CP483" s="707"/>
      <c r="CQ483" s="707"/>
      <c r="CR483" s="707"/>
      <c r="CS483" s="707"/>
      <c r="CT483" s="707"/>
      <c r="CU483" s="707"/>
      <c r="CV483" s="707"/>
      <c r="CW483" s="707"/>
      <c r="CX483" s="707"/>
      <c r="CY483" s="707"/>
      <c r="CZ483" s="707"/>
      <c r="DA483" s="707"/>
      <c r="DB483" s="707"/>
      <c r="DC483" s="707"/>
      <c r="DD483" s="707"/>
      <c r="DE483" s="707"/>
      <c r="DF483" s="707"/>
      <c r="DG483" s="707"/>
      <c r="DH483" s="707"/>
      <c r="DI483" s="707"/>
      <c r="DJ483" s="707"/>
      <c r="DK483" s="707"/>
      <c r="DL483" s="707"/>
      <c r="DM483" s="707"/>
      <c r="DN483" s="707"/>
      <c r="DO483" s="707"/>
      <c r="DP483" s="707"/>
      <c r="DQ483" s="707"/>
      <c r="DR483" s="707"/>
      <c r="DS483" s="707"/>
      <c r="DT483" s="707"/>
      <c r="DU483" s="707"/>
      <c r="DV483" s="707"/>
      <c r="DW483" s="707"/>
      <c r="DX483" s="707"/>
      <c r="DY483" s="707"/>
      <c r="DZ483" s="707"/>
      <c r="EA483" s="707"/>
      <c r="EB483" s="707"/>
      <c r="EC483" s="707"/>
      <c r="ED483" s="707"/>
      <c r="EE483" s="707"/>
      <c r="EF483" s="707"/>
      <c r="EG483" s="707"/>
      <c r="EH483" s="707"/>
      <c r="EI483" s="707"/>
      <c r="EJ483" s="707"/>
      <c r="EK483" s="707"/>
      <c r="EL483" s="707"/>
      <c r="EM483" s="707"/>
      <c r="EN483" s="707"/>
      <c r="EO483" s="707"/>
      <c r="EP483" s="707"/>
      <c r="EQ483" s="707"/>
      <c r="ER483" s="707"/>
      <c r="ES483" s="707"/>
      <c r="ET483" s="707"/>
      <c r="EU483" s="707"/>
      <c r="EV483" s="707"/>
      <c r="EW483" s="707"/>
      <c r="EX483" s="707"/>
      <c r="EY483" s="707"/>
      <c r="EZ483" s="707"/>
      <c r="FA483" s="707"/>
      <c r="FB483" s="707"/>
      <c r="FC483" s="707"/>
      <c r="FD483" s="707"/>
      <c r="FE483" s="707"/>
      <c r="FF483" s="707"/>
      <c r="FG483" s="707"/>
      <c r="FH483" s="707"/>
      <c r="FI483" s="707"/>
      <c r="FJ483" s="707"/>
      <c r="FK483" s="707"/>
      <c r="FL483" s="707"/>
      <c r="FM483" s="707"/>
      <c r="FN483" s="707"/>
      <c r="FO483" s="707"/>
      <c r="FP483" s="707"/>
      <c r="FQ483" s="707"/>
      <c r="FR483" s="707"/>
      <c r="FS483" s="707"/>
      <c r="FT483" s="707"/>
      <c r="FU483" s="707"/>
      <c r="FV483" s="707"/>
      <c r="FW483" s="707"/>
      <c r="FX483" s="707"/>
      <c r="FY483" s="707"/>
      <c r="FZ483" s="707"/>
      <c r="GA483" s="707"/>
      <c r="GB483" s="707"/>
      <c r="GC483" s="707"/>
      <c r="GD483" s="707"/>
      <c r="GE483" s="707"/>
      <c r="GF483" s="707"/>
      <c r="GG483" s="707"/>
      <c r="GH483" s="707"/>
      <c r="GI483" s="707"/>
      <c r="GJ483" s="707"/>
      <c r="GK483" s="707"/>
      <c r="GL483" s="707"/>
      <c r="GM483" s="707"/>
      <c r="GN483" s="707"/>
      <c r="GO483" s="707"/>
      <c r="GP483" s="707"/>
      <c r="GQ483" s="707"/>
      <c r="GR483" s="707"/>
      <c r="GS483" s="707"/>
      <c r="GT483" s="707"/>
      <c r="GU483" s="707"/>
      <c r="GV483" s="707"/>
      <c r="GW483" s="707"/>
      <c r="GX483" s="707"/>
      <c r="GY483" s="707"/>
      <c r="GZ483" s="707"/>
      <c r="HA483" s="707"/>
      <c r="HB483" s="707"/>
      <c r="HC483" s="707"/>
      <c r="HD483" s="707"/>
      <c r="HE483" s="707"/>
      <c r="HF483" s="707"/>
      <c r="HG483" s="707"/>
      <c r="HH483" s="707"/>
      <c r="HI483" s="707"/>
      <c r="HJ483" s="707"/>
      <c r="HK483" s="707"/>
      <c r="HL483" s="707"/>
      <c r="HM483" s="707"/>
      <c r="HN483" s="707"/>
      <c r="HO483" s="707"/>
      <c r="HP483" s="707"/>
      <c r="HQ483" s="707"/>
      <c r="HR483" s="707"/>
      <c r="HS483" s="707"/>
      <c r="HT483" s="707"/>
      <c r="HU483" s="707"/>
      <c r="HV483" s="707"/>
      <c r="HW483" s="707"/>
      <c r="HX483" s="707"/>
      <c r="HY483" s="707"/>
      <c r="HZ483" s="707"/>
      <c r="IA483" s="707"/>
      <c r="IB483" s="707"/>
      <c r="IC483" s="707"/>
      <c r="ID483" s="707"/>
      <c r="IE483" s="707"/>
      <c r="IF483" s="707"/>
      <c r="IG483" s="707"/>
      <c r="IH483" s="707"/>
      <c r="II483" s="707"/>
      <c r="IJ483" s="707"/>
      <c r="IK483" s="707"/>
      <c r="IL483" s="707"/>
      <c r="IM483" s="707"/>
      <c r="IN483" s="707"/>
      <c r="IO483" s="707"/>
      <c r="IP483" s="707"/>
      <c r="IQ483" s="707"/>
      <c r="IR483" s="707"/>
      <c r="IS483" s="707"/>
      <c r="IT483" s="707"/>
      <c r="IU483" s="707"/>
      <c r="IV483" s="707"/>
      <c r="IW483" s="707"/>
    </row>
    <row r="484" customFormat="false" ht="12.75" hidden="false" customHeight="false" outlineLevel="0" collapsed="false">
      <c r="A484" s="716"/>
      <c r="B484" s="717"/>
      <c r="C484" s="717"/>
      <c r="D484" s="717"/>
      <c r="E484" s="713"/>
      <c r="F484" s="713"/>
      <c r="G484" s="713"/>
      <c r="H484" s="713"/>
      <c r="I484" s="713"/>
      <c r="J484" s="713"/>
      <c r="K484" s="713"/>
      <c r="L484" s="713"/>
      <c r="M484" s="713"/>
      <c r="N484" s="713"/>
      <c r="O484" s="713"/>
      <c r="P484" s="713"/>
      <c r="Q484" s="713"/>
      <c r="R484" s="713"/>
      <c r="S484" s="713"/>
      <c r="T484" s="713"/>
      <c r="U484" s="713"/>
      <c r="V484" s="713"/>
      <c r="W484" s="713"/>
      <c r="X484" s="713"/>
      <c r="Y484" s="713"/>
      <c r="Z484" s="713"/>
      <c r="AA484" s="707"/>
      <c r="AB484" s="707"/>
      <c r="AC484" s="707"/>
      <c r="AD484" s="707"/>
      <c r="AE484" s="707"/>
      <c r="AF484" s="707"/>
      <c r="AG484" s="707"/>
      <c r="AH484" s="707"/>
      <c r="AI484" s="707"/>
      <c r="AJ484" s="707"/>
      <c r="AK484" s="707"/>
      <c r="AL484" s="707"/>
      <c r="AM484" s="707"/>
      <c r="AN484" s="707"/>
      <c r="AO484" s="707"/>
      <c r="AP484" s="707"/>
      <c r="AQ484" s="707"/>
      <c r="AR484" s="707"/>
      <c r="AS484" s="707"/>
      <c r="AT484" s="707"/>
      <c r="AU484" s="707"/>
      <c r="AV484" s="707"/>
      <c r="AW484" s="707"/>
      <c r="AX484" s="707"/>
      <c r="AY484" s="707"/>
      <c r="AZ484" s="707"/>
      <c r="BA484" s="707"/>
      <c r="BB484" s="707"/>
      <c r="BC484" s="707"/>
      <c r="BD484" s="707"/>
      <c r="BE484" s="707"/>
      <c r="BF484" s="707"/>
      <c r="BG484" s="707"/>
      <c r="BH484" s="707"/>
      <c r="BI484" s="707"/>
      <c r="BJ484" s="707"/>
      <c r="BK484" s="707"/>
      <c r="BL484" s="707"/>
      <c r="BM484" s="707"/>
      <c r="BN484" s="707"/>
      <c r="BO484" s="707"/>
      <c r="BP484" s="707"/>
      <c r="BQ484" s="707"/>
      <c r="BR484" s="707"/>
      <c r="BS484" s="707"/>
      <c r="BT484" s="707"/>
      <c r="BU484" s="707"/>
      <c r="BV484" s="707"/>
      <c r="BW484" s="707"/>
      <c r="BX484" s="707"/>
      <c r="BY484" s="707"/>
      <c r="BZ484" s="707"/>
      <c r="CA484" s="707"/>
      <c r="CB484" s="707"/>
      <c r="CC484" s="707"/>
      <c r="CD484" s="707"/>
      <c r="CE484" s="707"/>
      <c r="CF484" s="707"/>
      <c r="CG484" s="707"/>
      <c r="CH484" s="707"/>
      <c r="CI484" s="707"/>
      <c r="CJ484" s="707"/>
      <c r="CK484" s="707"/>
      <c r="CL484" s="707"/>
      <c r="CM484" s="707"/>
      <c r="CN484" s="707"/>
      <c r="CO484" s="707"/>
      <c r="CP484" s="707"/>
      <c r="CQ484" s="707"/>
      <c r="CR484" s="707"/>
      <c r="CS484" s="707"/>
      <c r="CT484" s="707"/>
      <c r="CU484" s="707"/>
      <c r="CV484" s="707"/>
      <c r="CW484" s="707"/>
      <c r="CX484" s="707"/>
      <c r="CY484" s="707"/>
      <c r="CZ484" s="707"/>
      <c r="DA484" s="707"/>
      <c r="DB484" s="707"/>
      <c r="DC484" s="707"/>
      <c r="DD484" s="707"/>
      <c r="DE484" s="707"/>
      <c r="DF484" s="707"/>
      <c r="DG484" s="707"/>
      <c r="DH484" s="707"/>
      <c r="DI484" s="707"/>
      <c r="DJ484" s="707"/>
      <c r="DK484" s="707"/>
      <c r="DL484" s="707"/>
      <c r="DM484" s="707"/>
      <c r="DN484" s="707"/>
      <c r="DO484" s="707"/>
      <c r="DP484" s="707"/>
      <c r="DQ484" s="707"/>
      <c r="DR484" s="707"/>
      <c r="DS484" s="707"/>
      <c r="DT484" s="707"/>
      <c r="DU484" s="707"/>
      <c r="DV484" s="707"/>
      <c r="DW484" s="707"/>
      <c r="DX484" s="707"/>
      <c r="DY484" s="707"/>
      <c r="DZ484" s="707"/>
      <c r="EA484" s="707"/>
      <c r="EB484" s="707"/>
      <c r="EC484" s="707"/>
      <c r="ED484" s="707"/>
      <c r="EE484" s="707"/>
      <c r="EF484" s="707"/>
      <c r="EG484" s="707"/>
      <c r="EH484" s="707"/>
      <c r="EI484" s="707"/>
      <c r="EJ484" s="707"/>
      <c r="EK484" s="707"/>
      <c r="EL484" s="707"/>
      <c r="EM484" s="707"/>
      <c r="EN484" s="707"/>
      <c r="EO484" s="707"/>
      <c r="EP484" s="707"/>
      <c r="EQ484" s="707"/>
      <c r="ER484" s="707"/>
      <c r="ES484" s="707"/>
      <c r="ET484" s="707"/>
      <c r="EU484" s="707"/>
      <c r="EV484" s="707"/>
      <c r="EW484" s="707"/>
      <c r="EX484" s="707"/>
      <c r="EY484" s="707"/>
      <c r="EZ484" s="707"/>
      <c r="FA484" s="707"/>
      <c r="FB484" s="707"/>
      <c r="FC484" s="707"/>
      <c r="FD484" s="707"/>
      <c r="FE484" s="707"/>
      <c r="FF484" s="707"/>
      <c r="FG484" s="707"/>
      <c r="FH484" s="707"/>
      <c r="FI484" s="707"/>
      <c r="FJ484" s="707"/>
      <c r="FK484" s="707"/>
      <c r="FL484" s="707"/>
      <c r="FM484" s="707"/>
      <c r="FN484" s="707"/>
      <c r="FO484" s="707"/>
      <c r="FP484" s="707"/>
      <c r="FQ484" s="707"/>
      <c r="FR484" s="707"/>
      <c r="FS484" s="707"/>
      <c r="FT484" s="707"/>
      <c r="FU484" s="707"/>
      <c r="FV484" s="707"/>
      <c r="FW484" s="707"/>
      <c r="FX484" s="707"/>
      <c r="FY484" s="707"/>
      <c r="FZ484" s="707"/>
      <c r="GA484" s="707"/>
      <c r="GB484" s="707"/>
      <c r="GC484" s="707"/>
      <c r="GD484" s="707"/>
      <c r="GE484" s="707"/>
      <c r="GF484" s="707"/>
      <c r="GG484" s="707"/>
      <c r="GH484" s="707"/>
      <c r="GI484" s="707"/>
      <c r="GJ484" s="707"/>
      <c r="GK484" s="707"/>
      <c r="GL484" s="707"/>
      <c r="GM484" s="707"/>
      <c r="GN484" s="707"/>
      <c r="GO484" s="707"/>
      <c r="GP484" s="707"/>
      <c r="GQ484" s="707"/>
      <c r="GR484" s="707"/>
      <c r="GS484" s="707"/>
      <c r="GT484" s="707"/>
      <c r="GU484" s="707"/>
      <c r="GV484" s="707"/>
      <c r="GW484" s="707"/>
      <c r="GX484" s="707"/>
      <c r="GY484" s="707"/>
      <c r="GZ484" s="707"/>
      <c r="HA484" s="707"/>
      <c r="HB484" s="707"/>
      <c r="HC484" s="707"/>
      <c r="HD484" s="707"/>
      <c r="HE484" s="707"/>
      <c r="HF484" s="707"/>
      <c r="HG484" s="707"/>
      <c r="HH484" s="707"/>
      <c r="HI484" s="707"/>
      <c r="HJ484" s="707"/>
      <c r="HK484" s="707"/>
      <c r="HL484" s="707"/>
      <c r="HM484" s="707"/>
      <c r="HN484" s="707"/>
      <c r="HO484" s="707"/>
      <c r="HP484" s="707"/>
      <c r="HQ484" s="707"/>
      <c r="HR484" s="707"/>
      <c r="HS484" s="707"/>
      <c r="HT484" s="707"/>
      <c r="HU484" s="707"/>
      <c r="HV484" s="707"/>
      <c r="HW484" s="707"/>
      <c r="HX484" s="707"/>
      <c r="HY484" s="707"/>
      <c r="HZ484" s="707"/>
      <c r="IA484" s="707"/>
      <c r="IB484" s="707"/>
      <c r="IC484" s="707"/>
      <c r="ID484" s="707"/>
      <c r="IE484" s="707"/>
      <c r="IF484" s="707"/>
      <c r="IG484" s="707"/>
      <c r="IH484" s="707"/>
      <c r="II484" s="707"/>
      <c r="IJ484" s="707"/>
      <c r="IK484" s="707"/>
      <c r="IL484" s="707"/>
      <c r="IM484" s="707"/>
      <c r="IN484" s="707"/>
      <c r="IO484" s="707"/>
      <c r="IP484" s="707"/>
      <c r="IQ484" s="707"/>
      <c r="IR484" s="707"/>
      <c r="IS484" s="707"/>
      <c r="IT484" s="707"/>
      <c r="IU484" s="707"/>
      <c r="IV484" s="707"/>
      <c r="IW484" s="707"/>
    </row>
    <row r="485" customFormat="false" ht="12.75" hidden="false" customHeight="false" outlineLevel="0" collapsed="false">
      <c r="A485" s="716"/>
      <c r="B485" s="717"/>
      <c r="C485" s="717"/>
      <c r="D485" s="717"/>
      <c r="E485" s="713"/>
      <c r="F485" s="713"/>
      <c r="G485" s="713"/>
      <c r="H485" s="713"/>
      <c r="I485" s="713"/>
      <c r="J485" s="713"/>
      <c r="K485" s="713"/>
      <c r="L485" s="713"/>
      <c r="M485" s="713"/>
      <c r="N485" s="713"/>
      <c r="O485" s="713"/>
      <c r="P485" s="713"/>
      <c r="Q485" s="713"/>
      <c r="R485" s="713"/>
      <c r="S485" s="713"/>
      <c r="T485" s="713"/>
      <c r="U485" s="713"/>
      <c r="V485" s="713"/>
      <c r="W485" s="713"/>
      <c r="X485" s="713"/>
      <c r="Y485" s="713"/>
      <c r="Z485" s="713"/>
      <c r="AA485" s="707"/>
      <c r="AB485" s="707"/>
      <c r="AC485" s="707"/>
      <c r="AD485" s="707"/>
      <c r="AE485" s="707"/>
      <c r="AF485" s="707"/>
      <c r="AG485" s="707"/>
      <c r="AH485" s="707"/>
      <c r="AI485" s="707"/>
      <c r="AJ485" s="707"/>
      <c r="AK485" s="707"/>
      <c r="AL485" s="707"/>
      <c r="AM485" s="707"/>
      <c r="AN485" s="707"/>
      <c r="AO485" s="707"/>
      <c r="AP485" s="707"/>
      <c r="AQ485" s="707"/>
      <c r="AR485" s="707"/>
      <c r="AS485" s="707"/>
      <c r="AT485" s="707"/>
      <c r="AU485" s="707"/>
      <c r="AV485" s="707"/>
      <c r="AW485" s="707"/>
      <c r="AX485" s="707"/>
      <c r="AY485" s="707"/>
      <c r="AZ485" s="707"/>
      <c r="BA485" s="707"/>
      <c r="BB485" s="707"/>
      <c r="BC485" s="707"/>
      <c r="BD485" s="707"/>
      <c r="BE485" s="707"/>
      <c r="BF485" s="707"/>
      <c r="BG485" s="707"/>
      <c r="BH485" s="707"/>
      <c r="BI485" s="707"/>
      <c r="BJ485" s="707"/>
      <c r="BK485" s="707"/>
      <c r="BL485" s="707"/>
      <c r="BM485" s="707"/>
      <c r="BN485" s="707"/>
      <c r="BO485" s="707"/>
      <c r="BP485" s="707"/>
      <c r="BQ485" s="707"/>
      <c r="BR485" s="707"/>
      <c r="BS485" s="707"/>
      <c r="BT485" s="707"/>
      <c r="BU485" s="707"/>
      <c r="BV485" s="707"/>
      <c r="BW485" s="707"/>
      <c r="BX485" s="707"/>
      <c r="BY485" s="707"/>
      <c r="BZ485" s="707"/>
      <c r="CA485" s="707"/>
      <c r="CB485" s="707"/>
      <c r="CC485" s="707"/>
      <c r="CD485" s="707"/>
      <c r="CE485" s="707"/>
      <c r="CF485" s="707"/>
      <c r="CG485" s="707"/>
      <c r="CH485" s="707"/>
      <c r="CI485" s="707"/>
      <c r="CJ485" s="707"/>
      <c r="CK485" s="707"/>
      <c r="CL485" s="707"/>
      <c r="CM485" s="707"/>
      <c r="CN485" s="707"/>
      <c r="CO485" s="707"/>
      <c r="CP485" s="707"/>
      <c r="CQ485" s="707"/>
      <c r="CR485" s="707"/>
      <c r="CS485" s="707"/>
      <c r="CT485" s="707"/>
      <c r="CU485" s="707"/>
      <c r="CV485" s="707"/>
      <c r="CW485" s="707"/>
      <c r="CX485" s="707"/>
      <c r="CY485" s="707"/>
      <c r="CZ485" s="707"/>
      <c r="DA485" s="707"/>
      <c r="DB485" s="707"/>
      <c r="DC485" s="707"/>
      <c r="DD485" s="707"/>
      <c r="DE485" s="707"/>
      <c r="DF485" s="707"/>
      <c r="DG485" s="707"/>
      <c r="DH485" s="707"/>
      <c r="DI485" s="707"/>
      <c r="DJ485" s="707"/>
      <c r="DK485" s="707"/>
      <c r="DL485" s="707"/>
      <c r="DM485" s="707"/>
      <c r="DN485" s="707"/>
      <c r="DO485" s="707"/>
      <c r="DP485" s="707"/>
      <c r="DQ485" s="707"/>
      <c r="DR485" s="707"/>
      <c r="DS485" s="707"/>
      <c r="DT485" s="707"/>
      <c r="DU485" s="707"/>
      <c r="DV485" s="707"/>
      <c r="DW485" s="707"/>
      <c r="DX485" s="707"/>
      <c r="DY485" s="707"/>
      <c r="DZ485" s="707"/>
      <c r="EA485" s="707"/>
      <c r="EB485" s="707"/>
      <c r="EC485" s="707"/>
      <c r="ED485" s="707"/>
      <c r="EE485" s="707"/>
      <c r="EF485" s="707"/>
      <c r="EG485" s="707"/>
      <c r="EH485" s="707"/>
      <c r="EI485" s="707"/>
      <c r="EJ485" s="707"/>
      <c r="EK485" s="707"/>
      <c r="EL485" s="707"/>
      <c r="EM485" s="707"/>
      <c r="EN485" s="707"/>
      <c r="EO485" s="707"/>
      <c r="EP485" s="707"/>
      <c r="EQ485" s="707"/>
      <c r="ER485" s="707"/>
      <c r="ES485" s="707"/>
      <c r="ET485" s="707"/>
      <c r="EU485" s="707"/>
      <c r="EV485" s="707"/>
      <c r="EW485" s="707"/>
      <c r="EX485" s="707"/>
      <c r="EY485" s="707"/>
      <c r="EZ485" s="707"/>
      <c r="FA485" s="707"/>
      <c r="FB485" s="707"/>
      <c r="FC485" s="707"/>
      <c r="FD485" s="707"/>
      <c r="FE485" s="707"/>
      <c r="FF485" s="707"/>
      <c r="FG485" s="707"/>
      <c r="FH485" s="707"/>
      <c r="FI485" s="707"/>
      <c r="FJ485" s="707"/>
      <c r="FK485" s="707"/>
      <c r="FL485" s="707"/>
      <c r="FM485" s="707"/>
      <c r="FN485" s="707"/>
      <c r="FO485" s="707"/>
      <c r="FP485" s="707"/>
      <c r="FQ485" s="707"/>
      <c r="FR485" s="707"/>
      <c r="FS485" s="707"/>
      <c r="FT485" s="707"/>
      <c r="FU485" s="707"/>
      <c r="FV485" s="707"/>
      <c r="FW485" s="707"/>
      <c r="FX485" s="707"/>
      <c r="FY485" s="707"/>
      <c r="FZ485" s="707"/>
      <c r="GA485" s="707"/>
      <c r="GB485" s="707"/>
      <c r="GC485" s="707"/>
      <c r="GD485" s="707"/>
      <c r="GE485" s="707"/>
      <c r="GF485" s="707"/>
      <c r="GG485" s="707"/>
      <c r="GH485" s="707"/>
      <c r="GI485" s="707"/>
      <c r="GJ485" s="707"/>
      <c r="GK485" s="707"/>
      <c r="GL485" s="707"/>
      <c r="GM485" s="707"/>
      <c r="GN485" s="707"/>
      <c r="GO485" s="707"/>
      <c r="GP485" s="707"/>
      <c r="GQ485" s="707"/>
      <c r="GR485" s="707"/>
      <c r="GS485" s="707"/>
      <c r="GT485" s="707"/>
      <c r="GU485" s="707"/>
      <c r="GV485" s="707"/>
      <c r="GW485" s="707"/>
      <c r="GX485" s="707"/>
      <c r="GY485" s="707"/>
      <c r="GZ485" s="707"/>
      <c r="HA485" s="707"/>
      <c r="HB485" s="707"/>
      <c r="HC485" s="707"/>
      <c r="HD485" s="707"/>
      <c r="HE485" s="707"/>
      <c r="HF485" s="707"/>
      <c r="HG485" s="707"/>
      <c r="HH485" s="707"/>
      <c r="HI485" s="707"/>
      <c r="HJ485" s="707"/>
      <c r="HK485" s="707"/>
      <c r="HL485" s="707"/>
      <c r="HM485" s="707"/>
      <c r="HN485" s="707"/>
      <c r="HO485" s="707"/>
      <c r="HP485" s="707"/>
      <c r="HQ485" s="707"/>
      <c r="HR485" s="707"/>
      <c r="HS485" s="707"/>
      <c r="HT485" s="707"/>
      <c r="HU485" s="707"/>
      <c r="HV485" s="707"/>
      <c r="HW485" s="707"/>
      <c r="HX485" s="707"/>
      <c r="HY485" s="707"/>
      <c r="HZ485" s="707"/>
      <c r="IA485" s="707"/>
      <c r="IB485" s="707"/>
      <c r="IC485" s="707"/>
      <c r="ID485" s="707"/>
      <c r="IE485" s="707"/>
      <c r="IF485" s="707"/>
      <c r="IG485" s="707"/>
      <c r="IH485" s="707"/>
      <c r="II485" s="707"/>
      <c r="IJ485" s="707"/>
      <c r="IK485" s="707"/>
      <c r="IL485" s="707"/>
      <c r="IM485" s="707"/>
      <c r="IN485" s="707"/>
      <c r="IO485" s="707"/>
      <c r="IP485" s="707"/>
      <c r="IQ485" s="707"/>
      <c r="IR485" s="707"/>
      <c r="IS485" s="707"/>
      <c r="IT485" s="707"/>
      <c r="IU485" s="707"/>
      <c r="IV485" s="707"/>
      <c r="IW485" s="707"/>
    </row>
    <row r="486" customFormat="false" ht="12.75" hidden="false" customHeight="false" outlineLevel="0" collapsed="false">
      <c r="A486" s="716"/>
      <c r="B486" s="717"/>
      <c r="C486" s="717"/>
      <c r="D486" s="717"/>
      <c r="E486" s="713"/>
      <c r="F486" s="713"/>
      <c r="G486" s="713"/>
      <c r="H486" s="713"/>
      <c r="I486" s="713"/>
      <c r="J486" s="713"/>
      <c r="K486" s="713"/>
      <c r="L486" s="713"/>
      <c r="M486" s="713"/>
      <c r="N486" s="713"/>
      <c r="O486" s="713"/>
      <c r="P486" s="713"/>
      <c r="Q486" s="713"/>
      <c r="R486" s="713"/>
      <c r="S486" s="713"/>
      <c r="T486" s="713"/>
      <c r="U486" s="713"/>
      <c r="V486" s="713"/>
      <c r="W486" s="713"/>
      <c r="X486" s="713"/>
      <c r="Y486" s="713"/>
      <c r="Z486" s="713"/>
      <c r="AA486" s="707"/>
      <c r="AB486" s="707"/>
      <c r="AC486" s="707"/>
      <c r="AD486" s="707"/>
      <c r="AE486" s="707"/>
      <c r="AF486" s="707"/>
      <c r="AG486" s="707"/>
      <c r="AH486" s="707"/>
      <c r="AI486" s="707"/>
      <c r="AJ486" s="707"/>
      <c r="AK486" s="707"/>
      <c r="AL486" s="707"/>
      <c r="AM486" s="707"/>
      <c r="AN486" s="707"/>
      <c r="AO486" s="707"/>
      <c r="AP486" s="707"/>
      <c r="AQ486" s="707"/>
      <c r="AR486" s="707"/>
      <c r="AS486" s="707"/>
      <c r="AT486" s="707"/>
      <c r="AU486" s="707"/>
      <c r="AV486" s="707"/>
      <c r="AW486" s="707"/>
      <c r="AX486" s="707"/>
      <c r="AY486" s="707"/>
      <c r="AZ486" s="707"/>
      <c r="BA486" s="707"/>
      <c r="BB486" s="707"/>
      <c r="BC486" s="707"/>
      <c r="BD486" s="707"/>
      <c r="BE486" s="707"/>
      <c r="BF486" s="707"/>
      <c r="BG486" s="707"/>
      <c r="BH486" s="707"/>
      <c r="BI486" s="707"/>
      <c r="BJ486" s="707"/>
      <c r="BK486" s="707"/>
      <c r="BL486" s="707"/>
      <c r="BM486" s="707"/>
      <c r="BN486" s="707"/>
      <c r="BO486" s="707"/>
      <c r="BP486" s="707"/>
      <c r="BQ486" s="707"/>
      <c r="BR486" s="707"/>
      <c r="BS486" s="707"/>
      <c r="BT486" s="707"/>
      <c r="BU486" s="707"/>
      <c r="BV486" s="707"/>
      <c r="BW486" s="707"/>
      <c r="BX486" s="707"/>
      <c r="BY486" s="707"/>
      <c r="BZ486" s="707"/>
      <c r="CA486" s="707"/>
      <c r="CB486" s="707"/>
      <c r="CC486" s="707"/>
      <c r="CD486" s="707"/>
      <c r="CE486" s="707"/>
      <c r="CF486" s="707"/>
      <c r="CG486" s="707"/>
      <c r="CH486" s="707"/>
      <c r="CI486" s="707"/>
      <c r="CJ486" s="707"/>
      <c r="CK486" s="707"/>
      <c r="CL486" s="707"/>
      <c r="CM486" s="707"/>
      <c r="CN486" s="707"/>
      <c r="CO486" s="707"/>
      <c r="CP486" s="707"/>
      <c r="CQ486" s="707"/>
      <c r="CR486" s="707"/>
      <c r="CS486" s="707"/>
      <c r="CT486" s="707"/>
      <c r="CU486" s="707"/>
      <c r="CV486" s="707"/>
      <c r="CW486" s="707"/>
      <c r="CX486" s="707"/>
      <c r="CY486" s="707"/>
      <c r="CZ486" s="707"/>
      <c r="DA486" s="707"/>
      <c r="DB486" s="707"/>
      <c r="DC486" s="707"/>
      <c r="DD486" s="707"/>
      <c r="DE486" s="707"/>
      <c r="DF486" s="707"/>
      <c r="DG486" s="707"/>
      <c r="DH486" s="707"/>
      <c r="DI486" s="707"/>
      <c r="DJ486" s="707"/>
      <c r="DK486" s="707"/>
      <c r="DL486" s="707"/>
      <c r="DM486" s="707"/>
      <c r="DN486" s="707"/>
      <c r="DO486" s="707"/>
      <c r="DP486" s="707"/>
      <c r="DQ486" s="707"/>
      <c r="DR486" s="707"/>
      <c r="DS486" s="707"/>
      <c r="DT486" s="707"/>
      <c r="DU486" s="707"/>
      <c r="DV486" s="707"/>
      <c r="DW486" s="707"/>
      <c r="DX486" s="707"/>
      <c r="DY486" s="707"/>
      <c r="DZ486" s="707"/>
      <c r="EA486" s="707"/>
      <c r="EB486" s="707"/>
      <c r="EC486" s="707"/>
      <c r="ED486" s="707"/>
      <c r="EE486" s="707"/>
      <c r="EF486" s="707"/>
      <c r="EG486" s="707"/>
      <c r="EH486" s="707"/>
      <c r="EI486" s="707"/>
      <c r="EJ486" s="707"/>
      <c r="EK486" s="707"/>
      <c r="EL486" s="707"/>
      <c r="EM486" s="707"/>
      <c r="EN486" s="707"/>
      <c r="EO486" s="707"/>
      <c r="EP486" s="707"/>
      <c r="EQ486" s="707"/>
      <c r="ER486" s="707"/>
      <c r="ES486" s="707"/>
      <c r="ET486" s="707"/>
      <c r="EU486" s="707"/>
      <c r="EV486" s="707"/>
      <c r="EW486" s="707"/>
      <c r="EX486" s="707"/>
      <c r="EY486" s="707"/>
      <c r="EZ486" s="707"/>
      <c r="FA486" s="707"/>
      <c r="FB486" s="707"/>
      <c r="FC486" s="707"/>
      <c r="FD486" s="707"/>
      <c r="FE486" s="707"/>
      <c r="FF486" s="707"/>
      <c r="FG486" s="707"/>
      <c r="FH486" s="707"/>
      <c r="FI486" s="707"/>
      <c r="FJ486" s="707"/>
      <c r="FK486" s="707"/>
      <c r="FL486" s="707"/>
      <c r="FM486" s="707"/>
      <c r="FN486" s="707"/>
      <c r="FO486" s="707"/>
      <c r="FP486" s="707"/>
      <c r="FQ486" s="707"/>
      <c r="FR486" s="707"/>
      <c r="FS486" s="707"/>
      <c r="FT486" s="707"/>
      <c r="FU486" s="707"/>
      <c r="FV486" s="707"/>
      <c r="FW486" s="707"/>
      <c r="FX486" s="707"/>
      <c r="FY486" s="707"/>
      <c r="FZ486" s="707"/>
      <c r="GA486" s="707"/>
      <c r="GB486" s="707"/>
      <c r="GC486" s="707"/>
      <c r="GD486" s="707"/>
      <c r="GE486" s="707"/>
      <c r="GF486" s="707"/>
      <c r="GG486" s="707"/>
      <c r="GH486" s="707"/>
      <c r="GI486" s="707"/>
      <c r="GJ486" s="707"/>
      <c r="GK486" s="707"/>
      <c r="GL486" s="707"/>
      <c r="GM486" s="707"/>
      <c r="GN486" s="707"/>
      <c r="GO486" s="707"/>
      <c r="GP486" s="707"/>
      <c r="GQ486" s="707"/>
      <c r="GR486" s="707"/>
      <c r="GS486" s="707"/>
      <c r="GT486" s="707"/>
      <c r="GU486" s="707"/>
      <c r="GV486" s="707"/>
      <c r="GW486" s="707"/>
      <c r="GX486" s="707"/>
      <c r="GY486" s="707"/>
      <c r="GZ486" s="707"/>
      <c r="HA486" s="707"/>
      <c r="HB486" s="707"/>
      <c r="HC486" s="707"/>
      <c r="HD486" s="707"/>
      <c r="HE486" s="707"/>
      <c r="HF486" s="707"/>
      <c r="HG486" s="707"/>
      <c r="HH486" s="707"/>
      <c r="HI486" s="707"/>
      <c r="HJ486" s="707"/>
      <c r="HK486" s="707"/>
      <c r="HL486" s="707"/>
      <c r="HM486" s="707"/>
      <c r="HN486" s="707"/>
      <c r="HO486" s="707"/>
      <c r="HP486" s="707"/>
      <c r="HQ486" s="707"/>
      <c r="HR486" s="707"/>
      <c r="HS486" s="707"/>
      <c r="HT486" s="707"/>
      <c r="HU486" s="707"/>
      <c r="HV486" s="707"/>
      <c r="HW486" s="707"/>
      <c r="HX486" s="707"/>
      <c r="HY486" s="707"/>
      <c r="HZ486" s="707"/>
      <c r="IA486" s="707"/>
      <c r="IB486" s="707"/>
      <c r="IC486" s="707"/>
      <c r="ID486" s="707"/>
      <c r="IE486" s="707"/>
      <c r="IF486" s="707"/>
      <c r="IG486" s="707"/>
      <c r="IH486" s="707"/>
      <c r="II486" s="707"/>
      <c r="IJ486" s="707"/>
      <c r="IK486" s="707"/>
      <c r="IL486" s="707"/>
      <c r="IM486" s="707"/>
      <c r="IN486" s="707"/>
      <c r="IO486" s="707"/>
      <c r="IP486" s="707"/>
      <c r="IQ486" s="707"/>
      <c r="IR486" s="707"/>
      <c r="IS486" s="707"/>
      <c r="IT486" s="707"/>
      <c r="IU486" s="707"/>
      <c r="IV486" s="707"/>
      <c r="IW486" s="707"/>
    </row>
    <row r="487" customFormat="false" ht="12.75" hidden="false" customHeight="false" outlineLevel="0" collapsed="false">
      <c r="A487" s="716"/>
      <c r="B487" s="717"/>
      <c r="C487" s="717"/>
      <c r="D487" s="717"/>
      <c r="E487" s="713"/>
      <c r="F487" s="713"/>
      <c r="G487" s="713"/>
      <c r="H487" s="713"/>
      <c r="I487" s="713"/>
      <c r="J487" s="713"/>
      <c r="K487" s="713"/>
      <c r="L487" s="713"/>
      <c r="M487" s="713"/>
      <c r="N487" s="713"/>
      <c r="O487" s="713"/>
      <c r="P487" s="713"/>
      <c r="Q487" s="713"/>
      <c r="R487" s="713"/>
      <c r="S487" s="713"/>
      <c r="T487" s="713"/>
      <c r="U487" s="713"/>
      <c r="V487" s="713"/>
      <c r="W487" s="713"/>
      <c r="X487" s="713"/>
      <c r="Y487" s="713"/>
      <c r="Z487" s="713"/>
      <c r="AA487" s="707"/>
      <c r="AB487" s="707"/>
      <c r="AC487" s="707"/>
      <c r="AD487" s="707"/>
      <c r="AE487" s="707"/>
      <c r="AF487" s="707"/>
      <c r="AG487" s="707"/>
      <c r="AH487" s="707"/>
      <c r="AI487" s="707"/>
      <c r="AJ487" s="707"/>
      <c r="AK487" s="707"/>
      <c r="AL487" s="707"/>
      <c r="AM487" s="707"/>
      <c r="AN487" s="707"/>
      <c r="AO487" s="707"/>
      <c r="AP487" s="707"/>
      <c r="AQ487" s="707"/>
      <c r="AR487" s="707"/>
      <c r="AS487" s="707"/>
      <c r="AT487" s="707"/>
      <c r="AU487" s="707"/>
      <c r="AV487" s="707"/>
      <c r="AW487" s="707"/>
      <c r="AX487" s="707"/>
      <c r="AY487" s="707"/>
      <c r="AZ487" s="707"/>
      <c r="BA487" s="707"/>
      <c r="BB487" s="707"/>
      <c r="BC487" s="707"/>
      <c r="BD487" s="707"/>
      <c r="BE487" s="707"/>
      <c r="BF487" s="707"/>
      <c r="BG487" s="707"/>
      <c r="BH487" s="707"/>
      <c r="BI487" s="707"/>
      <c r="BJ487" s="707"/>
      <c r="BK487" s="707"/>
      <c r="BL487" s="707"/>
      <c r="BM487" s="707"/>
      <c r="BN487" s="707"/>
      <c r="BO487" s="707"/>
      <c r="BP487" s="707"/>
      <c r="BQ487" s="707"/>
      <c r="BR487" s="707"/>
      <c r="BS487" s="707"/>
      <c r="BT487" s="707"/>
      <c r="BU487" s="707"/>
      <c r="BV487" s="707"/>
      <c r="BW487" s="707"/>
      <c r="BX487" s="707"/>
      <c r="BY487" s="707"/>
      <c r="BZ487" s="707"/>
      <c r="CA487" s="707"/>
      <c r="CB487" s="707"/>
      <c r="CC487" s="707"/>
      <c r="CD487" s="707"/>
      <c r="CE487" s="707"/>
      <c r="CF487" s="707"/>
      <c r="CG487" s="707"/>
      <c r="CH487" s="707"/>
      <c r="CI487" s="707"/>
      <c r="CJ487" s="707"/>
      <c r="CK487" s="707"/>
      <c r="CL487" s="707"/>
      <c r="CM487" s="707"/>
      <c r="CN487" s="707"/>
      <c r="CO487" s="707"/>
      <c r="CP487" s="707"/>
      <c r="CQ487" s="707"/>
      <c r="CR487" s="707"/>
      <c r="CS487" s="707"/>
      <c r="CT487" s="707"/>
      <c r="CU487" s="707"/>
      <c r="CV487" s="707"/>
      <c r="CW487" s="707"/>
      <c r="CX487" s="707"/>
      <c r="CY487" s="707"/>
      <c r="CZ487" s="707"/>
      <c r="DA487" s="707"/>
      <c r="DB487" s="707"/>
      <c r="DC487" s="707"/>
      <c r="DD487" s="707"/>
      <c r="DE487" s="707"/>
      <c r="DF487" s="707"/>
      <c r="DG487" s="707"/>
      <c r="DH487" s="707"/>
      <c r="DI487" s="707"/>
      <c r="DJ487" s="707"/>
      <c r="DK487" s="707"/>
      <c r="DL487" s="707"/>
      <c r="DM487" s="707"/>
      <c r="DN487" s="707"/>
      <c r="DO487" s="707"/>
      <c r="DP487" s="707"/>
      <c r="DQ487" s="707"/>
      <c r="DR487" s="707"/>
      <c r="DS487" s="707"/>
      <c r="DT487" s="707"/>
      <c r="DU487" s="707"/>
      <c r="DV487" s="707"/>
      <c r="DW487" s="707"/>
      <c r="DX487" s="707"/>
      <c r="DY487" s="707"/>
      <c r="DZ487" s="707"/>
      <c r="EA487" s="707"/>
      <c r="EB487" s="707"/>
      <c r="EC487" s="707"/>
      <c r="ED487" s="707"/>
      <c r="EE487" s="707"/>
      <c r="EF487" s="707"/>
      <c r="EG487" s="707"/>
      <c r="EH487" s="707"/>
      <c r="EI487" s="707"/>
      <c r="EJ487" s="707"/>
      <c r="EK487" s="707"/>
      <c r="EL487" s="707"/>
      <c r="EM487" s="707"/>
      <c r="EN487" s="707"/>
      <c r="EO487" s="707"/>
      <c r="EP487" s="707"/>
      <c r="EQ487" s="707"/>
      <c r="ER487" s="707"/>
      <c r="ES487" s="707"/>
      <c r="ET487" s="707"/>
      <c r="EU487" s="707"/>
      <c r="EV487" s="707"/>
      <c r="EW487" s="707"/>
      <c r="EX487" s="707"/>
      <c r="EY487" s="707"/>
      <c r="EZ487" s="707"/>
      <c r="FA487" s="707"/>
      <c r="FB487" s="707"/>
      <c r="FC487" s="707"/>
      <c r="FD487" s="707"/>
      <c r="FE487" s="707"/>
      <c r="FF487" s="707"/>
      <c r="FG487" s="707"/>
      <c r="FH487" s="707"/>
      <c r="FI487" s="707"/>
      <c r="FJ487" s="707"/>
      <c r="FK487" s="707"/>
      <c r="FL487" s="707"/>
      <c r="FM487" s="707"/>
      <c r="FN487" s="707"/>
      <c r="FO487" s="707"/>
      <c r="FP487" s="707"/>
      <c r="FQ487" s="707"/>
      <c r="FR487" s="707"/>
      <c r="FS487" s="707"/>
      <c r="FT487" s="707"/>
      <c r="FU487" s="707"/>
      <c r="FV487" s="707"/>
      <c r="FW487" s="707"/>
      <c r="FX487" s="707"/>
      <c r="FY487" s="707"/>
      <c r="FZ487" s="707"/>
      <c r="GA487" s="707"/>
      <c r="GB487" s="707"/>
      <c r="GC487" s="707"/>
      <c r="GD487" s="707"/>
      <c r="GE487" s="707"/>
      <c r="GF487" s="707"/>
      <c r="GG487" s="707"/>
      <c r="GH487" s="707"/>
      <c r="GI487" s="707"/>
      <c r="GJ487" s="707"/>
      <c r="GK487" s="707"/>
      <c r="GL487" s="707"/>
      <c r="GM487" s="707"/>
      <c r="GN487" s="707"/>
      <c r="GO487" s="707"/>
      <c r="GP487" s="707"/>
      <c r="GQ487" s="707"/>
      <c r="GR487" s="707"/>
      <c r="GS487" s="707"/>
      <c r="GT487" s="707"/>
      <c r="GU487" s="707"/>
      <c r="GV487" s="707"/>
      <c r="GW487" s="707"/>
      <c r="GX487" s="707"/>
      <c r="GY487" s="707"/>
      <c r="GZ487" s="707"/>
      <c r="HA487" s="707"/>
      <c r="HB487" s="707"/>
      <c r="HC487" s="707"/>
      <c r="HD487" s="707"/>
      <c r="HE487" s="707"/>
      <c r="HF487" s="707"/>
      <c r="HG487" s="707"/>
      <c r="HH487" s="707"/>
      <c r="HI487" s="707"/>
      <c r="HJ487" s="707"/>
      <c r="HK487" s="707"/>
      <c r="HL487" s="707"/>
      <c r="HM487" s="707"/>
      <c r="HN487" s="707"/>
      <c r="HO487" s="707"/>
      <c r="HP487" s="707"/>
      <c r="HQ487" s="707"/>
      <c r="HR487" s="707"/>
      <c r="HS487" s="707"/>
      <c r="HT487" s="707"/>
      <c r="HU487" s="707"/>
      <c r="HV487" s="707"/>
      <c r="HW487" s="707"/>
      <c r="HX487" s="707"/>
      <c r="HY487" s="707"/>
      <c r="HZ487" s="707"/>
      <c r="IA487" s="707"/>
      <c r="IB487" s="707"/>
      <c r="IC487" s="707"/>
      <c r="ID487" s="707"/>
      <c r="IE487" s="707"/>
      <c r="IF487" s="707"/>
      <c r="IG487" s="707"/>
      <c r="IH487" s="707"/>
      <c r="II487" s="707"/>
      <c r="IJ487" s="707"/>
      <c r="IK487" s="707"/>
      <c r="IL487" s="707"/>
      <c r="IM487" s="707"/>
      <c r="IN487" s="707"/>
      <c r="IO487" s="707"/>
      <c r="IP487" s="707"/>
      <c r="IQ487" s="707"/>
      <c r="IR487" s="707"/>
      <c r="IS487" s="707"/>
      <c r="IT487" s="707"/>
      <c r="IU487" s="707"/>
      <c r="IV487" s="707"/>
      <c r="IW487" s="707"/>
    </row>
    <row r="488" customFormat="false" ht="12.75" hidden="false" customHeight="false" outlineLevel="0" collapsed="false">
      <c r="A488" s="716"/>
      <c r="B488" s="718"/>
      <c r="C488" s="718"/>
      <c r="D488" s="718"/>
      <c r="E488" s="713"/>
      <c r="F488" s="713"/>
      <c r="G488" s="713"/>
      <c r="H488" s="713"/>
      <c r="I488" s="713"/>
      <c r="J488" s="713"/>
      <c r="K488" s="713"/>
      <c r="L488" s="713"/>
      <c r="M488" s="713"/>
      <c r="N488" s="713"/>
      <c r="O488" s="713"/>
      <c r="P488" s="713"/>
      <c r="Q488" s="713"/>
      <c r="R488" s="713"/>
      <c r="S488" s="713"/>
      <c r="T488" s="713"/>
      <c r="U488" s="713"/>
      <c r="V488" s="713"/>
      <c r="W488" s="713"/>
      <c r="X488" s="713"/>
      <c r="Y488" s="713"/>
      <c r="Z488" s="713"/>
      <c r="AA488" s="707"/>
      <c r="AB488" s="707"/>
      <c r="AC488" s="707"/>
      <c r="AD488" s="707"/>
      <c r="AE488" s="707"/>
      <c r="AF488" s="707"/>
      <c r="AG488" s="707"/>
      <c r="AH488" s="707"/>
      <c r="AI488" s="707"/>
      <c r="AJ488" s="707"/>
      <c r="AK488" s="707"/>
      <c r="AL488" s="707"/>
      <c r="AM488" s="707"/>
      <c r="AN488" s="707"/>
      <c r="AO488" s="707"/>
      <c r="AP488" s="707"/>
      <c r="AQ488" s="707"/>
      <c r="AR488" s="707"/>
      <c r="AS488" s="707"/>
      <c r="AT488" s="707"/>
      <c r="AU488" s="707"/>
      <c r="AV488" s="707"/>
      <c r="AW488" s="707"/>
      <c r="AX488" s="707"/>
      <c r="AY488" s="707"/>
      <c r="AZ488" s="707"/>
      <c r="BA488" s="707"/>
      <c r="BB488" s="707"/>
      <c r="BC488" s="707"/>
      <c r="BD488" s="707"/>
      <c r="BE488" s="707"/>
      <c r="BF488" s="707"/>
      <c r="BG488" s="707"/>
      <c r="BH488" s="707"/>
      <c r="BI488" s="707"/>
      <c r="BJ488" s="707"/>
      <c r="BK488" s="707"/>
      <c r="BL488" s="707"/>
      <c r="BM488" s="707"/>
      <c r="BN488" s="707"/>
      <c r="BO488" s="707"/>
      <c r="BP488" s="707"/>
      <c r="BQ488" s="707"/>
      <c r="BR488" s="707"/>
      <c r="BS488" s="707"/>
      <c r="BT488" s="707"/>
      <c r="BU488" s="707"/>
      <c r="BV488" s="707"/>
      <c r="BW488" s="707"/>
      <c r="BX488" s="707"/>
      <c r="BY488" s="707"/>
      <c r="BZ488" s="707"/>
      <c r="CA488" s="707"/>
      <c r="CB488" s="707"/>
      <c r="CC488" s="707"/>
      <c r="CD488" s="707"/>
      <c r="CE488" s="707"/>
      <c r="CF488" s="707"/>
      <c r="CG488" s="707"/>
      <c r="CH488" s="707"/>
      <c r="CI488" s="707"/>
      <c r="CJ488" s="707"/>
      <c r="CK488" s="707"/>
      <c r="CL488" s="707"/>
      <c r="CM488" s="707"/>
      <c r="CN488" s="707"/>
      <c r="CO488" s="707"/>
      <c r="CP488" s="707"/>
      <c r="CQ488" s="707"/>
      <c r="CR488" s="707"/>
      <c r="CS488" s="707"/>
      <c r="CT488" s="707"/>
      <c r="CU488" s="707"/>
      <c r="CV488" s="707"/>
      <c r="CW488" s="707"/>
      <c r="CX488" s="707"/>
      <c r="CY488" s="707"/>
      <c r="CZ488" s="707"/>
      <c r="DA488" s="707"/>
      <c r="DB488" s="707"/>
      <c r="DC488" s="707"/>
      <c r="DD488" s="707"/>
      <c r="DE488" s="707"/>
      <c r="DF488" s="707"/>
      <c r="DG488" s="707"/>
      <c r="DH488" s="707"/>
      <c r="DI488" s="707"/>
      <c r="DJ488" s="707"/>
      <c r="DK488" s="707"/>
      <c r="DL488" s="707"/>
      <c r="DM488" s="707"/>
      <c r="DN488" s="707"/>
      <c r="DO488" s="707"/>
      <c r="DP488" s="707"/>
      <c r="DQ488" s="707"/>
      <c r="DR488" s="707"/>
      <c r="DS488" s="707"/>
      <c r="DT488" s="707"/>
      <c r="DU488" s="707"/>
      <c r="DV488" s="707"/>
      <c r="DW488" s="707"/>
      <c r="DX488" s="707"/>
      <c r="DY488" s="707"/>
      <c r="DZ488" s="707"/>
      <c r="EA488" s="707"/>
      <c r="EB488" s="707"/>
      <c r="EC488" s="707"/>
      <c r="ED488" s="707"/>
      <c r="EE488" s="707"/>
      <c r="EF488" s="707"/>
      <c r="EG488" s="707"/>
      <c r="EH488" s="707"/>
      <c r="EI488" s="707"/>
      <c r="EJ488" s="707"/>
      <c r="EK488" s="707"/>
      <c r="EL488" s="707"/>
      <c r="EM488" s="707"/>
      <c r="EN488" s="707"/>
      <c r="EO488" s="707"/>
      <c r="EP488" s="707"/>
      <c r="EQ488" s="707"/>
      <c r="ER488" s="707"/>
      <c r="ES488" s="707"/>
      <c r="ET488" s="707"/>
      <c r="EU488" s="707"/>
      <c r="EV488" s="707"/>
      <c r="EW488" s="707"/>
      <c r="EX488" s="707"/>
      <c r="EY488" s="707"/>
      <c r="EZ488" s="707"/>
      <c r="FA488" s="707"/>
      <c r="FB488" s="707"/>
      <c r="FC488" s="707"/>
      <c r="FD488" s="707"/>
      <c r="FE488" s="707"/>
      <c r="FF488" s="707"/>
      <c r="FG488" s="707"/>
      <c r="FH488" s="707"/>
      <c r="FI488" s="707"/>
      <c r="FJ488" s="707"/>
      <c r="FK488" s="707"/>
      <c r="FL488" s="707"/>
      <c r="FM488" s="707"/>
      <c r="FN488" s="707"/>
      <c r="FO488" s="707"/>
      <c r="FP488" s="707"/>
      <c r="FQ488" s="707"/>
      <c r="FR488" s="707"/>
      <c r="FS488" s="707"/>
      <c r="FT488" s="707"/>
      <c r="FU488" s="707"/>
      <c r="FV488" s="707"/>
      <c r="FW488" s="707"/>
      <c r="FX488" s="707"/>
      <c r="FY488" s="707"/>
      <c r="FZ488" s="707"/>
      <c r="GA488" s="707"/>
      <c r="GB488" s="707"/>
      <c r="GC488" s="707"/>
      <c r="GD488" s="707"/>
      <c r="GE488" s="707"/>
      <c r="GF488" s="707"/>
      <c r="GG488" s="707"/>
      <c r="GH488" s="707"/>
      <c r="GI488" s="707"/>
      <c r="GJ488" s="707"/>
      <c r="GK488" s="707"/>
      <c r="GL488" s="707"/>
      <c r="GM488" s="707"/>
      <c r="GN488" s="707"/>
      <c r="GO488" s="707"/>
      <c r="GP488" s="707"/>
      <c r="GQ488" s="707"/>
      <c r="GR488" s="707"/>
      <c r="GS488" s="707"/>
      <c r="GT488" s="707"/>
      <c r="GU488" s="707"/>
      <c r="GV488" s="707"/>
      <c r="GW488" s="707"/>
      <c r="GX488" s="707"/>
      <c r="GY488" s="707"/>
      <c r="GZ488" s="707"/>
      <c r="HA488" s="707"/>
      <c r="HB488" s="707"/>
      <c r="HC488" s="707"/>
      <c r="HD488" s="707"/>
      <c r="HE488" s="707"/>
      <c r="HF488" s="707"/>
      <c r="HG488" s="707"/>
      <c r="HH488" s="707"/>
      <c r="HI488" s="707"/>
      <c r="HJ488" s="707"/>
      <c r="HK488" s="707"/>
      <c r="HL488" s="707"/>
      <c r="HM488" s="707"/>
      <c r="HN488" s="707"/>
      <c r="HO488" s="707"/>
      <c r="HP488" s="707"/>
      <c r="HQ488" s="707"/>
      <c r="HR488" s="707"/>
      <c r="HS488" s="707"/>
      <c r="HT488" s="707"/>
      <c r="HU488" s="707"/>
      <c r="HV488" s="707"/>
      <c r="HW488" s="707"/>
      <c r="HX488" s="707"/>
      <c r="HY488" s="707"/>
      <c r="HZ488" s="707"/>
      <c r="IA488" s="707"/>
      <c r="IB488" s="707"/>
      <c r="IC488" s="707"/>
      <c r="ID488" s="707"/>
      <c r="IE488" s="707"/>
      <c r="IF488" s="707"/>
      <c r="IG488" s="707"/>
      <c r="IH488" s="707"/>
      <c r="II488" s="707"/>
      <c r="IJ488" s="707"/>
      <c r="IK488" s="707"/>
      <c r="IL488" s="707"/>
      <c r="IM488" s="707"/>
      <c r="IN488" s="707"/>
      <c r="IO488" s="707"/>
      <c r="IP488" s="707"/>
      <c r="IQ488" s="707"/>
      <c r="IR488" s="707"/>
      <c r="IS488" s="707"/>
      <c r="IT488" s="707"/>
      <c r="IU488" s="707"/>
      <c r="IV488" s="707"/>
      <c r="IW488" s="707"/>
    </row>
    <row r="489" customFormat="false" ht="12.75" hidden="false" customHeight="false" outlineLevel="0" collapsed="false">
      <c r="A489" s="388"/>
      <c r="B489" s="717"/>
      <c r="C489" s="717"/>
      <c r="D489" s="717"/>
      <c r="E489" s="713"/>
      <c r="F489" s="713"/>
      <c r="G489" s="713"/>
      <c r="H489" s="713"/>
      <c r="I489" s="713"/>
      <c r="J489" s="713"/>
      <c r="K489" s="713"/>
      <c r="L489" s="713"/>
      <c r="M489" s="713"/>
      <c r="N489" s="713"/>
      <c r="O489" s="713"/>
      <c r="P489" s="713"/>
      <c r="Q489" s="713"/>
      <c r="R489" s="713"/>
      <c r="S489" s="713"/>
      <c r="T489" s="713"/>
      <c r="U489" s="713"/>
      <c r="V489" s="713"/>
      <c r="W489" s="713"/>
      <c r="X489" s="713"/>
      <c r="Y489" s="713"/>
      <c r="Z489" s="713"/>
      <c r="AA489" s="707"/>
      <c r="AB489" s="707"/>
      <c r="AC489" s="707"/>
      <c r="AD489" s="707"/>
      <c r="AE489" s="707"/>
      <c r="AF489" s="707"/>
      <c r="AG489" s="707"/>
      <c r="AH489" s="707"/>
      <c r="AI489" s="707"/>
      <c r="AJ489" s="707"/>
      <c r="AK489" s="707"/>
      <c r="AL489" s="707"/>
      <c r="AM489" s="707"/>
      <c r="AN489" s="707"/>
      <c r="AO489" s="707"/>
      <c r="AP489" s="707"/>
      <c r="AQ489" s="707"/>
      <c r="AR489" s="707"/>
      <c r="AS489" s="707"/>
      <c r="AT489" s="707"/>
      <c r="AU489" s="707"/>
      <c r="AV489" s="707"/>
      <c r="AW489" s="707"/>
      <c r="AX489" s="707"/>
      <c r="AY489" s="707"/>
      <c r="AZ489" s="707"/>
      <c r="BA489" s="707"/>
      <c r="BB489" s="707"/>
      <c r="BC489" s="707"/>
      <c r="BD489" s="707"/>
      <c r="BE489" s="707"/>
      <c r="BF489" s="707"/>
      <c r="BG489" s="707"/>
      <c r="BH489" s="707"/>
      <c r="BI489" s="707"/>
      <c r="BJ489" s="707"/>
      <c r="BK489" s="707"/>
      <c r="BL489" s="707"/>
      <c r="BM489" s="707"/>
      <c r="BN489" s="707"/>
      <c r="BO489" s="707"/>
      <c r="BP489" s="707"/>
      <c r="BQ489" s="707"/>
      <c r="BR489" s="707"/>
      <c r="BS489" s="707"/>
      <c r="BT489" s="707"/>
      <c r="BU489" s="707"/>
      <c r="BV489" s="707"/>
      <c r="BW489" s="707"/>
      <c r="BX489" s="707"/>
      <c r="BY489" s="707"/>
      <c r="BZ489" s="707"/>
      <c r="CA489" s="707"/>
      <c r="CB489" s="707"/>
      <c r="CC489" s="707"/>
      <c r="CD489" s="707"/>
      <c r="CE489" s="707"/>
      <c r="CF489" s="707"/>
      <c r="CG489" s="707"/>
      <c r="CH489" s="707"/>
      <c r="CI489" s="707"/>
      <c r="CJ489" s="707"/>
      <c r="CK489" s="707"/>
      <c r="CL489" s="707"/>
      <c r="CM489" s="707"/>
      <c r="CN489" s="707"/>
      <c r="CO489" s="707"/>
      <c r="CP489" s="707"/>
      <c r="CQ489" s="707"/>
      <c r="CR489" s="707"/>
      <c r="CS489" s="707"/>
      <c r="CT489" s="707"/>
      <c r="CU489" s="707"/>
      <c r="CV489" s="707"/>
      <c r="CW489" s="707"/>
      <c r="CX489" s="707"/>
      <c r="CY489" s="707"/>
      <c r="CZ489" s="707"/>
      <c r="DA489" s="707"/>
      <c r="DB489" s="707"/>
      <c r="DC489" s="707"/>
      <c r="DD489" s="707"/>
      <c r="DE489" s="707"/>
      <c r="DF489" s="707"/>
      <c r="DG489" s="707"/>
      <c r="DH489" s="707"/>
      <c r="DI489" s="707"/>
      <c r="DJ489" s="707"/>
      <c r="DK489" s="707"/>
      <c r="DL489" s="707"/>
      <c r="DM489" s="707"/>
      <c r="DN489" s="707"/>
      <c r="DO489" s="707"/>
      <c r="DP489" s="707"/>
      <c r="DQ489" s="707"/>
      <c r="DR489" s="707"/>
      <c r="DS489" s="707"/>
      <c r="DT489" s="707"/>
      <c r="DU489" s="707"/>
      <c r="DV489" s="707"/>
      <c r="DW489" s="707"/>
      <c r="DX489" s="707"/>
      <c r="DY489" s="707"/>
      <c r="DZ489" s="707"/>
      <c r="EA489" s="707"/>
      <c r="EB489" s="707"/>
      <c r="EC489" s="707"/>
      <c r="ED489" s="707"/>
      <c r="EE489" s="707"/>
      <c r="EF489" s="707"/>
      <c r="EG489" s="707"/>
      <c r="EH489" s="707"/>
      <c r="EI489" s="707"/>
      <c r="EJ489" s="707"/>
      <c r="EK489" s="707"/>
      <c r="EL489" s="707"/>
      <c r="EM489" s="707"/>
      <c r="EN489" s="707"/>
      <c r="EO489" s="707"/>
      <c r="EP489" s="707"/>
      <c r="EQ489" s="707"/>
      <c r="ER489" s="707"/>
      <c r="ES489" s="707"/>
      <c r="ET489" s="707"/>
      <c r="EU489" s="707"/>
      <c r="EV489" s="707"/>
      <c r="EW489" s="707"/>
      <c r="EX489" s="707"/>
      <c r="EY489" s="707"/>
      <c r="EZ489" s="707"/>
      <c r="FA489" s="707"/>
      <c r="FB489" s="707"/>
      <c r="FC489" s="707"/>
      <c r="FD489" s="707"/>
      <c r="FE489" s="707"/>
      <c r="FF489" s="707"/>
      <c r="FG489" s="707"/>
      <c r="FH489" s="707"/>
      <c r="FI489" s="707"/>
      <c r="FJ489" s="707"/>
      <c r="FK489" s="707"/>
      <c r="FL489" s="707"/>
      <c r="FM489" s="707"/>
      <c r="FN489" s="707"/>
      <c r="FO489" s="707"/>
      <c r="FP489" s="707"/>
      <c r="FQ489" s="707"/>
      <c r="FR489" s="707"/>
      <c r="FS489" s="707"/>
      <c r="FT489" s="707"/>
      <c r="FU489" s="707"/>
      <c r="FV489" s="707"/>
      <c r="FW489" s="707"/>
      <c r="FX489" s="707"/>
      <c r="FY489" s="707"/>
      <c r="FZ489" s="707"/>
      <c r="GA489" s="707"/>
      <c r="GB489" s="707"/>
      <c r="GC489" s="707"/>
      <c r="GD489" s="707"/>
      <c r="GE489" s="707"/>
      <c r="GF489" s="707"/>
      <c r="GG489" s="707"/>
      <c r="GH489" s="707"/>
      <c r="GI489" s="707"/>
      <c r="GJ489" s="707"/>
      <c r="GK489" s="707"/>
      <c r="GL489" s="707"/>
      <c r="GM489" s="707"/>
      <c r="GN489" s="707"/>
      <c r="GO489" s="707"/>
      <c r="GP489" s="707"/>
      <c r="GQ489" s="707"/>
      <c r="GR489" s="707"/>
      <c r="GS489" s="707"/>
      <c r="GT489" s="707"/>
      <c r="GU489" s="707"/>
      <c r="GV489" s="707"/>
      <c r="GW489" s="707"/>
      <c r="GX489" s="707"/>
      <c r="GY489" s="707"/>
      <c r="GZ489" s="707"/>
      <c r="HA489" s="707"/>
      <c r="HB489" s="707"/>
      <c r="HC489" s="707"/>
      <c r="HD489" s="707"/>
      <c r="HE489" s="707"/>
      <c r="HF489" s="707"/>
      <c r="HG489" s="707"/>
      <c r="HH489" s="707"/>
      <c r="HI489" s="707"/>
      <c r="HJ489" s="707"/>
      <c r="HK489" s="707"/>
      <c r="HL489" s="707"/>
      <c r="HM489" s="707"/>
      <c r="HN489" s="707"/>
      <c r="HO489" s="707"/>
      <c r="HP489" s="707"/>
      <c r="HQ489" s="707"/>
      <c r="HR489" s="707"/>
      <c r="HS489" s="707"/>
      <c r="HT489" s="707"/>
      <c r="HU489" s="707"/>
      <c r="HV489" s="707"/>
      <c r="HW489" s="707"/>
      <c r="HX489" s="707"/>
      <c r="HY489" s="707"/>
      <c r="HZ489" s="707"/>
      <c r="IA489" s="707"/>
      <c r="IB489" s="707"/>
      <c r="IC489" s="707"/>
      <c r="ID489" s="707"/>
      <c r="IE489" s="707"/>
      <c r="IF489" s="707"/>
      <c r="IG489" s="707"/>
      <c r="IH489" s="707"/>
      <c r="II489" s="707"/>
      <c r="IJ489" s="707"/>
      <c r="IK489" s="707"/>
      <c r="IL489" s="707"/>
      <c r="IM489" s="707"/>
      <c r="IN489" s="707"/>
      <c r="IO489" s="707"/>
      <c r="IP489" s="707"/>
      <c r="IQ489" s="707"/>
      <c r="IR489" s="707"/>
      <c r="IS489" s="707"/>
      <c r="IT489" s="707"/>
      <c r="IU489" s="707"/>
      <c r="IV489" s="707"/>
      <c r="IW489" s="707"/>
    </row>
    <row r="490" customFormat="false" ht="12.75" hidden="false" customHeight="false" outlineLevel="0" collapsed="false">
      <c r="A490" s="388"/>
      <c r="B490" s="717"/>
      <c r="C490" s="717"/>
      <c r="D490" s="717"/>
      <c r="E490" s="713"/>
      <c r="F490" s="713"/>
      <c r="G490" s="713"/>
      <c r="H490" s="713"/>
      <c r="I490" s="713"/>
      <c r="J490" s="713"/>
      <c r="K490" s="713"/>
      <c r="L490" s="713"/>
      <c r="M490" s="713"/>
      <c r="N490" s="713"/>
      <c r="O490" s="713"/>
      <c r="P490" s="713"/>
      <c r="Q490" s="713"/>
      <c r="R490" s="713"/>
      <c r="S490" s="713"/>
      <c r="T490" s="713"/>
      <c r="U490" s="713"/>
      <c r="V490" s="713"/>
      <c r="W490" s="713"/>
      <c r="X490" s="713"/>
      <c r="Y490" s="713"/>
      <c r="Z490" s="713"/>
      <c r="AA490" s="707"/>
      <c r="AB490" s="707"/>
      <c r="AC490" s="707"/>
      <c r="AD490" s="707"/>
      <c r="AE490" s="707"/>
      <c r="AF490" s="707"/>
      <c r="AG490" s="707"/>
      <c r="AH490" s="707"/>
      <c r="AI490" s="707"/>
      <c r="AJ490" s="707"/>
      <c r="AK490" s="707"/>
      <c r="AL490" s="707"/>
      <c r="AM490" s="707"/>
      <c r="AN490" s="707"/>
      <c r="AO490" s="707"/>
      <c r="AP490" s="707"/>
      <c r="AQ490" s="707"/>
      <c r="AR490" s="707"/>
      <c r="AS490" s="707"/>
      <c r="AT490" s="707"/>
      <c r="AU490" s="707"/>
      <c r="AV490" s="707"/>
      <c r="AW490" s="707"/>
      <c r="AX490" s="707"/>
      <c r="AY490" s="707"/>
      <c r="AZ490" s="707"/>
      <c r="BA490" s="707"/>
      <c r="BB490" s="707"/>
      <c r="BC490" s="707"/>
      <c r="BD490" s="707"/>
      <c r="BE490" s="707"/>
      <c r="BF490" s="707"/>
      <c r="BG490" s="707"/>
      <c r="BH490" s="707"/>
      <c r="BI490" s="707"/>
      <c r="BJ490" s="707"/>
      <c r="BK490" s="707"/>
      <c r="BL490" s="707"/>
      <c r="BM490" s="707"/>
      <c r="BN490" s="707"/>
      <c r="BO490" s="707"/>
      <c r="BP490" s="707"/>
      <c r="BQ490" s="707"/>
      <c r="BR490" s="707"/>
      <c r="BS490" s="707"/>
      <c r="BT490" s="707"/>
      <c r="BU490" s="707"/>
      <c r="BV490" s="707"/>
      <c r="BW490" s="707"/>
      <c r="BX490" s="707"/>
      <c r="BY490" s="707"/>
      <c r="BZ490" s="707"/>
      <c r="CA490" s="707"/>
      <c r="CB490" s="707"/>
      <c r="CC490" s="707"/>
      <c r="CD490" s="707"/>
      <c r="CE490" s="707"/>
      <c r="CF490" s="707"/>
      <c r="CG490" s="707"/>
      <c r="CH490" s="707"/>
      <c r="CI490" s="707"/>
      <c r="CJ490" s="707"/>
      <c r="CK490" s="707"/>
      <c r="CL490" s="707"/>
      <c r="CM490" s="707"/>
      <c r="CN490" s="707"/>
      <c r="CO490" s="707"/>
      <c r="CP490" s="707"/>
      <c r="CQ490" s="707"/>
      <c r="CR490" s="707"/>
      <c r="CS490" s="707"/>
      <c r="CT490" s="707"/>
      <c r="CU490" s="707"/>
      <c r="CV490" s="707"/>
      <c r="CW490" s="707"/>
      <c r="CX490" s="707"/>
      <c r="CY490" s="707"/>
      <c r="CZ490" s="707"/>
      <c r="DA490" s="707"/>
      <c r="DB490" s="707"/>
      <c r="DC490" s="707"/>
      <c r="DD490" s="707"/>
      <c r="DE490" s="707"/>
      <c r="DF490" s="707"/>
      <c r="DG490" s="707"/>
      <c r="DH490" s="707"/>
      <c r="DI490" s="707"/>
      <c r="DJ490" s="707"/>
      <c r="DK490" s="707"/>
      <c r="DL490" s="707"/>
      <c r="DM490" s="707"/>
      <c r="DN490" s="707"/>
      <c r="DO490" s="707"/>
      <c r="DP490" s="707"/>
      <c r="DQ490" s="707"/>
      <c r="DR490" s="707"/>
      <c r="DS490" s="707"/>
      <c r="DT490" s="707"/>
      <c r="DU490" s="707"/>
      <c r="DV490" s="707"/>
      <c r="DW490" s="707"/>
      <c r="DX490" s="707"/>
      <c r="DY490" s="707"/>
      <c r="DZ490" s="707"/>
      <c r="EA490" s="707"/>
      <c r="EB490" s="707"/>
      <c r="EC490" s="707"/>
      <c r="ED490" s="707"/>
      <c r="EE490" s="707"/>
      <c r="EF490" s="707"/>
      <c r="EG490" s="707"/>
      <c r="EH490" s="707"/>
      <c r="EI490" s="707"/>
      <c r="EJ490" s="707"/>
      <c r="EK490" s="707"/>
      <c r="EL490" s="707"/>
      <c r="EM490" s="707"/>
      <c r="EN490" s="707"/>
      <c r="EO490" s="707"/>
      <c r="EP490" s="707"/>
      <c r="EQ490" s="707"/>
      <c r="ER490" s="707"/>
      <c r="ES490" s="707"/>
      <c r="ET490" s="707"/>
      <c r="EU490" s="707"/>
      <c r="EV490" s="707"/>
      <c r="EW490" s="707"/>
      <c r="EX490" s="707"/>
      <c r="EY490" s="707"/>
      <c r="EZ490" s="707"/>
      <c r="FA490" s="707"/>
      <c r="FB490" s="707"/>
      <c r="FC490" s="707"/>
      <c r="FD490" s="707"/>
      <c r="FE490" s="707"/>
      <c r="FF490" s="707"/>
      <c r="FG490" s="707"/>
      <c r="FH490" s="707"/>
      <c r="FI490" s="707"/>
      <c r="FJ490" s="707"/>
      <c r="FK490" s="707"/>
      <c r="FL490" s="707"/>
      <c r="FM490" s="707"/>
      <c r="FN490" s="707"/>
      <c r="FO490" s="707"/>
      <c r="FP490" s="707"/>
      <c r="FQ490" s="707"/>
      <c r="FR490" s="707"/>
      <c r="FS490" s="707"/>
      <c r="FT490" s="707"/>
      <c r="FU490" s="707"/>
      <c r="FV490" s="707"/>
      <c r="FW490" s="707"/>
      <c r="FX490" s="707"/>
      <c r="FY490" s="707"/>
      <c r="FZ490" s="707"/>
      <c r="GA490" s="707"/>
      <c r="GB490" s="707"/>
      <c r="GC490" s="707"/>
      <c r="GD490" s="707"/>
      <c r="GE490" s="707"/>
      <c r="GF490" s="707"/>
      <c r="GG490" s="707"/>
      <c r="GH490" s="707"/>
      <c r="GI490" s="707"/>
      <c r="GJ490" s="707"/>
      <c r="GK490" s="707"/>
      <c r="GL490" s="707"/>
      <c r="GM490" s="707"/>
      <c r="GN490" s="707"/>
      <c r="GO490" s="707"/>
      <c r="GP490" s="707"/>
      <c r="GQ490" s="707"/>
      <c r="GR490" s="707"/>
      <c r="GS490" s="707"/>
      <c r="GT490" s="707"/>
      <c r="GU490" s="707"/>
      <c r="GV490" s="707"/>
      <c r="GW490" s="707"/>
      <c r="GX490" s="707"/>
      <c r="GY490" s="707"/>
      <c r="GZ490" s="707"/>
      <c r="HA490" s="707"/>
      <c r="HB490" s="707"/>
      <c r="HC490" s="707"/>
      <c r="HD490" s="707"/>
      <c r="HE490" s="707"/>
      <c r="HF490" s="707"/>
      <c r="HG490" s="707"/>
      <c r="HH490" s="707"/>
      <c r="HI490" s="707"/>
      <c r="HJ490" s="707"/>
      <c r="HK490" s="707"/>
      <c r="HL490" s="707"/>
      <c r="HM490" s="707"/>
      <c r="HN490" s="707"/>
      <c r="HO490" s="707"/>
      <c r="HP490" s="707"/>
      <c r="HQ490" s="707"/>
      <c r="HR490" s="707"/>
      <c r="HS490" s="707"/>
      <c r="HT490" s="707"/>
      <c r="HU490" s="707"/>
      <c r="HV490" s="707"/>
      <c r="HW490" s="707"/>
      <c r="HX490" s="707"/>
      <c r="HY490" s="707"/>
      <c r="HZ490" s="707"/>
      <c r="IA490" s="707"/>
      <c r="IB490" s="707"/>
      <c r="IC490" s="707"/>
      <c r="ID490" s="707"/>
      <c r="IE490" s="707"/>
      <c r="IF490" s="707"/>
      <c r="IG490" s="707"/>
      <c r="IH490" s="707"/>
      <c r="II490" s="707"/>
      <c r="IJ490" s="707"/>
      <c r="IK490" s="707"/>
      <c r="IL490" s="707"/>
      <c r="IM490" s="707"/>
      <c r="IN490" s="707"/>
      <c r="IO490" s="707"/>
      <c r="IP490" s="707"/>
      <c r="IQ490" s="707"/>
      <c r="IR490" s="707"/>
      <c r="IS490" s="707"/>
      <c r="IT490" s="707"/>
      <c r="IU490" s="707"/>
      <c r="IV490" s="707"/>
      <c r="IW490" s="707"/>
    </row>
    <row r="491" customFormat="false" ht="12.75" hidden="false" customHeight="false" outlineLevel="0" collapsed="false">
      <c r="A491" s="388"/>
      <c r="B491" s="717"/>
      <c r="C491" s="717"/>
      <c r="D491" s="717"/>
      <c r="E491" s="713"/>
      <c r="F491" s="713"/>
      <c r="G491" s="713"/>
      <c r="H491" s="713"/>
      <c r="I491" s="713"/>
      <c r="J491" s="713"/>
      <c r="K491" s="713"/>
      <c r="L491" s="713"/>
      <c r="M491" s="713"/>
      <c r="N491" s="713"/>
      <c r="O491" s="713"/>
      <c r="P491" s="713"/>
      <c r="Q491" s="713"/>
      <c r="R491" s="713"/>
      <c r="S491" s="713"/>
      <c r="T491" s="713"/>
      <c r="U491" s="713"/>
      <c r="V491" s="713"/>
      <c r="W491" s="713"/>
      <c r="X491" s="713"/>
      <c r="Y491" s="713"/>
      <c r="Z491" s="713"/>
      <c r="AA491" s="707"/>
      <c r="AB491" s="707"/>
      <c r="AC491" s="707"/>
      <c r="AD491" s="707"/>
      <c r="AE491" s="707"/>
      <c r="AF491" s="707"/>
      <c r="AG491" s="707"/>
      <c r="AH491" s="707"/>
      <c r="AI491" s="707"/>
      <c r="AJ491" s="707"/>
      <c r="AK491" s="707"/>
      <c r="AL491" s="707"/>
      <c r="AM491" s="707"/>
      <c r="AN491" s="707"/>
      <c r="AO491" s="707"/>
      <c r="AP491" s="707"/>
      <c r="AQ491" s="707"/>
      <c r="AR491" s="707"/>
      <c r="AS491" s="707"/>
      <c r="AT491" s="707"/>
      <c r="AU491" s="707"/>
      <c r="AV491" s="707"/>
      <c r="AW491" s="707"/>
      <c r="AX491" s="707"/>
      <c r="AY491" s="707"/>
      <c r="AZ491" s="707"/>
      <c r="BA491" s="707"/>
      <c r="BB491" s="707"/>
      <c r="BC491" s="707"/>
      <c r="BD491" s="707"/>
      <c r="BE491" s="707"/>
      <c r="BF491" s="707"/>
      <c r="BG491" s="707"/>
      <c r="BH491" s="707"/>
      <c r="BI491" s="707"/>
      <c r="BJ491" s="707"/>
      <c r="BK491" s="707"/>
      <c r="BL491" s="707"/>
      <c r="BM491" s="707"/>
      <c r="BN491" s="707"/>
      <c r="BO491" s="707"/>
      <c r="BP491" s="707"/>
      <c r="BQ491" s="707"/>
      <c r="BR491" s="707"/>
      <c r="BS491" s="707"/>
      <c r="BT491" s="707"/>
      <c r="BU491" s="707"/>
      <c r="BV491" s="707"/>
      <c r="BW491" s="707"/>
      <c r="BX491" s="707"/>
      <c r="BY491" s="707"/>
      <c r="BZ491" s="707"/>
      <c r="CA491" s="707"/>
      <c r="CB491" s="707"/>
      <c r="CC491" s="707"/>
      <c r="CD491" s="707"/>
      <c r="CE491" s="707"/>
      <c r="CF491" s="707"/>
      <c r="CG491" s="707"/>
      <c r="CH491" s="707"/>
      <c r="CI491" s="707"/>
      <c r="CJ491" s="707"/>
      <c r="CK491" s="707"/>
      <c r="CL491" s="707"/>
      <c r="CM491" s="707"/>
      <c r="CN491" s="707"/>
      <c r="CO491" s="707"/>
      <c r="CP491" s="707"/>
      <c r="CQ491" s="707"/>
      <c r="CR491" s="707"/>
      <c r="CS491" s="707"/>
      <c r="CT491" s="707"/>
      <c r="CU491" s="707"/>
      <c r="CV491" s="707"/>
      <c r="CW491" s="707"/>
      <c r="CX491" s="707"/>
      <c r="CY491" s="707"/>
      <c r="CZ491" s="707"/>
      <c r="DA491" s="707"/>
      <c r="DB491" s="707"/>
      <c r="DC491" s="707"/>
      <c r="DD491" s="707"/>
      <c r="DE491" s="707"/>
      <c r="DF491" s="707"/>
      <c r="DG491" s="707"/>
      <c r="DH491" s="707"/>
      <c r="DI491" s="707"/>
      <c r="DJ491" s="707"/>
      <c r="DK491" s="707"/>
      <c r="DL491" s="707"/>
      <c r="DM491" s="707"/>
      <c r="DN491" s="707"/>
      <c r="DO491" s="707"/>
      <c r="DP491" s="707"/>
      <c r="DQ491" s="707"/>
      <c r="DR491" s="707"/>
      <c r="DS491" s="707"/>
      <c r="DT491" s="707"/>
      <c r="DU491" s="707"/>
      <c r="DV491" s="707"/>
      <c r="DW491" s="707"/>
      <c r="DX491" s="707"/>
      <c r="DY491" s="707"/>
      <c r="DZ491" s="707"/>
      <c r="EA491" s="707"/>
      <c r="EB491" s="707"/>
      <c r="EC491" s="707"/>
      <c r="ED491" s="707"/>
      <c r="EE491" s="707"/>
      <c r="EF491" s="707"/>
      <c r="EG491" s="707"/>
      <c r="EH491" s="707"/>
      <c r="EI491" s="707"/>
      <c r="EJ491" s="707"/>
      <c r="EK491" s="707"/>
      <c r="EL491" s="707"/>
      <c r="EM491" s="707"/>
      <c r="EN491" s="707"/>
      <c r="EO491" s="707"/>
      <c r="EP491" s="707"/>
      <c r="EQ491" s="707"/>
      <c r="ER491" s="707"/>
      <c r="ES491" s="707"/>
      <c r="ET491" s="707"/>
      <c r="EU491" s="707"/>
      <c r="EV491" s="707"/>
      <c r="EW491" s="707"/>
      <c r="EX491" s="707"/>
      <c r="EY491" s="707"/>
      <c r="EZ491" s="707"/>
      <c r="FA491" s="707"/>
      <c r="FB491" s="707"/>
      <c r="FC491" s="707"/>
      <c r="FD491" s="707"/>
      <c r="FE491" s="707"/>
      <c r="FF491" s="707"/>
      <c r="FG491" s="707"/>
      <c r="FH491" s="707"/>
      <c r="FI491" s="707"/>
      <c r="FJ491" s="707"/>
      <c r="FK491" s="707"/>
      <c r="FL491" s="707"/>
      <c r="FM491" s="707"/>
      <c r="FN491" s="707"/>
      <c r="FO491" s="707"/>
      <c r="FP491" s="707"/>
      <c r="FQ491" s="707"/>
      <c r="FR491" s="707"/>
      <c r="FS491" s="707"/>
      <c r="FT491" s="707"/>
      <c r="FU491" s="707"/>
      <c r="FV491" s="707"/>
      <c r="FW491" s="707"/>
      <c r="FX491" s="707"/>
      <c r="FY491" s="707"/>
      <c r="FZ491" s="707"/>
      <c r="GA491" s="707"/>
      <c r="GB491" s="707"/>
      <c r="GC491" s="707"/>
      <c r="GD491" s="707"/>
      <c r="GE491" s="707"/>
      <c r="GF491" s="707"/>
      <c r="GG491" s="707"/>
      <c r="GH491" s="707"/>
      <c r="GI491" s="707"/>
      <c r="GJ491" s="707"/>
      <c r="GK491" s="707"/>
      <c r="GL491" s="707"/>
      <c r="GM491" s="707"/>
      <c r="GN491" s="707"/>
      <c r="GO491" s="707"/>
      <c r="GP491" s="707"/>
      <c r="GQ491" s="707"/>
      <c r="GR491" s="707"/>
      <c r="GS491" s="707"/>
      <c r="GT491" s="707"/>
      <c r="GU491" s="707"/>
      <c r="GV491" s="707"/>
      <c r="GW491" s="707"/>
      <c r="GX491" s="707"/>
      <c r="GY491" s="707"/>
      <c r="GZ491" s="707"/>
      <c r="HA491" s="707"/>
      <c r="HB491" s="707"/>
      <c r="HC491" s="707"/>
      <c r="HD491" s="707"/>
      <c r="HE491" s="707"/>
      <c r="HF491" s="707"/>
      <c r="HG491" s="707"/>
      <c r="HH491" s="707"/>
      <c r="HI491" s="707"/>
      <c r="HJ491" s="707"/>
      <c r="HK491" s="707"/>
      <c r="HL491" s="707"/>
      <c r="HM491" s="707"/>
      <c r="HN491" s="707"/>
      <c r="HO491" s="707"/>
      <c r="HP491" s="707"/>
      <c r="HQ491" s="707"/>
      <c r="HR491" s="707"/>
      <c r="HS491" s="707"/>
      <c r="HT491" s="707"/>
      <c r="HU491" s="707"/>
      <c r="HV491" s="707"/>
      <c r="HW491" s="707"/>
      <c r="HX491" s="707"/>
      <c r="HY491" s="707"/>
      <c r="HZ491" s="707"/>
      <c r="IA491" s="707"/>
      <c r="IB491" s="707"/>
      <c r="IC491" s="707"/>
      <c r="ID491" s="707"/>
      <c r="IE491" s="707"/>
      <c r="IF491" s="707"/>
      <c r="IG491" s="707"/>
      <c r="IH491" s="707"/>
      <c r="II491" s="707"/>
      <c r="IJ491" s="707"/>
      <c r="IK491" s="707"/>
      <c r="IL491" s="707"/>
      <c r="IM491" s="707"/>
      <c r="IN491" s="707"/>
      <c r="IO491" s="707"/>
      <c r="IP491" s="707"/>
      <c r="IQ491" s="707"/>
      <c r="IR491" s="707"/>
      <c r="IS491" s="707"/>
      <c r="IT491" s="707"/>
      <c r="IU491" s="707"/>
      <c r="IV491" s="707"/>
      <c r="IW491" s="707"/>
    </row>
    <row r="492" customFormat="false" ht="12.75" hidden="false" customHeight="false" outlineLevel="0" collapsed="false">
      <c r="A492" s="388"/>
      <c r="B492" s="717"/>
      <c r="C492" s="717"/>
      <c r="D492" s="717"/>
      <c r="E492" s="713"/>
      <c r="F492" s="713"/>
      <c r="G492" s="713"/>
      <c r="H492" s="713"/>
      <c r="I492" s="713"/>
      <c r="J492" s="713"/>
      <c r="K492" s="713"/>
      <c r="L492" s="713"/>
      <c r="M492" s="713"/>
      <c r="N492" s="713"/>
      <c r="O492" s="713"/>
      <c r="P492" s="713"/>
      <c r="Q492" s="713"/>
      <c r="R492" s="713"/>
      <c r="S492" s="713"/>
      <c r="T492" s="713"/>
      <c r="U492" s="713"/>
      <c r="V492" s="713"/>
      <c r="W492" s="713"/>
      <c r="X492" s="713"/>
      <c r="Y492" s="713"/>
      <c r="Z492" s="713"/>
      <c r="AA492" s="707"/>
      <c r="AB492" s="707"/>
      <c r="AC492" s="707"/>
      <c r="AD492" s="707"/>
      <c r="AE492" s="707"/>
      <c r="AF492" s="707"/>
      <c r="AG492" s="707"/>
      <c r="AH492" s="707"/>
      <c r="AI492" s="707"/>
      <c r="AJ492" s="707"/>
      <c r="AK492" s="707"/>
      <c r="AL492" s="707"/>
      <c r="AM492" s="707"/>
      <c r="AN492" s="707"/>
      <c r="AO492" s="707"/>
      <c r="AP492" s="707"/>
      <c r="AQ492" s="707"/>
      <c r="AR492" s="707"/>
      <c r="AS492" s="707"/>
      <c r="AT492" s="707"/>
      <c r="AU492" s="707"/>
      <c r="AV492" s="707"/>
      <c r="AW492" s="707"/>
      <c r="AX492" s="707"/>
      <c r="AY492" s="707"/>
      <c r="AZ492" s="707"/>
      <c r="BA492" s="707"/>
      <c r="BB492" s="707"/>
      <c r="BC492" s="707"/>
      <c r="BD492" s="707"/>
      <c r="BE492" s="707"/>
      <c r="BF492" s="707"/>
      <c r="BG492" s="707"/>
      <c r="BH492" s="707"/>
      <c r="BI492" s="707"/>
      <c r="BJ492" s="707"/>
      <c r="BK492" s="707"/>
      <c r="BL492" s="707"/>
      <c r="BM492" s="707"/>
      <c r="BN492" s="707"/>
      <c r="BO492" s="707"/>
      <c r="BP492" s="707"/>
      <c r="BQ492" s="707"/>
      <c r="BR492" s="707"/>
      <c r="BS492" s="707"/>
      <c r="BT492" s="707"/>
      <c r="BU492" s="707"/>
      <c r="BV492" s="707"/>
      <c r="BW492" s="707"/>
      <c r="BX492" s="707"/>
      <c r="BY492" s="707"/>
      <c r="BZ492" s="707"/>
      <c r="CA492" s="707"/>
      <c r="CB492" s="707"/>
      <c r="CC492" s="707"/>
      <c r="CD492" s="707"/>
      <c r="CE492" s="707"/>
      <c r="CF492" s="707"/>
      <c r="CG492" s="707"/>
      <c r="CH492" s="707"/>
      <c r="CI492" s="707"/>
      <c r="CJ492" s="707"/>
      <c r="CK492" s="707"/>
      <c r="CL492" s="707"/>
      <c r="CM492" s="707"/>
      <c r="CN492" s="707"/>
      <c r="CO492" s="707"/>
      <c r="CP492" s="707"/>
      <c r="CQ492" s="707"/>
      <c r="CR492" s="707"/>
      <c r="CS492" s="707"/>
      <c r="CT492" s="707"/>
      <c r="CU492" s="707"/>
      <c r="CV492" s="707"/>
      <c r="CW492" s="707"/>
      <c r="CX492" s="707"/>
      <c r="CY492" s="707"/>
      <c r="CZ492" s="707"/>
      <c r="DA492" s="707"/>
      <c r="DB492" s="707"/>
      <c r="DC492" s="707"/>
      <c r="DD492" s="707"/>
      <c r="DE492" s="707"/>
      <c r="DF492" s="707"/>
      <c r="DG492" s="707"/>
      <c r="DH492" s="707"/>
      <c r="DI492" s="707"/>
      <c r="DJ492" s="707"/>
      <c r="DK492" s="707"/>
      <c r="DL492" s="707"/>
      <c r="DM492" s="707"/>
      <c r="DN492" s="707"/>
      <c r="DO492" s="707"/>
      <c r="DP492" s="707"/>
      <c r="DQ492" s="707"/>
      <c r="DR492" s="707"/>
      <c r="DS492" s="707"/>
      <c r="DT492" s="707"/>
      <c r="DU492" s="707"/>
      <c r="DV492" s="707"/>
      <c r="DW492" s="707"/>
      <c r="DX492" s="707"/>
      <c r="DY492" s="707"/>
      <c r="DZ492" s="707"/>
      <c r="EA492" s="707"/>
      <c r="EB492" s="707"/>
      <c r="EC492" s="707"/>
      <c r="ED492" s="707"/>
      <c r="EE492" s="707"/>
      <c r="EF492" s="707"/>
      <c r="EG492" s="707"/>
      <c r="EH492" s="707"/>
      <c r="EI492" s="707"/>
      <c r="EJ492" s="707"/>
      <c r="EK492" s="707"/>
      <c r="EL492" s="707"/>
      <c r="EM492" s="707"/>
      <c r="EN492" s="707"/>
      <c r="EO492" s="707"/>
      <c r="EP492" s="707"/>
      <c r="EQ492" s="707"/>
      <c r="ER492" s="707"/>
      <c r="ES492" s="707"/>
      <c r="ET492" s="707"/>
      <c r="EU492" s="707"/>
      <c r="EV492" s="707"/>
      <c r="EW492" s="707"/>
      <c r="EX492" s="707"/>
      <c r="EY492" s="707"/>
      <c r="EZ492" s="707"/>
      <c r="FA492" s="707"/>
      <c r="FB492" s="707"/>
      <c r="FC492" s="707"/>
      <c r="FD492" s="707"/>
      <c r="FE492" s="707"/>
      <c r="FF492" s="707"/>
      <c r="FG492" s="707"/>
      <c r="FH492" s="707"/>
      <c r="FI492" s="707"/>
      <c r="FJ492" s="707"/>
      <c r="FK492" s="707"/>
      <c r="FL492" s="707"/>
      <c r="FM492" s="707"/>
      <c r="FN492" s="707"/>
      <c r="FO492" s="707"/>
      <c r="FP492" s="707"/>
      <c r="FQ492" s="707"/>
      <c r="FR492" s="707"/>
      <c r="FS492" s="707"/>
      <c r="FT492" s="707"/>
      <c r="FU492" s="707"/>
      <c r="FV492" s="707"/>
      <c r="FW492" s="707"/>
      <c r="FX492" s="707"/>
      <c r="FY492" s="707"/>
      <c r="FZ492" s="707"/>
      <c r="GA492" s="707"/>
      <c r="GB492" s="707"/>
      <c r="GC492" s="707"/>
      <c r="GD492" s="707"/>
      <c r="GE492" s="707"/>
      <c r="GF492" s="707"/>
      <c r="GG492" s="707"/>
      <c r="GH492" s="707"/>
      <c r="GI492" s="707"/>
      <c r="GJ492" s="707"/>
      <c r="GK492" s="707"/>
      <c r="GL492" s="707"/>
      <c r="GM492" s="707"/>
      <c r="GN492" s="707"/>
      <c r="GO492" s="707"/>
      <c r="GP492" s="707"/>
      <c r="GQ492" s="707"/>
      <c r="GR492" s="707"/>
      <c r="GS492" s="707"/>
      <c r="GT492" s="707"/>
      <c r="GU492" s="707"/>
      <c r="GV492" s="707"/>
      <c r="GW492" s="707"/>
      <c r="GX492" s="707"/>
      <c r="GY492" s="707"/>
      <c r="GZ492" s="707"/>
      <c r="HA492" s="707"/>
      <c r="HB492" s="707"/>
      <c r="HC492" s="707"/>
      <c r="HD492" s="707"/>
      <c r="HE492" s="707"/>
      <c r="HF492" s="707"/>
      <c r="HG492" s="707"/>
      <c r="HH492" s="707"/>
      <c r="HI492" s="707"/>
      <c r="HJ492" s="707"/>
      <c r="HK492" s="707"/>
      <c r="HL492" s="707"/>
      <c r="HM492" s="707"/>
      <c r="HN492" s="707"/>
      <c r="HO492" s="707"/>
      <c r="HP492" s="707"/>
      <c r="HQ492" s="707"/>
      <c r="HR492" s="707"/>
      <c r="HS492" s="707"/>
      <c r="HT492" s="707"/>
      <c r="HU492" s="707"/>
      <c r="HV492" s="707"/>
      <c r="HW492" s="707"/>
      <c r="HX492" s="707"/>
      <c r="HY492" s="707"/>
      <c r="HZ492" s="707"/>
      <c r="IA492" s="707"/>
      <c r="IB492" s="707"/>
      <c r="IC492" s="707"/>
      <c r="ID492" s="707"/>
      <c r="IE492" s="707"/>
      <c r="IF492" s="707"/>
      <c r="IG492" s="707"/>
      <c r="IH492" s="707"/>
      <c r="II492" s="707"/>
      <c r="IJ492" s="707"/>
      <c r="IK492" s="707"/>
      <c r="IL492" s="707"/>
      <c r="IM492" s="707"/>
      <c r="IN492" s="707"/>
      <c r="IO492" s="707"/>
      <c r="IP492" s="707"/>
      <c r="IQ492" s="707"/>
      <c r="IR492" s="707"/>
      <c r="IS492" s="707"/>
      <c r="IT492" s="707"/>
      <c r="IU492" s="707"/>
      <c r="IV492" s="707"/>
      <c r="IW492" s="707"/>
    </row>
    <row r="493" customFormat="false" ht="12.75" hidden="false" customHeight="false" outlineLevel="0" collapsed="false">
      <c r="A493" s="367"/>
      <c r="B493" s="717"/>
      <c r="C493" s="717"/>
      <c r="D493" s="717"/>
      <c r="E493" s="713"/>
      <c r="F493" s="713"/>
      <c r="G493" s="713"/>
      <c r="H493" s="713"/>
      <c r="I493" s="713"/>
      <c r="J493" s="713"/>
      <c r="K493" s="713"/>
      <c r="L493" s="713"/>
      <c r="M493" s="713"/>
      <c r="N493" s="713"/>
      <c r="O493" s="713"/>
      <c r="P493" s="713"/>
      <c r="Q493" s="713"/>
      <c r="R493" s="713"/>
      <c r="S493" s="713"/>
      <c r="T493" s="713"/>
      <c r="U493" s="713"/>
      <c r="V493" s="713"/>
      <c r="W493" s="713"/>
      <c r="X493" s="713"/>
      <c r="Y493" s="713"/>
      <c r="Z493" s="713"/>
      <c r="AA493" s="707"/>
      <c r="AB493" s="707"/>
      <c r="AC493" s="707"/>
      <c r="AD493" s="707"/>
      <c r="AE493" s="707"/>
      <c r="AF493" s="707"/>
      <c r="AG493" s="707"/>
      <c r="AH493" s="707"/>
      <c r="AI493" s="707"/>
      <c r="AJ493" s="707"/>
      <c r="AK493" s="707"/>
      <c r="AL493" s="707"/>
      <c r="AM493" s="707"/>
      <c r="AN493" s="707"/>
      <c r="AO493" s="707"/>
      <c r="AP493" s="707"/>
      <c r="AQ493" s="707"/>
      <c r="AR493" s="707"/>
      <c r="AS493" s="707"/>
      <c r="AT493" s="707"/>
      <c r="AU493" s="707"/>
      <c r="AV493" s="707"/>
      <c r="AW493" s="707"/>
      <c r="AX493" s="707"/>
      <c r="AY493" s="707"/>
      <c r="AZ493" s="707"/>
      <c r="BA493" s="707"/>
      <c r="BB493" s="707"/>
      <c r="BC493" s="707"/>
      <c r="BD493" s="707"/>
      <c r="BE493" s="707"/>
      <c r="BF493" s="707"/>
      <c r="BG493" s="707"/>
      <c r="BH493" s="707"/>
      <c r="BI493" s="707"/>
      <c r="BJ493" s="707"/>
      <c r="BK493" s="707"/>
      <c r="BL493" s="707"/>
      <c r="BM493" s="707"/>
      <c r="BN493" s="707"/>
      <c r="BO493" s="707"/>
      <c r="BP493" s="707"/>
      <c r="BQ493" s="707"/>
      <c r="BR493" s="707"/>
      <c r="BS493" s="707"/>
      <c r="BT493" s="707"/>
      <c r="BU493" s="707"/>
      <c r="BV493" s="707"/>
      <c r="BW493" s="707"/>
      <c r="BX493" s="707"/>
      <c r="BY493" s="707"/>
      <c r="BZ493" s="707"/>
      <c r="CA493" s="707"/>
      <c r="CB493" s="707"/>
      <c r="CC493" s="707"/>
      <c r="CD493" s="707"/>
      <c r="CE493" s="707"/>
      <c r="CF493" s="707"/>
      <c r="CG493" s="707"/>
      <c r="CH493" s="707"/>
      <c r="CI493" s="707"/>
      <c r="CJ493" s="707"/>
      <c r="CK493" s="707"/>
      <c r="CL493" s="707"/>
      <c r="CM493" s="707"/>
      <c r="CN493" s="707"/>
      <c r="CO493" s="707"/>
      <c r="CP493" s="707"/>
      <c r="CQ493" s="707"/>
      <c r="CR493" s="707"/>
      <c r="CS493" s="707"/>
      <c r="CT493" s="707"/>
      <c r="CU493" s="707"/>
      <c r="CV493" s="707"/>
      <c r="CW493" s="707"/>
      <c r="CX493" s="707"/>
      <c r="CY493" s="707"/>
      <c r="CZ493" s="707"/>
      <c r="DA493" s="707"/>
      <c r="DB493" s="707"/>
      <c r="DC493" s="707"/>
      <c r="DD493" s="707"/>
      <c r="DE493" s="707"/>
      <c r="DF493" s="707"/>
      <c r="DG493" s="707"/>
      <c r="DH493" s="707"/>
      <c r="DI493" s="707"/>
      <c r="DJ493" s="707"/>
      <c r="DK493" s="707"/>
      <c r="DL493" s="707"/>
      <c r="DM493" s="707"/>
      <c r="DN493" s="707"/>
      <c r="DO493" s="707"/>
      <c r="DP493" s="707"/>
      <c r="DQ493" s="707"/>
      <c r="DR493" s="707"/>
      <c r="DS493" s="707"/>
      <c r="DT493" s="707"/>
      <c r="DU493" s="707"/>
      <c r="DV493" s="707"/>
      <c r="DW493" s="707"/>
      <c r="DX493" s="707"/>
      <c r="DY493" s="707"/>
      <c r="DZ493" s="707"/>
      <c r="EA493" s="707"/>
      <c r="EB493" s="707"/>
      <c r="EC493" s="707"/>
      <c r="ED493" s="707"/>
      <c r="EE493" s="707"/>
      <c r="EF493" s="707"/>
      <c r="EG493" s="707"/>
      <c r="EH493" s="707"/>
      <c r="EI493" s="707"/>
      <c r="EJ493" s="707"/>
      <c r="EK493" s="707"/>
      <c r="EL493" s="707"/>
      <c r="EM493" s="707"/>
      <c r="EN493" s="707"/>
      <c r="EO493" s="707"/>
      <c r="EP493" s="707"/>
      <c r="EQ493" s="707"/>
      <c r="ER493" s="707"/>
      <c r="ES493" s="707"/>
      <c r="ET493" s="707"/>
      <c r="EU493" s="707"/>
      <c r="EV493" s="707"/>
      <c r="EW493" s="707"/>
      <c r="EX493" s="707"/>
      <c r="EY493" s="707"/>
      <c r="EZ493" s="707"/>
      <c r="FA493" s="707"/>
      <c r="FB493" s="707"/>
      <c r="FC493" s="707"/>
      <c r="FD493" s="707"/>
      <c r="FE493" s="707"/>
      <c r="FF493" s="707"/>
      <c r="FG493" s="707"/>
      <c r="FH493" s="707"/>
      <c r="FI493" s="707"/>
      <c r="FJ493" s="707"/>
      <c r="FK493" s="707"/>
      <c r="FL493" s="707"/>
      <c r="FM493" s="707"/>
      <c r="FN493" s="707"/>
      <c r="FO493" s="707"/>
      <c r="FP493" s="707"/>
      <c r="FQ493" s="707"/>
      <c r="FR493" s="707"/>
      <c r="FS493" s="707"/>
      <c r="FT493" s="707"/>
      <c r="FU493" s="707"/>
      <c r="FV493" s="707"/>
      <c r="FW493" s="707"/>
      <c r="FX493" s="707"/>
      <c r="FY493" s="707"/>
      <c r="FZ493" s="707"/>
      <c r="GA493" s="707"/>
      <c r="GB493" s="707"/>
      <c r="GC493" s="707"/>
      <c r="GD493" s="707"/>
      <c r="GE493" s="707"/>
      <c r="GF493" s="707"/>
      <c r="GG493" s="707"/>
      <c r="GH493" s="707"/>
      <c r="GI493" s="707"/>
      <c r="GJ493" s="707"/>
      <c r="GK493" s="707"/>
      <c r="GL493" s="707"/>
      <c r="GM493" s="707"/>
      <c r="GN493" s="707"/>
      <c r="GO493" s="707"/>
      <c r="GP493" s="707"/>
      <c r="GQ493" s="707"/>
      <c r="GR493" s="707"/>
      <c r="GS493" s="707"/>
      <c r="GT493" s="707"/>
      <c r="GU493" s="707"/>
      <c r="GV493" s="707"/>
      <c r="GW493" s="707"/>
      <c r="GX493" s="707"/>
      <c r="GY493" s="707"/>
      <c r="GZ493" s="707"/>
      <c r="HA493" s="707"/>
      <c r="HB493" s="707"/>
      <c r="HC493" s="707"/>
      <c r="HD493" s="707"/>
      <c r="HE493" s="707"/>
      <c r="HF493" s="707"/>
      <c r="HG493" s="707"/>
      <c r="HH493" s="707"/>
      <c r="HI493" s="707"/>
      <c r="HJ493" s="707"/>
      <c r="HK493" s="707"/>
      <c r="HL493" s="707"/>
      <c r="HM493" s="707"/>
      <c r="HN493" s="707"/>
      <c r="HO493" s="707"/>
      <c r="HP493" s="707"/>
      <c r="HQ493" s="707"/>
      <c r="HR493" s="707"/>
      <c r="HS493" s="707"/>
      <c r="HT493" s="707"/>
      <c r="HU493" s="707"/>
      <c r="HV493" s="707"/>
      <c r="HW493" s="707"/>
      <c r="HX493" s="707"/>
      <c r="HY493" s="707"/>
      <c r="HZ493" s="707"/>
      <c r="IA493" s="707"/>
      <c r="IB493" s="707"/>
      <c r="IC493" s="707"/>
      <c r="ID493" s="707"/>
      <c r="IE493" s="707"/>
      <c r="IF493" s="707"/>
      <c r="IG493" s="707"/>
      <c r="IH493" s="707"/>
      <c r="II493" s="707"/>
      <c r="IJ493" s="707"/>
      <c r="IK493" s="707"/>
      <c r="IL493" s="707"/>
      <c r="IM493" s="707"/>
      <c r="IN493" s="707"/>
      <c r="IO493" s="707"/>
      <c r="IP493" s="707"/>
      <c r="IQ493" s="707"/>
      <c r="IR493" s="707"/>
      <c r="IS493" s="707"/>
      <c r="IT493" s="707"/>
      <c r="IU493" s="707"/>
      <c r="IV493" s="707"/>
      <c r="IW493" s="707"/>
    </row>
    <row r="494" customFormat="false" ht="12.75" hidden="false" customHeight="false" outlineLevel="0" collapsed="false">
      <c r="A494" s="367"/>
      <c r="B494" s="717"/>
      <c r="C494" s="717"/>
      <c r="D494" s="717"/>
      <c r="E494" s="713"/>
      <c r="F494" s="713"/>
      <c r="G494" s="713"/>
      <c r="H494" s="713"/>
      <c r="I494" s="713"/>
      <c r="J494" s="713"/>
      <c r="K494" s="713"/>
      <c r="L494" s="713"/>
      <c r="M494" s="713"/>
      <c r="N494" s="713"/>
      <c r="O494" s="713"/>
      <c r="P494" s="713"/>
      <c r="Q494" s="713"/>
      <c r="R494" s="713"/>
      <c r="S494" s="713"/>
      <c r="T494" s="713"/>
      <c r="U494" s="713"/>
      <c r="V494" s="713"/>
      <c r="W494" s="713"/>
      <c r="X494" s="713"/>
      <c r="Y494" s="713"/>
      <c r="Z494" s="713"/>
      <c r="AA494" s="707"/>
      <c r="AB494" s="707"/>
      <c r="AC494" s="707"/>
      <c r="AD494" s="707"/>
      <c r="AE494" s="707"/>
      <c r="AF494" s="707"/>
      <c r="AG494" s="707"/>
      <c r="AH494" s="707"/>
      <c r="AI494" s="707"/>
      <c r="AJ494" s="707"/>
      <c r="AK494" s="707"/>
      <c r="AL494" s="707"/>
      <c r="AM494" s="707"/>
      <c r="AN494" s="707"/>
      <c r="AO494" s="707"/>
      <c r="AP494" s="707"/>
      <c r="AQ494" s="707"/>
      <c r="AR494" s="707"/>
      <c r="AS494" s="707"/>
      <c r="AT494" s="707"/>
      <c r="AU494" s="707"/>
      <c r="AV494" s="707"/>
      <c r="AW494" s="707"/>
      <c r="AX494" s="707"/>
      <c r="AY494" s="707"/>
      <c r="AZ494" s="707"/>
      <c r="BA494" s="707"/>
      <c r="BB494" s="707"/>
      <c r="BC494" s="707"/>
      <c r="BD494" s="707"/>
      <c r="BE494" s="707"/>
      <c r="BF494" s="707"/>
      <c r="BG494" s="707"/>
      <c r="BH494" s="707"/>
      <c r="BI494" s="707"/>
      <c r="BJ494" s="707"/>
      <c r="BK494" s="707"/>
      <c r="BL494" s="707"/>
      <c r="BM494" s="707"/>
      <c r="BN494" s="707"/>
      <c r="BO494" s="707"/>
      <c r="BP494" s="707"/>
      <c r="BQ494" s="707"/>
      <c r="BR494" s="707"/>
      <c r="BS494" s="707"/>
      <c r="BT494" s="707"/>
      <c r="BU494" s="707"/>
      <c r="BV494" s="707"/>
      <c r="BW494" s="707"/>
      <c r="BX494" s="707"/>
      <c r="BY494" s="707"/>
      <c r="BZ494" s="707"/>
      <c r="CA494" s="707"/>
      <c r="CB494" s="707"/>
      <c r="CC494" s="707"/>
      <c r="CD494" s="707"/>
      <c r="CE494" s="707"/>
      <c r="CF494" s="707"/>
      <c r="CG494" s="707"/>
      <c r="CH494" s="707"/>
      <c r="CI494" s="707"/>
      <c r="CJ494" s="707"/>
      <c r="CK494" s="707"/>
      <c r="CL494" s="707"/>
      <c r="CM494" s="707"/>
      <c r="CN494" s="707"/>
      <c r="CO494" s="707"/>
      <c r="CP494" s="707"/>
      <c r="CQ494" s="707"/>
      <c r="CR494" s="707"/>
      <c r="CS494" s="707"/>
      <c r="CT494" s="707"/>
      <c r="CU494" s="707"/>
      <c r="CV494" s="707"/>
      <c r="CW494" s="707"/>
      <c r="CX494" s="707"/>
      <c r="CY494" s="707"/>
      <c r="CZ494" s="707"/>
      <c r="DA494" s="707"/>
      <c r="DB494" s="707"/>
      <c r="DC494" s="707"/>
      <c r="DD494" s="707"/>
      <c r="DE494" s="707"/>
      <c r="DF494" s="707"/>
      <c r="DG494" s="707"/>
      <c r="DH494" s="707"/>
      <c r="DI494" s="707"/>
      <c r="DJ494" s="707"/>
      <c r="DK494" s="707"/>
      <c r="DL494" s="707"/>
      <c r="DM494" s="707"/>
      <c r="DN494" s="707"/>
      <c r="DO494" s="707"/>
      <c r="DP494" s="707"/>
      <c r="DQ494" s="707"/>
      <c r="DR494" s="707"/>
      <c r="DS494" s="707"/>
      <c r="DT494" s="707"/>
      <c r="DU494" s="707"/>
      <c r="DV494" s="707"/>
      <c r="DW494" s="707"/>
      <c r="DX494" s="707"/>
      <c r="DY494" s="707"/>
      <c r="DZ494" s="707"/>
      <c r="EA494" s="707"/>
      <c r="EB494" s="707"/>
      <c r="EC494" s="707"/>
      <c r="ED494" s="707"/>
      <c r="EE494" s="707"/>
      <c r="EF494" s="707"/>
      <c r="EG494" s="707"/>
      <c r="EH494" s="707"/>
      <c r="EI494" s="707"/>
      <c r="EJ494" s="707"/>
      <c r="EK494" s="707"/>
      <c r="EL494" s="707"/>
      <c r="EM494" s="707"/>
      <c r="EN494" s="707"/>
      <c r="EO494" s="707"/>
      <c r="EP494" s="707"/>
      <c r="EQ494" s="707"/>
      <c r="ER494" s="707"/>
      <c r="ES494" s="707"/>
      <c r="ET494" s="707"/>
      <c r="EU494" s="707"/>
      <c r="EV494" s="707"/>
      <c r="EW494" s="707"/>
      <c r="EX494" s="707"/>
      <c r="EY494" s="707"/>
      <c r="EZ494" s="707"/>
      <c r="FA494" s="707"/>
      <c r="FB494" s="707"/>
      <c r="FC494" s="707"/>
      <c r="FD494" s="707"/>
      <c r="FE494" s="707"/>
      <c r="FF494" s="707"/>
      <c r="FG494" s="707"/>
      <c r="FH494" s="707"/>
      <c r="FI494" s="707"/>
      <c r="FJ494" s="707"/>
      <c r="FK494" s="707"/>
      <c r="FL494" s="707"/>
      <c r="FM494" s="707"/>
      <c r="FN494" s="707"/>
      <c r="FO494" s="707"/>
      <c r="FP494" s="707"/>
      <c r="FQ494" s="707"/>
      <c r="FR494" s="707"/>
      <c r="FS494" s="707"/>
      <c r="FT494" s="707"/>
      <c r="FU494" s="707"/>
      <c r="FV494" s="707"/>
      <c r="FW494" s="707"/>
      <c r="FX494" s="707"/>
      <c r="FY494" s="707"/>
      <c r="FZ494" s="707"/>
      <c r="GA494" s="707"/>
      <c r="GB494" s="707"/>
      <c r="GC494" s="707"/>
      <c r="GD494" s="707"/>
      <c r="GE494" s="707"/>
      <c r="GF494" s="707"/>
      <c r="GG494" s="707"/>
      <c r="GH494" s="707"/>
      <c r="GI494" s="707"/>
      <c r="GJ494" s="707"/>
      <c r="GK494" s="707"/>
      <c r="GL494" s="707"/>
      <c r="GM494" s="707"/>
      <c r="GN494" s="707"/>
      <c r="GO494" s="707"/>
      <c r="GP494" s="707"/>
      <c r="GQ494" s="707"/>
      <c r="GR494" s="707"/>
      <c r="GS494" s="707"/>
      <c r="GT494" s="707"/>
      <c r="GU494" s="707"/>
      <c r="GV494" s="707"/>
      <c r="GW494" s="707"/>
      <c r="GX494" s="707"/>
      <c r="GY494" s="707"/>
      <c r="GZ494" s="707"/>
      <c r="HA494" s="707"/>
      <c r="HB494" s="707"/>
      <c r="HC494" s="707"/>
      <c r="HD494" s="707"/>
      <c r="HE494" s="707"/>
      <c r="HF494" s="707"/>
      <c r="HG494" s="707"/>
      <c r="HH494" s="707"/>
      <c r="HI494" s="707"/>
      <c r="HJ494" s="707"/>
      <c r="HK494" s="707"/>
      <c r="HL494" s="707"/>
      <c r="HM494" s="707"/>
      <c r="HN494" s="707"/>
      <c r="HO494" s="707"/>
      <c r="HP494" s="707"/>
      <c r="HQ494" s="707"/>
      <c r="HR494" s="707"/>
      <c r="HS494" s="707"/>
      <c r="HT494" s="707"/>
      <c r="HU494" s="707"/>
      <c r="HV494" s="707"/>
      <c r="HW494" s="707"/>
      <c r="HX494" s="707"/>
      <c r="HY494" s="707"/>
      <c r="HZ494" s="707"/>
      <c r="IA494" s="707"/>
      <c r="IB494" s="707"/>
      <c r="IC494" s="707"/>
      <c r="ID494" s="707"/>
      <c r="IE494" s="707"/>
      <c r="IF494" s="707"/>
      <c r="IG494" s="707"/>
      <c r="IH494" s="707"/>
      <c r="II494" s="707"/>
      <c r="IJ494" s="707"/>
      <c r="IK494" s="707"/>
      <c r="IL494" s="707"/>
      <c r="IM494" s="707"/>
      <c r="IN494" s="707"/>
      <c r="IO494" s="707"/>
      <c r="IP494" s="707"/>
      <c r="IQ494" s="707"/>
      <c r="IR494" s="707"/>
      <c r="IS494" s="707"/>
      <c r="IT494" s="707"/>
      <c r="IU494" s="707"/>
      <c r="IV494" s="707"/>
      <c r="IW494" s="707"/>
    </row>
    <row r="495" customFormat="false" ht="12.75" hidden="false" customHeight="false" outlineLevel="0" collapsed="false">
      <c r="A495" s="388"/>
      <c r="B495" s="717"/>
      <c r="C495" s="717"/>
      <c r="D495" s="717"/>
      <c r="E495" s="713"/>
      <c r="F495" s="713"/>
      <c r="G495" s="713"/>
      <c r="H495" s="713"/>
      <c r="I495" s="713"/>
      <c r="J495" s="713"/>
      <c r="K495" s="713"/>
      <c r="L495" s="713"/>
      <c r="M495" s="713"/>
      <c r="N495" s="713"/>
      <c r="O495" s="713"/>
      <c r="P495" s="713"/>
      <c r="Q495" s="713"/>
      <c r="R495" s="713"/>
      <c r="S495" s="713"/>
      <c r="T495" s="713"/>
      <c r="U495" s="713"/>
      <c r="V495" s="713"/>
      <c r="W495" s="713"/>
      <c r="X495" s="713"/>
      <c r="Y495" s="713"/>
      <c r="Z495" s="713"/>
      <c r="AA495" s="707"/>
      <c r="AB495" s="707"/>
      <c r="AC495" s="707"/>
      <c r="AD495" s="707"/>
      <c r="AE495" s="707"/>
      <c r="AF495" s="707"/>
      <c r="AG495" s="707"/>
      <c r="AH495" s="707"/>
      <c r="AI495" s="707"/>
      <c r="AJ495" s="707"/>
      <c r="AK495" s="707"/>
      <c r="AL495" s="707"/>
      <c r="AM495" s="707"/>
      <c r="AN495" s="707"/>
      <c r="AO495" s="707"/>
      <c r="AP495" s="707"/>
      <c r="AQ495" s="707"/>
      <c r="AR495" s="707"/>
      <c r="AS495" s="707"/>
      <c r="AT495" s="707"/>
      <c r="AU495" s="707"/>
      <c r="AV495" s="707"/>
      <c r="AW495" s="707"/>
      <c r="AX495" s="707"/>
      <c r="AY495" s="707"/>
      <c r="AZ495" s="707"/>
      <c r="BA495" s="707"/>
      <c r="BB495" s="707"/>
      <c r="BC495" s="707"/>
      <c r="BD495" s="707"/>
      <c r="BE495" s="707"/>
      <c r="BF495" s="707"/>
      <c r="BG495" s="707"/>
      <c r="BH495" s="707"/>
      <c r="BI495" s="707"/>
      <c r="BJ495" s="707"/>
      <c r="BK495" s="707"/>
      <c r="BL495" s="707"/>
      <c r="BM495" s="707"/>
      <c r="BN495" s="707"/>
      <c r="BO495" s="707"/>
      <c r="BP495" s="707"/>
      <c r="BQ495" s="707"/>
      <c r="BR495" s="707"/>
      <c r="BS495" s="707"/>
      <c r="BT495" s="707"/>
      <c r="BU495" s="707"/>
      <c r="BV495" s="707"/>
      <c r="BW495" s="707"/>
      <c r="BX495" s="707"/>
      <c r="BY495" s="707"/>
      <c r="BZ495" s="707"/>
      <c r="CA495" s="707"/>
      <c r="CB495" s="707"/>
      <c r="CC495" s="707"/>
      <c r="CD495" s="707"/>
      <c r="CE495" s="707"/>
      <c r="CF495" s="707"/>
      <c r="CG495" s="707"/>
      <c r="CH495" s="707"/>
      <c r="CI495" s="707"/>
      <c r="CJ495" s="707"/>
      <c r="CK495" s="707"/>
      <c r="CL495" s="707"/>
      <c r="CM495" s="707"/>
      <c r="CN495" s="707"/>
      <c r="CO495" s="707"/>
      <c r="CP495" s="707"/>
      <c r="CQ495" s="707"/>
      <c r="CR495" s="707"/>
      <c r="CS495" s="707"/>
      <c r="CT495" s="707"/>
      <c r="CU495" s="707"/>
      <c r="CV495" s="707"/>
      <c r="CW495" s="707"/>
      <c r="CX495" s="707"/>
      <c r="CY495" s="707"/>
      <c r="CZ495" s="707"/>
      <c r="DA495" s="707"/>
      <c r="DB495" s="707"/>
      <c r="DC495" s="707"/>
      <c r="DD495" s="707"/>
      <c r="DE495" s="707"/>
      <c r="DF495" s="707"/>
      <c r="DG495" s="707"/>
      <c r="DH495" s="707"/>
      <c r="DI495" s="707"/>
      <c r="DJ495" s="707"/>
      <c r="DK495" s="707"/>
      <c r="DL495" s="707"/>
      <c r="DM495" s="707"/>
      <c r="DN495" s="707"/>
      <c r="DO495" s="707"/>
      <c r="DP495" s="707"/>
      <c r="DQ495" s="707"/>
      <c r="DR495" s="707"/>
      <c r="DS495" s="707"/>
      <c r="DT495" s="707"/>
      <c r="DU495" s="707"/>
      <c r="DV495" s="707"/>
      <c r="DW495" s="707"/>
      <c r="DX495" s="707"/>
      <c r="DY495" s="707"/>
      <c r="DZ495" s="707"/>
      <c r="EA495" s="707"/>
      <c r="EB495" s="707"/>
      <c r="EC495" s="707"/>
      <c r="ED495" s="707"/>
      <c r="EE495" s="707"/>
      <c r="EF495" s="707"/>
      <c r="EG495" s="707"/>
      <c r="EH495" s="707"/>
      <c r="EI495" s="707"/>
      <c r="EJ495" s="707"/>
      <c r="EK495" s="707"/>
      <c r="EL495" s="707"/>
      <c r="EM495" s="707"/>
      <c r="EN495" s="707"/>
      <c r="EO495" s="707"/>
      <c r="EP495" s="707"/>
      <c r="EQ495" s="707"/>
      <c r="ER495" s="707"/>
      <c r="ES495" s="707"/>
      <c r="ET495" s="707"/>
      <c r="EU495" s="707"/>
      <c r="EV495" s="707"/>
      <c r="EW495" s="707"/>
      <c r="EX495" s="707"/>
      <c r="EY495" s="707"/>
      <c r="EZ495" s="707"/>
      <c r="FA495" s="707"/>
      <c r="FB495" s="707"/>
      <c r="FC495" s="707"/>
      <c r="FD495" s="707"/>
      <c r="FE495" s="707"/>
      <c r="FF495" s="707"/>
      <c r="FG495" s="707"/>
      <c r="FH495" s="707"/>
      <c r="FI495" s="707"/>
      <c r="FJ495" s="707"/>
      <c r="FK495" s="707"/>
      <c r="FL495" s="707"/>
      <c r="FM495" s="707"/>
      <c r="FN495" s="707"/>
      <c r="FO495" s="707"/>
      <c r="FP495" s="707"/>
      <c r="FQ495" s="707"/>
      <c r="FR495" s="707"/>
      <c r="FS495" s="707"/>
      <c r="FT495" s="707"/>
      <c r="FU495" s="707"/>
      <c r="FV495" s="707"/>
      <c r="FW495" s="707"/>
      <c r="FX495" s="707"/>
      <c r="FY495" s="707"/>
      <c r="FZ495" s="707"/>
      <c r="GA495" s="707"/>
      <c r="GB495" s="707"/>
      <c r="GC495" s="707"/>
      <c r="GD495" s="707"/>
      <c r="GE495" s="707"/>
      <c r="GF495" s="707"/>
      <c r="GG495" s="707"/>
      <c r="GH495" s="707"/>
      <c r="GI495" s="707"/>
      <c r="GJ495" s="707"/>
      <c r="GK495" s="707"/>
      <c r="GL495" s="707"/>
      <c r="GM495" s="707"/>
      <c r="GN495" s="707"/>
      <c r="GO495" s="707"/>
      <c r="GP495" s="707"/>
      <c r="GQ495" s="707"/>
      <c r="GR495" s="707"/>
      <c r="GS495" s="707"/>
      <c r="GT495" s="707"/>
      <c r="GU495" s="707"/>
      <c r="GV495" s="707"/>
      <c r="GW495" s="707"/>
      <c r="GX495" s="707"/>
      <c r="GY495" s="707"/>
      <c r="GZ495" s="707"/>
      <c r="HA495" s="707"/>
      <c r="HB495" s="707"/>
      <c r="HC495" s="707"/>
      <c r="HD495" s="707"/>
      <c r="HE495" s="707"/>
      <c r="HF495" s="707"/>
      <c r="HG495" s="707"/>
      <c r="HH495" s="707"/>
      <c r="HI495" s="707"/>
      <c r="HJ495" s="707"/>
      <c r="HK495" s="707"/>
      <c r="HL495" s="707"/>
      <c r="HM495" s="707"/>
      <c r="HN495" s="707"/>
      <c r="HO495" s="707"/>
      <c r="HP495" s="707"/>
      <c r="HQ495" s="707"/>
      <c r="HR495" s="707"/>
      <c r="HS495" s="707"/>
      <c r="HT495" s="707"/>
      <c r="HU495" s="707"/>
      <c r="HV495" s="707"/>
      <c r="HW495" s="707"/>
      <c r="HX495" s="707"/>
      <c r="HY495" s="707"/>
      <c r="HZ495" s="707"/>
      <c r="IA495" s="707"/>
      <c r="IB495" s="707"/>
      <c r="IC495" s="707"/>
      <c r="ID495" s="707"/>
      <c r="IE495" s="707"/>
      <c r="IF495" s="707"/>
      <c r="IG495" s="707"/>
      <c r="IH495" s="707"/>
      <c r="II495" s="707"/>
      <c r="IJ495" s="707"/>
      <c r="IK495" s="707"/>
      <c r="IL495" s="707"/>
      <c r="IM495" s="707"/>
      <c r="IN495" s="707"/>
      <c r="IO495" s="707"/>
      <c r="IP495" s="707"/>
      <c r="IQ495" s="707"/>
      <c r="IR495" s="707"/>
      <c r="IS495" s="707"/>
      <c r="IT495" s="707"/>
      <c r="IU495" s="707"/>
      <c r="IV495" s="707"/>
      <c r="IW495" s="707"/>
    </row>
    <row r="496" customFormat="false" ht="12.75" hidden="false" customHeight="false" outlineLevel="0" collapsed="false">
      <c r="A496" s="681"/>
      <c r="B496" s="717"/>
      <c r="C496" s="717"/>
      <c r="D496" s="717"/>
      <c r="E496" s="406"/>
      <c r="F496" s="406"/>
      <c r="G496" s="406"/>
      <c r="H496" s="406"/>
      <c r="I496" s="406"/>
      <c r="J496" s="406"/>
      <c r="K496" s="406"/>
      <c r="L496" s="406"/>
      <c r="M496" s="406"/>
      <c r="N496" s="406"/>
      <c r="O496" s="406"/>
      <c r="P496" s="406"/>
      <c r="Q496" s="406"/>
      <c r="R496" s="406"/>
      <c r="S496" s="406"/>
      <c r="T496" s="406"/>
      <c r="U496" s="406"/>
      <c r="V496" s="406"/>
      <c r="W496" s="406"/>
      <c r="X496" s="406"/>
      <c r="Y496" s="406"/>
      <c r="Z496" s="406"/>
      <c r="AA496" s="707"/>
      <c r="AB496" s="707"/>
      <c r="AC496" s="707"/>
      <c r="AD496" s="707"/>
      <c r="AE496" s="707"/>
      <c r="AF496" s="707"/>
      <c r="AG496" s="707"/>
      <c r="AH496" s="707"/>
      <c r="AI496" s="707"/>
      <c r="AJ496" s="707"/>
      <c r="AK496" s="707"/>
      <c r="AL496" s="707"/>
      <c r="AM496" s="707"/>
      <c r="AN496" s="707"/>
      <c r="AO496" s="707"/>
      <c r="AP496" s="707"/>
      <c r="AQ496" s="707"/>
      <c r="AR496" s="707"/>
      <c r="AS496" s="707"/>
      <c r="AT496" s="707"/>
      <c r="AU496" s="707"/>
      <c r="AV496" s="707"/>
      <c r="AW496" s="707"/>
      <c r="AX496" s="707"/>
      <c r="AY496" s="707"/>
      <c r="AZ496" s="707"/>
      <c r="BA496" s="707"/>
      <c r="BB496" s="707"/>
      <c r="BC496" s="707"/>
      <c r="BD496" s="707"/>
      <c r="BE496" s="707"/>
      <c r="BF496" s="707"/>
      <c r="BG496" s="707"/>
      <c r="BH496" s="707"/>
      <c r="BI496" s="707"/>
      <c r="BJ496" s="707"/>
      <c r="BK496" s="707"/>
      <c r="BL496" s="707"/>
      <c r="BM496" s="707"/>
      <c r="BN496" s="707"/>
      <c r="BO496" s="707"/>
      <c r="BP496" s="707"/>
      <c r="BQ496" s="707"/>
      <c r="BR496" s="707"/>
      <c r="BS496" s="707"/>
      <c r="BT496" s="707"/>
      <c r="BU496" s="707"/>
      <c r="BV496" s="707"/>
      <c r="BW496" s="707"/>
      <c r="BX496" s="707"/>
      <c r="BY496" s="707"/>
      <c r="BZ496" s="707"/>
      <c r="CA496" s="707"/>
      <c r="CB496" s="707"/>
      <c r="CC496" s="707"/>
      <c r="CD496" s="707"/>
      <c r="CE496" s="707"/>
      <c r="CF496" s="707"/>
      <c r="CG496" s="707"/>
      <c r="CH496" s="707"/>
      <c r="CI496" s="707"/>
      <c r="CJ496" s="707"/>
      <c r="CK496" s="707"/>
      <c r="CL496" s="707"/>
      <c r="CM496" s="707"/>
      <c r="CN496" s="707"/>
      <c r="CO496" s="707"/>
      <c r="CP496" s="707"/>
      <c r="CQ496" s="707"/>
      <c r="CR496" s="707"/>
      <c r="CS496" s="707"/>
      <c r="CT496" s="707"/>
      <c r="CU496" s="707"/>
      <c r="CV496" s="707"/>
      <c r="CW496" s="707"/>
      <c r="CX496" s="707"/>
      <c r="CY496" s="707"/>
      <c r="CZ496" s="707"/>
      <c r="DA496" s="707"/>
      <c r="DB496" s="707"/>
      <c r="DC496" s="707"/>
      <c r="DD496" s="707"/>
      <c r="DE496" s="707"/>
      <c r="DF496" s="707"/>
      <c r="DG496" s="707"/>
      <c r="DH496" s="707"/>
      <c r="DI496" s="707"/>
      <c r="DJ496" s="707"/>
      <c r="DK496" s="707"/>
      <c r="DL496" s="707"/>
      <c r="DM496" s="707"/>
      <c r="DN496" s="707"/>
      <c r="DO496" s="707"/>
      <c r="DP496" s="707"/>
      <c r="DQ496" s="707"/>
      <c r="DR496" s="707"/>
      <c r="DS496" s="707"/>
      <c r="DT496" s="707"/>
      <c r="DU496" s="707"/>
      <c r="DV496" s="707"/>
      <c r="DW496" s="707"/>
      <c r="DX496" s="707"/>
      <c r="DY496" s="707"/>
      <c r="DZ496" s="707"/>
      <c r="EA496" s="707"/>
      <c r="EB496" s="707"/>
      <c r="EC496" s="707"/>
      <c r="ED496" s="707"/>
      <c r="EE496" s="707"/>
      <c r="EF496" s="707"/>
      <c r="EG496" s="707"/>
      <c r="EH496" s="707"/>
      <c r="EI496" s="707"/>
      <c r="EJ496" s="707"/>
      <c r="EK496" s="707"/>
      <c r="EL496" s="707"/>
      <c r="EM496" s="707"/>
      <c r="EN496" s="707"/>
      <c r="EO496" s="707"/>
      <c r="EP496" s="707"/>
      <c r="EQ496" s="707"/>
      <c r="ER496" s="707"/>
      <c r="ES496" s="707"/>
      <c r="ET496" s="707"/>
      <c r="EU496" s="707"/>
      <c r="EV496" s="707"/>
      <c r="EW496" s="707"/>
      <c r="EX496" s="707"/>
      <c r="EY496" s="707"/>
      <c r="EZ496" s="707"/>
      <c r="FA496" s="707"/>
      <c r="FB496" s="707"/>
      <c r="FC496" s="707"/>
      <c r="FD496" s="707"/>
      <c r="FE496" s="707"/>
      <c r="FF496" s="707"/>
      <c r="FG496" s="707"/>
      <c r="FH496" s="707"/>
      <c r="FI496" s="707"/>
      <c r="FJ496" s="707"/>
      <c r="FK496" s="707"/>
      <c r="FL496" s="707"/>
      <c r="FM496" s="707"/>
      <c r="FN496" s="707"/>
      <c r="FO496" s="707"/>
      <c r="FP496" s="707"/>
      <c r="FQ496" s="707"/>
      <c r="FR496" s="707"/>
      <c r="FS496" s="707"/>
      <c r="FT496" s="707"/>
      <c r="FU496" s="707"/>
      <c r="FV496" s="707"/>
      <c r="FW496" s="707"/>
      <c r="FX496" s="707"/>
      <c r="FY496" s="707"/>
      <c r="FZ496" s="707"/>
      <c r="GA496" s="707"/>
      <c r="GB496" s="707"/>
      <c r="GC496" s="707"/>
      <c r="GD496" s="707"/>
      <c r="GE496" s="707"/>
      <c r="GF496" s="707"/>
      <c r="GG496" s="707"/>
      <c r="GH496" s="707"/>
      <c r="GI496" s="707"/>
      <c r="GJ496" s="707"/>
      <c r="GK496" s="707"/>
      <c r="GL496" s="707"/>
      <c r="GM496" s="707"/>
      <c r="GN496" s="707"/>
      <c r="GO496" s="707"/>
      <c r="GP496" s="707"/>
      <c r="GQ496" s="707"/>
      <c r="GR496" s="707"/>
      <c r="GS496" s="707"/>
      <c r="GT496" s="707"/>
      <c r="GU496" s="707"/>
      <c r="GV496" s="707"/>
      <c r="GW496" s="707"/>
      <c r="GX496" s="707"/>
      <c r="GY496" s="707"/>
      <c r="GZ496" s="707"/>
      <c r="HA496" s="707"/>
      <c r="HB496" s="707"/>
      <c r="HC496" s="707"/>
      <c r="HD496" s="707"/>
      <c r="HE496" s="707"/>
      <c r="HF496" s="707"/>
      <c r="HG496" s="707"/>
      <c r="HH496" s="707"/>
      <c r="HI496" s="707"/>
      <c r="HJ496" s="707"/>
      <c r="HK496" s="707"/>
      <c r="HL496" s="707"/>
      <c r="HM496" s="707"/>
      <c r="HN496" s="707"/>
      <c r="HO496" s="707"/>
      <c r="HP496" s="707"/>
      <c r="HQ496" s="707"/>
      <c r="HR496" s="707"/>
      <c r="HS496" s="707"/>
      <c r="HT496" s="707"/>
      <c r="HU496" s="707"/>
      <c r="HV496" s="707"/>
      <c r="HW496" s="707"/>
      <c r="HX496" s="707"/>
      <c r="HY496" s="707"/>
      <c r="HZ496" s="707"/>
      <c r="IA496" s="707"/>
      <c r="IB496" s="707"/>
      <c r="IC496" s="707"/>
      <c r="ID496" s="707"/>
      <c r="IE496" s="707"/>
      <c r="IF496" s="707"/>
      <c r="IG496" s="707"/>
      <c r="IH496" s="707"/>
      <c r="II496" s="707"/>
      <c r="IJ496" s="707"/>
      <c r="IK496" s="707"/>
      <c r="IL496" s="707"/>
      <c r="IM496" s="707"/>
      <c r="IN496" s="707"/>
      <c r="IO496" s="707"/>
      <c r="IP496" s="707"/>
      <c r="IQ496" s="707"/>
      <c r="IR496" s="707"/>
      <c r="IS496" s="707"/>
      <c r="IT496" s="707"/>
      <c r="IU496" s="707"/>
      <c r="IV496" s="707"/>
      <c r="IW496" s="707"/>
    </row>
    <row r="497" customFormat="false" ht="12.75" hidden="false" customHeight="false" outlineLevel="0" collapsed="false">
      <c r="A497" s="367"/>
      <c r="B497" s="719"/>
      <c r="C497" s="719"/>
      <c r="D497" s="719"/>
      <c r="E497" s="713"/>
      <c r="F497" s="713"/>
      <c r="G497" s="713"/>
      <c r="H497" s="713"/>
      <c r="I497" s="713"/>
      <c r="J497" s="713"/>
      <c r="K497" s="713"/>
      <c r="L497" s="713"/>
      <c r="M497" s="713"/>
      <c r="N497" s="713"/>
      <c r="O497" s="713"/>
      <c r="P497" s="713"/>
      <c r="Q497" s="713"/>
      <c r="R497" s="713"/>
      <c r="S497" s="713"/>
      <c r="T497" s="713"/>
      <c r="U497" s="713"/>
      <c r="V497" s="713"/>
      <c r="W497" s="713"/>
      <c r="X497" s="713"/>
      <c r="Y497" s="713"/>
      <c r="Z497" s="713"/>
      <c r="AA497" s="707"/>
      <c r="AB497" s="707"/>
      <c r="AC497" s="707"/>
      <c r="AD497" s="707"/>
      <c r="AE497" s="707"/>
      <c r="AF497" s="707"/>
      <c r="AG497" s="707"/>
      <c r="AH497" s="707"/>
      <c r="AI497" s="707"/>
      <c r="AJ497" s="707"/>
      <c r="AK497" s="707"/>
      <c r="AL497" s="707"/>
      <c r="AM497" s="707"/>
      <c r="AN497" s="707"/>
      <c r="AO497" s="707"/>
      <c r="AP497" s="707"/>
      <c r="AQ497" s="707"/>
      <c r="AR497" s="707"/>
      <c r="AS497" s="707"/>
      <c r="AT497" s="707"/>
      <c r="AU497" s="707"/>
      <c r="AV497" s="707"/>
      <c r="AW497" s="707"/>
      <c r="AX497" s="707"/>
      <c r="AY497" s="707"/>
      <c r="AZ497" s="707"/>
      <c r="BA497" s="707"/>
      <c r="BB497" s="707"/>
      <c r="BC497" s="707"/>
      <c r="BD497" s="707"/>
      <c r="BE497" s="707"/>
      <c r="BF497" s="707"/>
      <c r="BG497" s="707"/>
      <c r="BH497" s="707"/>
      <c r="BI497" s="707"/>
      <c r="BJ497" s="707"/>
      <c r="BK497" s="707"/>
      <c r="BL497" s="707"/>
      <c r="BM497" s="707"/>
      <c r="BN497" s="707"/>
      <c r="BO497" s="707"/>
      <c r="BP497" s="707"/>
      <c r="BQ497" s="707"/>
      <c r="BR497" s="707"/>
      <c r="BS497" s="707"/>
      <c r="BT497" s="707"/>
      <c r="BU497" s="707"/>
      <c r="BV497" s="707"/>
      <c r="BW497" s="707"/>
      <c r="BX497" s="707"/>
      <c r="BY497" s="707"/>
      <c r="BZ497" s="707"/>
      <c r="CA497" s="707"/>
      <c r="CB497" s="707"/>
      <c r="CC497" s="707"/>
      <c r="CD497" s="707"/>
      <c r="CE497" s="707"/>
      <c r="CF497" s="707"/>
      <c r="CG497" s="707"/>
      <c r="CH497" s="707"/>
      <c r="CI497" s="707"/>
      <c r="CJ497" s="707"/>
      <c r="CK497" s="707"/>
      <c r="CL497" s="707"/>
      <c r="CM497" s="707"/>
      <c r="CN497" s="707"/>
      <c r="CO497" s="707"/>
      <c r="CP497" s="707"/>
      <c r="CQ497" s="707"/>
      <c r="CR497" s="707"/>
      <c r="CS497" s="707"/>
      <c r="CT497" s="707"/>
      <c r="CU497" s="707"/>
      <c r="CV497" s="707"/>
      <c r="CW497" s="707"/>
      <c r="CX497" s="707"/>
      <c r="CY497" s="707"/>
      <c r="CZ497" s="707"/>
      <c r="DA497" s="707"/>
      <c r="DB497" s="707"/>
      <c r="DC497" s="707"/>
      <c r="DD497" s="707"/>
      <c r="DE497" s="707"/>
      <c r="DF497" s="707"/>
      <c r="DG497" s="707"/>
      <c r="DH497" s="707"/>
      <c r="DI497" s="707"/>
      <c r="DJ497" s="707"/>
      <c r="DK497" s="707"/>
      <c r="DL497" s="707"/>
      <c r="DM497" s="707"/>
      <c r="DN497" s="707"/>
      <c r="DO497" s="707"/>
      <c r="DP497" s="707"/>
      <c r="DQ497" s="707"/>
      <c r="DR497" s="707"/>
      <c r="DS497" s="707"/>
      <c r="DT497" s="707"/>
      <c r="DU497" s="707"/>
      <c r="DV497" s="707"/>
      <c r="DW497" s="707"/>
      <c r="DX497" s="707"/>
      <c r="DY497" s="707"/>
      <c r="DZ497" s="707"/>
      <c r="EA497" s="707"/>
      <c r="EB497" s="707"/>
      <c r="EC497" s="707"/>
      <c r="ED497" s="707"/>
      <c r="EE497" s="707"/>
      <c r="EF497" s="707"/>
      <c r="EG497" s="707"/>
      <c r="EH497" s="707"/>
      <c r="EI497" s="707"/>
      <c r="EJ497" s="707"/>
      <c r="EK497" s="707"/>
      <c r="EL497" s="707"/>
      <c r="EM497" s="707"/>
      <c r="EN497" s="707"/>
      <c r="EO497" s="707"/>
      <c r="EP497" s="707"/>
      <c r="EQ497" s="707"/>
      <c r="ER497" s="707"/>
      <c r="ES497" s="707"/>
      <c r="ET497" s="707"/>
      <c r="EU497" s="707"/>
      <c r="EV497" s="707"/>
      <c r="EW497" s="707"/>
      <c r="EX497" s="707"/>
      <c r="EY497" s="707"/>
      <c r="EZ497" s="707"/>
      <c r="FA497" s="707"/>
      <c r="FB497" s="707"/>
      <c r="FC497" s="707"/>
      <c r="FD497" s="707"/>
      <c r="FE497" s="707"/>
      <c r="FF497" s="707"/>
      <c r="FG497" s="707"/>
      <c r="FH497" s="707"/>
      <c r="FI497" s="707"/>
      <c r="FJ497" s="707"/>
      <c r="FK497" s="707"/>
      <c r="FL497" s="707"/>
      <c r="FM497" s="707"/>
      <c r="FN497" s="707"/>
      <c r="FO497" s="707"/>
      <c r="FP497" s="707"/>
      <c r="FQ497" s="707"/>
      <c r="FR497" s="707"/>
      <c r="FS497" s="707"/>
      <c r="FT497" s="707"/>
      <c r="FU497" s="707"/>
      <c r="FV497" s="707"/>
      <c r="FW497" s="707"/>
      <c r="FX497" s="707"/>
      <c r="FY497" s="707"/>
      <c r="FZ497" s="707"/>
      <c r="GA497" s="707"/>
      <c r="GB497" s="707"/>
      <c r="GC497" s="707"/>
      <c r="GD497" s="707"/>
      <c r="GE497" s="707"/>
      <c r="GF497" s="707"/>
      <c r="GG497" s="707"/>
      <c r="GH497" s="707"/>
      <c r="GI497" s="707"/>
      <c r="GJ497" s="707"/>
      <c r="GK497" s="707"/>
      <c r="GL497" s="707"/>
      <c r="GM497" s="707"/>
      <c r="GN497" s="707"/>
      <c r="GO497" s="707"/>
      <c r="GP497" s="707"/>
      <c r="GQ497" s="707"/>
      <c r="GR497" s="707"/>
      <c r="GS497" s="707"/>
      <c r="GT497" s="707"/>
      <c r="GU497" s="707"/>
      <c r="GV497" s="707"/>
      <c r="GW497" s="707"/>
      <c r="GX497" s="707"/>
      <c r="GY497" s="707"/>
      <c r="GZ497" s="707"/>
      <c r="HA497" s="707"/>
      <c r="HB497" s="707"/>
      <c r="HC497" s="707"/>
      <c r="HD497" s="707"/>
      <c r="HE497" s="707"/>
      <c r="HF497" s="707"/>
      <c r="HG497" s="707"/>
      <c r="HH497" s="707"/>
      <c r="HI497" s="707"/>
      <c r="HJ497" s="707"/>
      <c r="HK497" s="707"/>
      <c r="HL497" s="707"/>
      <c r="HM497" s="707"/>
      <c r="HN497" s="707"/>
      <c r="HO497" s="707"/>
      <c r="HP497" s="707"/>
      <c r="HQ497" s="707"/>
      <c r="HR497" s="707"/>
      <c r="HS497" s="707"/>
      <c r="HT497" s="707"/>
      <c r="HU497" s="707"/>
      <c r="HV497" s="707"/>
      <c r="HW497" s="707"/>
      <c r="HX497" s="707"/>
      <c r="HY497" s="707"/>
      <c r="HZ497" s="707"/>
      <c r="IA497" s="707"/>
      <c r="IB497" s="707"/>
      <c r="IC497" s="707"/>
      <c r="ID497" s="707"/>
      <c r="IE497" s="707"/>
      <c r="IF497" s="707"/>
      <c r="IG497" s="707"/>
      <c r="IH497" s="707"/>
      <c r="II497" s="707"/>
      <c r="IJ497" s="707"/>
      <c r="IK497" s="707"/>
      <c r="IL497" s="707"/>
      <c r="IM497" s="707"/>
      <c r="IN497" s="707"/>
      <c r="IO497" s="707"/>
      <c r="IP497" s="707"/>
      <c r="IQ497" s="707"/>
      <c r="IR497" s="707"/>
      <c r="IS497" s="707"/>
      <c r="IT497" s="707"/>
      <c r="IU497" s="707"/>
      <c r="IV497" s="707"/>
      <c r="IW497" s="707"/>
    </row>
    <row r="498" customFormat="false" ht="13.9" hidden="false" customHeight="true" outlineLevel="0" collapsed="false">
      <c r="A498" s="366"/>
      <c r="B498" s="719"/>
      <c r="C498" s="719"/>
      <c r="D498" s="719"/>
      <c r="E498" s="713"/>
      <c r="F498" s="713"/>
      <c r="G498" s="713"/>
      <c r="H498" s="713"/>
      <c r="I498" s="713"/>
      <c r="J498" s="713"/>
      <c r="K498" s="713"/>
      <c r="L498" s="713"/>
      <c r="M498" s="713"/>
      <c r="N498" s="713"/>
      <c r="O498" s="713"/>
      <c r="P498" s="713"/>
      <c r="Q498" s="713"/>
      <c r="R498" s="713"/>
      <c r="S498" s="713"/>
      <c r="T498" s="713"/>
      <c r="U498" s="713"/>
      <c r="V498" s="713"/>
      <c r="W498" s="713"/>
      <c r="X498" s="713"/>
      <c r="Y498" s="713"/>
      <c r="Z498" s="713"/>
      <c r="AA498" s="707"/>
      <c r="AB498" s="707"/>
      <c r="AC498" s="707"/>
      <c r="AD498" s="707"/>
      <c r="AE498" s="707"/>
      <c r="AF498" s="707"/>
      <c r="AG498" s="707"/>
      <c r="AH498" s="707"/>
      <c r="AI498" s="707"/>
      <c r="AJ498" s="707"/>
      <c r="AK498" s="707"/>
      <c r="AL498" s="707"/>
      <c r="AM498" s="707"/>
      <c r="AN498" s="707"/>
      <c r="AO498" s="707"/>
      <c r="AP498" s="707"/>
      <c r="AQ498" s="707"/>
      <c r="AR498" s="707"/>
      <c r="AS498" s="707"/>
      <c r="AT498" s="707"/>
      <c r="AU498" s="707"/>
      <c r="AV498" s="707"/>
      <c r="AW498" s="707"/>
      <c r="AX498" s="707"/>
      <c r="AY498" s="707"/>
      <c r="AZ498" s="707"/>
      <c r="BA498" s="707"/>
      <c r="BB498" s="707"/>
      <c r="BC498" s="707"/>
      <c r="BD498" s="707"/>
      <c r="BE498" s="707"/>
      <c r="BF498" s="707"/>
      <c r="BG498" s="707"/>
      <c r="BH498" s="707"/>
      <c r="BI498" s="707"/>
      <c r="BJ498" s="707"/>
      <c r="BK498" s="707"/>
      <c r="BL498" s="707"/>
      <c r="BM498" s="707"/>
      <c r="BN498" s="707"/>
      <c r="BO498" s="707"/>
      <c r="BP498" s="707"/>
      <c r="BQ498" s="707"/>
      <c r="BR498" s="707"/>
      <c r="BS498" s="707"/>
      <c r="BT498" s="707"/>
      <c r="BU498" s="707"/>
      <c r="BV498" s="707"/>
      <c r="BW498" s="707"/>
      <c r="BX498" s="707"/>
      <c r="BY498" s="707"/>
      <c r="BZ498" s="707"/>
      <c r="CA498" s="707"/>
      <c r="CB498" s="707"/>
      <c r="CC498" s="707"/>
      <c r="CD498" s="707"/>
      <c r="CE498" s="707"/>
      <c r="CF498" s="707"/>
      <c r="CG498" s="707"/>
      <c r="CH498" s="707"/>
      <c r="CI498" s="707"/>
      <c r="CJ498" s="707"/>
      <c r="CK498" s="707"/>
      <c r="CL498" s="707"/>
      <c r="CM498" s="707"/>
      <c r="CN498" s="707"/>
      <c r="CO498" s="707"/>
      <c r="CP498" s="707"/>
      <c r="CQ498" s="707"/>
      <c r="CR498" s="707"/>
      <c r="CS498" s="707"/>
      <c r="CT498" s="707"/>
      <c r="CU498" s="707"/>
      <c r="CV498" s="707"/>
      <c r="CW498" s="707"/>
      <c r="CX498" s="707"/>
      <c r="CY498" s="707"/>
      <c r="CZ498" s="707"/>
      <c r="DA498" s="707"/>
      <c r="DB498" s="707"/>
      <c r="DC498" s="707"/>
      <c r="DD498" s="707"/>
      <c r="DE498" s="707"/>
      <c r="DF498" s="707"/>
      <c r="DG498" s="707"/>
      <c r="DH498" s="707"/>
      <c r="DI498" s="707"/>
      <c r="DJ498" s="707"/>
      <c r="DK498" s="707"/>
      <c r="DL498" s="707"/>
      <c r="DM498" s="707"/>
      <c r="DN498" s="707"/>
      <c r="DO498" s="707"/>
      <c r="DP498" s="707"/>
      <c r="DQ498" s="707"/>
      <c r="DR498" s="707"/>
      <c r="DS498" s="707"/>
      <c r="DT498" s="707"/>
      <c r="DU498" s="707"/>
      <c r="DV498" s="707"/>
      <c r="DW498" s="707"/>
      <c r="DX498" s="707"/>
      <c r="DY498" s="707"/>
      <c r="DZ498" s="707"/>
      <c r="EA498" s="707"/>
      <c r="EB498" s="707"/>
      <c r="EC498" s="707"/>
      <c r="ED498" s="707"/>
      <c r="EE498" s="707"/>
      <c r="EF498" s="707"/>
      <c r="EG498" s="707"/>
      <c r="EH498" s="707"/>
      <c r="EI498" s="707"/>
      <c r="EJ498" s="707"/>
      <c r="EK498" s="707"/>
      <c r="EL498" s="707"/>
      <c r="EM498" s="707"/>
      <c r="EN498" s="707"/>
      <c r="EO498" s="707"/>
      <c r="EP498" s="707"/>
      <c r="EQ498" s="707"/>
      <c r="ER498" s="707"/>
      <c r="ES498" s="707"/>
      <c r="ET498" s="707"/>
      <c r="EU498" s="707"/>
      <c r="EV498" s="707"/>
      <c r="EW498" s="707"/>
      <c r="EX498" s="707"/>
      <c r="EY498" s="707"/>
      <c r="EZ498" s="707"/>
      <c r="FA498" s="707"/>
      <c r="FB498" s="707"/>
      <c r="FC498" s="707"/>
      <c r="FD498" s="707"/>
      <c r="FE498" s="707"/>
      <c r="FF498" s="707"/>
      <c r="FG498" s="707"/>
      <c r="FH498" s="707"/>
      <c r="FI498" s="707"/>
      <c r="FJ498" s="707"/>
      <c r="FK498" s="707"/>
      <c r="FL498" s="707"/>
      <c r="FM498" s="707"/>
      <c r="FN498" s="707"/>
      <c r="FO498" s="707"/>
      <c r="FP498" s="707"/>
      <c r="FQ498" s="707"/>
      <c r="FR498" s="707"/>
      <c r="FS498" s="707"/>
      <c r="FT498" s="707"/>
      <c r="FU498" s="707"/>
      <c r="FV498" s="707"/>
      <c r="FW498" s="707"/>
      <c r="FX498" s="707"/>
      <c r="FY498" s="707"/>
      <c r="FZ498" s="707"/>
      <c r="GA498" s="707"/>
      <c r="GB498" s="707"/>
      <c r="GC498" s="707"/>
      <c r="GD498" s="707"/>
      <c r="GE498" s="707"/>
      <c r="GF498" s="707"/>
      <c r="GG498" s="707"/>
      <c r="GH498" s="707"/>
      <c r="GI498" s="707"/>
      <c r="GJ498" s="707"/>
      <c r="GK498" s="707"/>
      <c r="GL498" s="707"/>
      <c r="GM498" s="707"/>
      <c r="GN498" s="707"/>
      <c r="GO498" s="707"/>
      <c r="GP498" s="707"/>
      <c r="GQ498" s="707"/>
      <c r="GR498" s="707"/>
      <c r="GS498" s="707"/>
      <c r="GT498" s="707"/>
      <c r="GU498" s="707"/>
      <c r="GV498" s="707"/>
      <c r="GW498" s="707"/>
      <c r="GX498" s="707"/>
      <c r="GY498" s="707"/>
      <c r="GZ498" s="707"/>
      <c r="HA498" s="707"/>
      <c r="HB498" s="707"/>
      <c r="HC498" s="707"/>
      <c r="HD498" s="707"/>
      <c r="HE498" s="707"/>
      <c r="HF498" s="707"/>
      <c r="HG498" s="707"/>
      <c r="HH498" s="707"/>
      <c r="HI498" s="707"/>
      <c r="HJ498" s="707"/>
      <c r="HK498" s="707"/>
      <c r="HL498" s="707"/>
      <c r="HM498" s="707"/>
      <c r="HN498" s="707"/>
      <c r="HO498" s="707"/>
      <c r="HP498" s="707"/>
      <c r="HQ498" s="707"/>
      <c r="HR498" s="707"/>
      <c r="HS498" s="707"/>
      <c r="HT498" s="707"/>
      <c r="HU498" s="707"/>
      <c r="HV498" s="707"/>
      <c r="HW498" s="707"/>
      <c r="HX498" s="707"/>
      <c r="HY498" s="707"/>
      <c r="HZ498" s="707"/>
      <c r="IA498" s="707"/>
      <c r="IB498" s="707"/>
      <c r="IC498" s="707"/>
      <c r="ID498" s="707"/>
      <c r="IE498" s="707"/>
      <c r="IF498" s="707"/>
      <c r="IG498" s="707"/>
      <c r="IH498" s="707"/>
      <c r="II498" s="707"/>
      <c r="IJ498" s="707"/>
      <c r="IK498" s="707"/>
      <c r="IL498" s="707"/>
      <c r="IM498" s="707"/>
      <c r="IN498" s="707"/>
      <c r="IO498" s="707"/>
      <c r="IP498" s="707"/>
      <c r="IQ498" s="707"/>
      <c r="IR498" s="707"/>
      <c r="IS498" s="707"/>
      <c r="IT498" s="707"/>
      <c r="IU498" s="707"/>
      <c r="IV498" s="707"/>
      <c r="IW498" s="707"/>
    </row>
    <row r="499" customFormat="false" ht="12.75" hidden="false" customHeight="false" outlineLevel="0" collapsed="false">
      <c r="A499" s="720"/>
      <c r="B499" s="721"/>
      <c r="C499" s="721"/>
      <c r="D499" s="721"/>
      <c r="E499" s="713"/>
      <c r="F499" s="713"/>
      <c r="G499" s="713"/>
      <c r="H499" s="713"/>
      <c r="I499" s="713"/>
      <c r="J499" s="713"/>
      <c r="K499" s="713"/>
      <c r="L499" s="713"/>
      <c r="M499" s="713"/>
      <c r="N499" s="713"/>
      <c r="O499" s="713"/>
      <c r="P499" s="713"/>
      <c r="Q499" s="713"/>
      <c r="R499" s="713"/>
      <c r="S499" s="713"/>
      <c r="T499" s="713"/>
      <c r="U499" s="713"/>
      <c r="V499" s="713"/>
      <c r="W499" s="713"/>
      <c r="X499" s="713"/>
      <c r="Y499" s="713"/>
      <c r="Z499" s="713"/>
      <c r="AA499" s="722"/>
      <c r="AB499" s="722"/>
      <c r="AC499" s="722"/>
      <c r="AD499" s="722"/>
      <c r="AE499" s="722"/>
      <c r="AF499" s="722"/>
      <c r="AG499" s="722"/>
      <c r="AH499" s="722"/>
      <c r="AI499" s="722"/>
      <c r="AJ499" s="722"/>
      <c r="AK499" s="722"/>
      <c r="AL499" s="722"/>
      <c r="AM499" s="722"/>
      <c r="AN499" s="722"/>
      <c r="AO499" s="722"/>
      <c r="AP499" s="722"/>
      <c r="AQ499" s="722"/>
      <c r="AR499" s="722"/>
      <c r="AS499" s="722"/>
      <c r="AT499" s="722"/>
      <c r="AU499" s="722"/>
      <c r="AV499" s="722"/>
      <c r="AW499" s="722"/>
      <c r="AX499" s="722"/>
      <c r="AY499" s="722"/>
      <c r="AZ499" s="722"/>
      <c r="BA499" s="722"/>
      <c r="BB499" s="722"/>
      <c r="BC499" s="722"/>
      <c r="BD499" s="722"/>
      <c r="BE499" s="722"/>
      <c r="BF499" s="722"/>
      <c r="BG499" s="722"/>
      <c r="BH499" s="722"/>
      <c r="BI499" s="722"/>
      <c r="BJ499" s="722"/>
      <c r="BK499" s="722"/>
      <c r="BL499" s="722"/>
      <c r="BM499" s="722"/>
      <c r="BN499" s="722"/>
      <c r="BO499" s="722"/>
      <c r="BP499" s="722"/>
      <c r="BQ499" s="722"/>
      <c r="BR499" s="722"/>
      <c r="BS499" s="722"/>
      <c r="BT499" s="722"/>
      <c r="BU499" s="722"/>
      <c r="BV499" s="722"/>
      <c r="BW499" s="722"/>
      <c r="BX499" s="722"/>
      <c r="BY499" s="722"/>
      <c r="BZ499" s="722"/>
      <c r="CA499" s="722"/>
      <c r="CB499" s="722"/>
      <c r="CC499" s="722"/>
      <c r="CD499" s="722"/>
      <c r="CE499" s="722"/>
      <c r="CF499" s="722"/>
      <c r="CG499" s="722"/>
      <c r="CH499" s="722"/>
      <c r="CI499" s="722"/>
      <c r="CJ499" s="722"/>
      <c r="CK499" s="722"/>
      <c r="CL499" s="722"/>
      <c r="CM499" s="722"/>
      <c r="CN499" s="722"/>
      <c r="CO499" s="722"/>
      <c r="CP499" s="722"/>
      <c r="CQ499" s="722"/>
      <c r="CR499" s="722"/>
      <c r="CS499" s="722"/>
      <c r="CT499" s="722"/>
      <c r="CU499" s="722"/>
      <c r="CV499" s="722"/>
      <c r="CW499" s="722"/>
      <c r="CX499" s="722"/>
      <c r="CY499" s="722"/>
      <c r="CZ499" s="722"/>
      <c r="DA499" s="722"/>
      <c r="DB499" s="722"/>
      <c r="DC499" s="722"/>
      <c r="DD499" s="722"/>
      <c r="DE499" s="722"/>
      <c r="DF499" s="722"/>
      <c r="DG499" s="722"/>
      <c r="DH499" s="722"/>
      <c r="DI499" s="722"/>
      <c r="DJ499" s="722"/>
      <c r="DK499" s="722"/>
      <c r="DL499" s="722"/>
      <c r="DM499" s="722"/>
      <c r="DN499" s="722"/>
      <c r="DO499" s="722"/>
      <c r="DP499" s="722"/>
      <c r="DQ499" s="722"/>
      <c r="DR499" s="722"/>
      <c r="DS499" s="722"/>
      <c r="DT499" s="722"/>
      <c r="DU499" s="722"/>
      <c r="DV499" s="722"/>
      <c r="DW499" s="722"/>
      <c r="DX499" s="722"/>
      <c r="DY499" s="722"/>
      <c r="DZ499" s="722"/>
      <c r="EA499" s="722"/>
      <c r="EB499" s="722"/>
      <c r="EC499" s="722"/>
      <c r="ED499" s="722"/>
      <c r="EE499" s="722"/>
      <c r="EF499" s="722"/>
      <c r="EG499" s="722"/>
      <c r="EH499" s="722"/>
      <c r="EI499" s="722"/>
      <c r="EJ499" s="722"/>
      <c r="EK499" s="722"/>
      <c r="EL499" s="722"/>
      <c r="EM499" s="722"/>
      <c r="EN499" s="722"/>
      <c r="EO499" s="722"/>
      <c r="EP499" s="722"/>
      <c r="EQ499" s="722"/>
      <c r="ER499" s="722"/>
      <c r="ES499" s="722"/>
      <c r="ET499" s="722"/>
      <c r="EU499" s="722"/>
      <c r="EV499" s="722"/>
      <c r="EW499" s="722"/>
      <c r="EX499" s="722"/>
      <c r="EY499" s="722"/>
      <c r="EZ499" s="722"/>
      <c r="FA499" s="722"/>
      <c r="FB499" s="722"/>
      <c r="FC499" s="722"/>
      <c r="FD499" s="722"/>
      <c r="FE499" s="722"/>
      <c r="FF499" s="722"/>
      <c r="FG499" s="722"/>
      <c r="FH499" s="722"/>
      <c r="FI499" s="722"/>
      <c r="FJ499" s="722"/>
      <c r="FK499" s="722"/>
      <c r="FL499" s="722"/>
      <c r="FM499" s="722"/>
      <c r="FN499" s="722"/>
      <c r="FO499" s="722"/>
      <c r="FP499" s="722"/>
      <c r="FQ499" s="722"/>
      <c r="FR499" s="722"/>
      <c r="FS499" s="722"/>
      <c r="FT499" s="722"/>
      <c r="FU499" s="722"/>
      <c r="FV499" s="722"/>
      <c r="FW499" s="722"/>
      <c r="FX499" s="722"/>
      <c r="FY499" s="722"/>
      <c r="FZ499" s="722"/>
      <c r="GA499" s="722"/>
      <c r="GB499" s="722"/>
      <c r="GC499" s="722"/>
      <c r="GD499" s="722"/>
      <c r="GE499" s="722"/>
      <c r="GF499" s="722"/>
      <c r="GG499" s="722"/>
      <c r="GH499" s="722"/>
      <c r="GI499" s="722"/>
      <c r="GJ499" s="722"/>
      <c r="GK499" s="722"/>
      <c r="GL499" s="722"/>
      <c r="GM499" s="722"/>
      <c r="GN499" s="722"/>
      <c r="GO499" s="722"/>
      <c r="GP499" s="722"/>
      <c r="GQ499" s="722"/>
      <c r="GR499" s="722"/>
      <c r="GS499" s="722"/>
      <c r="GT499" s="722"/>
      <c r="GU499" s="722"/>
      <c r="GV499" s="722"/>
      <c r="GW499" s="722"/>
      <c r="GX499" s="722"/>
      <c r="GY499" s="722"/>
      <c r="GZ499" s="722"/>
      <c r="HA499" s="722"/>
      <c r="HB499" s="722"/>
      <c r="HC499" s="722"/>
      <c r="HD499" s="722"/>
      <c r="HE499" s="722"/>
      <c r="HF499" s="722"/>
      <c r="HG499" s="722"/>
      <c r="HH499" s="722"/>
      <c r="HI499" s="722"/>
      <c r="HJ499" s="722"/>
      <c r="HK499" s="722"/>
      <c r="HL499" s="722"/>
      <c r="HM499" s="722"/>
      <c r="HN499" s="722"/>
      <c r="HO499" s="722"/>
      <c r="HP499" s="722"/>
      <c r="HQ499" s="722"/>
      <c r="HR499" s="722"/>
      <c r="HS499" s="722"/>
      <c r="HT499" s="722"/>
      <c r="HU499" s="722"/>
      <c r="HV499" s="722"/>
      <c r="HW499" s="722"/>
      <c r="HX499" s="722"/>
      <c r="HY499" s="722"/>
      <c r="HZ499" s="722"/>
      <c r="IA499" s="722"/>
      <c r="IB499" s="722"/>
      <c r="IC499" s="722"/>
      <c r="ID499" s="722"/>
      <c r="IE499" s="722"/>
      <c r="IF499" s="722"/>
      <c r="IG499" s="722"/>
      <c r="IH499" s="722"/>
      <c r="II499" s="722"/>
      <c r="IJ499" s="722"/>
      <c r="IK499" s="722"/>
      <c r="IL499" s="722"/>
      <c r="IM499" s="722"/>
      <c r="IN499" s="722"/>
      <c r="IO499" s="722"/>
      <c r="IP499" s="722"/>
      <c r="IQ499" s="722"/>
      <c r="IR499" s="722"/>
      <c r="IS499" s="722"/>
      <c r="IT499" s="722"/>
      <c r="IU499" s="722"/>
      <c r="IV499" s="722"/>
      <c r="IW499" s="722"/>
    </row>
    <row r="500" customFormat="false" ht="12.75" hidden="false" customHeight="false" outlineLevel="0" collapsed="false">
      <c r="A500" s="366"/>
      <c r="B500" s="714"/>
      <c r="C500" s="714"/>
      <c r="D500" s="714"/>
      <c r="E500" s="713"/>
      <c r="F500" s="713"/>
      <c r="G500" s="713"/>
      <c r="H500" s="713"/>
      <c r="I500" s="713"/>
      <c r="J500" s="713"/>
      <c r="K500" s="713"/>
      <c r="L500" s="713"/>
      <c r="M500" s="713"/>
      <c r="N500" s="713"/>
      <c r="O500" s="713"/>
      <c r="P500" s="713"/>
      <c r="Q500" s="713"/>
      <c r="R500" s="713"/>
      <c r="S500" s="713"/>
      <c r="T500" s="713"/>
      <c r="U500" s="713"/>
      <c r="V500" s="713"/>
      <c r="W500" s="713"/>
      <c r="X500" s="713"/>
      <c r="Y500" s="713"/>
      <c r="Z500" s="713"/>
      <c r="AA500" s="707"/>
      <c r="AB500" s="707"/>
      <c r="AC500" s="707"/>
      <c r="AD500" s="707"/>
      <c r="AE500" s="707"/>
      <c r="AF500" s="707"/>
      <c r="AG500" s="707"/>
      <c r="AH500" s="707"/>
      <c r="AI500" s="707"/>
      <c r="AJ500" s="707"/>
      <c r="AK500" s="707"/>
      <c r="AL500" s="707"/>
      <c r="AM500" s="707"/>
      <c r="AN500" s="707"/>
      <c r="AO500" s="707"/>
      <c r="AP500" s="707"/>
      <c r="AQ500" s="707"/>
      <c r="AR500" s="707"/>
      <c r="AS500" s="707"/>
      <c r="AT500" s="707"/>
      <c r="AU500" s="707"/>
      <c r="AV500" s="707"/>
      <c r="AW500" s="707"/>
      <c r="AX500" s="707"/>
      <c r="AY500" s="707"/>
      <c r="AZ500" s="707"/>
      <c r="BA500" s="707"/>
      <c r="BB500" s="707"/>
      <c r="BC500" s="707"/>
      <c r="BD500" s="707"/>
      <c r="BE500" s="707"/>
      <c r="BF500" s="707"/>
      <c r="BG500" s="707"/>
      <c r="BH500" s="707"/>
      <c r="BI500" s="707"/>
      <c r="BJ500" s="707"/>
      <c r="BK500" s="707"/>
      <c r="BL500" s="707"/>
      <c r="BM500" s="707"/>
      <c r="BN500" s="707"/>
      <c r="BO500" s="707"/>
      <c r="BP500" s="707"/>
      <c r="BQ500" s="707"/>
      <c r="BR500" s="707"/>
      <c r="BS500" s="707"/>
      <c r="BT500" s="707"/>
      <c r="BU500" s="707"/>
      <c r="BV500" s="707"/>
      <c r="BW500" s="707"/>
      <c r="BX500" s="707"/>
      <c r="BY500" s="707"/>
      <c r="BZ500" s="707"/>
      <c r="CA500" s="707"/>
      <c r="CB500" s="707"/>
      <c r="CC500" s="707"/>
      <c r="CD500" s="707"/>
      <c r="CE500" s="707"/>
      <c r="CF500" s="707"/>
      <c r="CG500" s="707"/>
      <c r="CH500" s="707"/>
      <c r="CI500" s="707"/>
      <c r="CJ500" s="707"/>
      <c r="CK500" s="707"/>
      <c r="CL500" s="707"/>
      <c r="CM500" s="707"/>
      <c r="CN500" s="707"/>
      <c r="CO500" s="707"/>
      <c r="CP500" s="707"/>
      <c r="CQ500" s="707"/>
      <c r="CR500" s="707"/>
      <c r="CS500" s="707"/>
      <c r="CT500" s="707"/>
      <c r="CU500" s="707"/>
      <c r="CV500" s="707"/>
      <c r="CW500" s="707"/>
      <c r="CX500" s="707"/>
      <c r="CY500" s="707"/>
      <c r="CZ500" s="707"/>
      <c r="DA500" s="707"/>
      <c r="DB500" s="707"/>
      <c r="DC500" s="707"/>
      <c r="DD500" s="707"/>
      <c r="DE500" s="707"/>
      <c r="DF500" s="707"/>
      <c r="DG500" s="707"/>
      <c r="DH500" s="707"/>
      <c r="DI500" s="707"/>
      <c r="DJ500" s="707"/>
      <c r="DK500" s="707"/>
      <c r="DL500" s="707"/>
      <c r="DM500" s="707"/>
      <c r="DN500" s="707"/>
      <c r="DO500" s="707"/>
      <c r="DP500" s="707"/>
      <c r="DQ500" s="707"/>
      <c r="DR500" s="707"/>
      <c r="DS500" s="707"/>
      <c r="DT500" s="707"/>
      <c r="DU500" s="707"/>
      <c r="DV500" s="707"/>
      <c r="DW500" s="707"/>
      <c r="DX500" s="707"/>
      <c r="DY500" s="707"/>
      <c r="DZ500" s="707"/>
      <c r="EA500" s="707"/>
      <c r="EB500" s="707"/>
      <c r="EC500" s="707"/>
      <c r="ED500" s="707"/>
      <c r="EE500" s="707"/>
      <c r="EF500" s="707"/>
      <c r="EG500" s="707"/>
      <c r="EH500" s="707"/>
      <c r="EI500" s="707"/>
      <c r="EJ500" s="707"/>
      <c r="EK500" s="707"/>
      <c r="EL500" s="707"/>
      <c r="EM500" s="707"/>
      <c r="EN500" s="707"/>
      <c r="EO500" s="707"/>
      <c r="EP500" s="707"/>
      <c r="EQ500" s="707"/>
      <c r="ER500" s="707"/>
      <c r="ES500" s="707"/>
      <c r="ET500" s="707"/>
      <c r="EU500" s="707"/>
      <c r="EV500" s="707"/>
      <c r="EW500" s="707"/>
      <c r="EX500" s="707"/>
      <c r="EY500" s="707"/>
      <c r="EZ500" s="707"/>
      <c r="FA500" s="707"/>
      <c r="FB500" s="707"/>
      <c r="FC500" s="707"/>
      <c r="FD500" s="707"/>
      <c r="FE500" s="707"/>
      <c r="FF500" s="707"/>
      <c r="FG500" s="707"/>
      <c r="FH500" s="707"/>
      <c r="FI500" s="707"/>
      <c r="FJ500" s="707"/>
      <c r="FK500" s="707"/>
      <c r="FL500" s="707"/>
      <c r="FM500" s="707"/>
      <c r="FN500" s="707"/>
      <c r="FO500" s="707"/>
      <c r="FP500" s="707"/>
      <c r="FQ500" s="707"/>
      <c r="FR500" s="707"/>
      <c r="FS500" s="707"/>
      <c r="FT500" s="707"/>
      <c r="FU500" s="707"/>
      <c r="FV500" s="707"/>
      <c r="FW500" s="707"/>
      <c r="FX500" s="707"/>
      <c r="FY500" s="707"/>
      <c r="FZ500" s="707"/>
      <c r="GA500" s="707"/>
      <c r="GB500" s="707"/>
      <c r="GC500" s="707"/>
      <c r="GD500" s="707"/>
      <c r="GE500" s="707"/>
      <c r="GF500" s="707"/>
      <c r="GG500" s="707"/>
      <c r="GH500" s="707"/>
      <c r="GI500" s="707"/>
      <c r="GJ500" s="707"/>
      <c r="GK500" s="707"/>
      <c r="GL500" s="707"/>
      <c r="GM500" s="707"/>
      <c r="GN500" s="707"/>
      <c r="GO500" s="707"/>
      <c r="GP500" s="707"/>
      <c r="GQ500" s="707"/>
      <c r="GR500" s="707"/>
      <c r="GS500" s="707"/>
      <c r="GT500" s="707"/>
      <c r="GU500" s="707"/>
      <c r="GV500" s="707"/>
      <c r="GW500" s="707"/>
      <c r="GX500" s="707"/>
      <c r="GY500" s="707"/>
      <c r="GZ500" s="707"/>
      <c r="HA500" s="707"/>
      <c r="HB500" s="707"/>
      <c r="HC500" s="707"/>
      <c r="HD500" s="707"/>
      <c r="HE500" s="707"/>
      <c r="HF500" s="707"/>
      <c r="HG500" s="707"/>
      <c r="HH500" s="707"/>
      <c r="HI500" s="707"/>
      <c r="HJ500" s="707"/>
      <c r="HK500" s="707"/>
      <c r="HL500" s="707"/>
      <c r="HM500" s="707"/>
      <c r="HN500" s="707"/>
      <c r="HO500" s="707"/>
      <c r="HP500" s="707"/>
      <c r="HQ500" s="707"/>
      <c r="HR500" s="707"/>
      <c r="HS500" s="707"/>
      <c r="HT500" s="707"/>
      <c r="HU500" s="707"/>
      <c r="HV500" s="707"/>
      <c r="HW500" s="707"/>
      <c r="HX500" s="707"/>
      <c r="HY500" s="707"/>
      <c r="HZ500" s="707"/>
      <c r="IA500" s="707"/>
      <c r="IB500" s="707"/>
      <c r="IC500" s="707"/>
      <c r="ID500" s="707"/>
      <c r="IE500" s="707"/>
      <c r="IF500" s="707"/>
      <c r="IG500" s="707"/>
      <c r="IH500" s="707"/>
      <c r="II500" s="707"/>
      <c r="IJ500" s="707"/>
      <c r="IK500" s="707"/>
      <c r="IL500" s="707"/>
      <c r="IM500" s="707"/>
      <c r="IN500" s="707"/>
      <c r="IO500" s="707"/>
      <c r="IP500" s="707"/>
      <c r="IQ500" s="707"/>
      <c r="IR500" s="707"/>
      <c r="IS500" s="707"/>
      <c r="IT500" s="707"/>
      <c r="IU500" s="707"/>
      <c r="IV500" s="707"/>
      <c r="IW500" s="707"/>
    </row>
    <row r="501" customFormat="false" ht="12.75" hidden="false" customHeight="false" outlineLevel="0" collapsed="false">
      <c r="A501" s="367"/>
      <c r="B501" s="714"/>
      <c r="C501" s="714"/>
      <c r="D501" s="714"/>
      <c r="E501" s="713"/>
      <c r="F501" s="713"/>
      <c r="G501" s="713"/>
      <c r="H501" s="713"/>
      <c r="I501" s="713"/>
      <c r="J501" s="713"/>
      <c r="K501" s="713"/>
      <c r="L501" s="713"/>
      <c r="M501" s="713"/>
      <c r="N501" s="713"/>
      <c r="O501" s="713"/>
      <c r="P501" s="713"/>
      <c r="Q501" s="713"/>
      <c r="R501" s="713"/>
      <c r="S501" s="713"/>
      <c r="T501" s="713"/>
      <c r="U501" s="713"/>
      <c r="V501" s="713"/>
      <c r="W501" s="713"/>
      <c r="X501" s="713"/>
      <c r="Y501" s="713"/>
      <c r="Z501" s="713"/>
      <c r="AA501" s="707"/>
      <c r="AB501" s="707"/>
      <c r="AC501" s="707"/>
      <c r="AD501" s="707"/>
      <c r="AE501" s="707"/>
      <c r="AF501" s="707"/>
      <c r="AG501" s="707"/>
      <c r="AH501" s="707"/>
      <c r="AI501" s="707"/>
      <c r="AJ501" s="707"/>
      <c r="AK501" s="707"/>
      <c r="AL501" s="707"/>
      <c r="AM501" s="707"/>
      <c r="AN501" s="707"/>
      <c r="AO501" s="707"/>
      <c r="AP501" s="707"/>
      <c r="AQ501" s="707"/>
      <c r="AR501" s="707"/>
      <c r="AS501" s="707"/>
      <c r="AT501" s="707"/>
      <c r="AU501" s="707"/>
      <c r="AV501" s="707"/>
      <c r="AW501" s="707"/>
      <c r="AX501" s="707"/>
      <c r="AY501" s="707"/>
      <c r="AZ501" s="707"/>
      <c r="BA501" s="707"/>
      <c r="BB501" s="707"/>
      <c r="BC501" s="707"/>
      <c r="BD501" s="707"/>
      <c r="BE501" s="707"/>
      <c r="BF501" s="707"/>
      <c r="BG501" s="707"/>
      <c r="BH501" s="707"/>
      <c r="BI501" s="707"/>
      <c r="BJ501" s="707"/>
      <c r="BK501" s="707"/>
      <c r="BL501" s="707"/>
      <c r="BM501" s="707"/>
      <c r="BN501" s="707"/>
      <c r="BO501" s="707"/>
      <c r="BP501" s="707"/>
      <c r="BQ501" s="707"/>
      <c r="BR501" s="707"/>
      <c r="BS501" s="707"/>
      <c r="BT501" s="707"/>
      <c r="BU501" s="707"/>
      <c r="BV501" s="707"/>
      <c r="BW501" s="707"/>
      <c r="BX501" s="707"/>
      <c r="BY501" s="707"/>
      <c r="BZ501" s="707"/>
      <c r="CA501" s="707"/>
      <c r="CB501" s="707"/>
      <c r="CC501" s="707"/>
      <c r="CD501" s="707"/>
      <c r="CE501" s="707"/>
      <c r="CF501" s="707"/>
      <c r="CG501" s="707"/>
      <c r="CH501" s="707"/>
      <c r="CI501" s="707"/>
      <c r="CJ501" s="707"/>
      <c r="CK501" s="707"/>
      <c r="CL501" s="707"/>
      <c r="CM501" s="707"/>
      <c r="CN501" s="707"/>
      <c r="CO501" s="707"/>
      <c r="CP501" s="707"/>
      <c r="CQ501" s="707"/>
      <c r="CR501" s="707"/>
      <c r="CS501" s="707"/>
      <c r="CT501" s="707"/>
      <c r="CU501" s="707"/>
      <c r="CV501" s="707"/>
      <c r="CW501" s="707"/>
      <c r="CX501" s="707"/>
      <c r="CY501" s="707"/>
      <c r="CZ501" s="707"/>
      <c r="DA501" s="707"/>
      <c r="DB501" s="707"/>
      <c r="DC501" s="707"/>
      <c r="DD501" s="707"/>
      <c r="DE501" s="707"/>
      <c r="DF501" s="707"/>
      <c r="DG501" s="707"/>
      <c r="DH501" s="707"/>
      <c r="DI501" s="707"/>
      <c r="DJ501" s="707"/>
      <c r="DK501" s="707"/>
      <c r="DL501" s="707"/>
      <c r="DM501" s="707"/>
      <c r="DN501" s="707"/>
      <c r="DO501" s="707"/>
      <c r="DP501" s="707"/>
      <c r="DQ501" s="707"/>
      <c r="DR501" s="707"/>
      <c r="DS501" s="707"/>
      <c r="DT501" s="707"/>
      <c r="DU501" s="707"/>
      <c r="DV501" s="707"/>
      <c r="DW501" s="707"/>
      <c r="DX501" s="707"/>
      <c r="DY501" s="707"/>
      <c r="DZ501" s="707"/>
      <c r="EA501" s="707"/>
      <c r="EB501" s="707"/>
      <c r="EC501" s="707"/>
      <c r="ED501" s="707"/>
      <c r="EE501" s="707"/>
      <c r="EF501" s="707"/>
      <c r="EG501" s="707"/>
      <c r="EH501" s="707"/>
      <c r="EI501" s="707"/>
      <c r="EJ501" s="707"/>
      <c r="EK501" s="707"/>
      <c r="EL501" s="707"/>
      <c r="EM501" s="707"/>
      <c r="EN501" s="707"/>
      <c r="EO501" s="707"/>
      <c r="EP501" s="707"/>
      <c r="EQ501" s="707"/>
      <c r="ER501" s="707"/>
      <c r="ES501" s="707"/>
      <c r="ET501" s="707"/>
      <c r="EU501" s="707"/>
      <c r="EV501" s="707"/>
      <c r="EW501" s="707"/>
      <c r="EX501" s="707"/>
      <c r="EY501" s="707"/>
      <c r="EZ501" s="707"/>
      <c r="FA501" s="707"/>
      <c r="FB501" s="707"/>
      <c r="FC501" s="707"/>
      <c r="FD501" s="707"/>
      <c r="FE501" s="707"/>
      <c r="FF501" s="707"/>
      <c r="FG501" s="707"/>
      <c r="FH501" s="707"/>
      <c r="FI501" s="707"/>
      <c r="FJ501" s="707"/>
      <c r="FK501" s="707"/>
      <c r="FL501" s="707"/>
      <c r="FM501" s="707"/>
      <c r="FN501" s="707"/>
      <c r="FO501" s="707"/>
      <c r="FP501" s="707"/>
      <c r="FQ501" s="707"/>
      <c r="FR501" s="707"/>
      <c r="FS501" s="707"/>
      <c r="FT501" s="707"/>
      <c r="FU501" s="707"/>
      <c r="FV501" s="707"/>
      <c r="FW501" s="707"/>
      <c r="FX501" s="707"/>
      <c r="FY501" s="707"/>
      <c r="FZ501" s="707"/>
      <c r="GA501" s="707"/>
      <c r="GB501" s="707"/>
      <c r="GC501" s="707"/>
      <c r="GD501" s="707"/>
      <c r="GE501" s="707"/>
      <c r="GF501" s="707"/>
      <c r="GG501" s="707"/>
      <c r="GH501" s="707"/>
      <c r="GI501" s="707"/>
      <c r="GJ501" s="707"/>
      <c r="GK501" s="707"/>
      <c r="GL501" s="707"/>
      <c r="GM501" s="707"/>
      <c r="GN501" s="707"/>
      <c r="GO501" s="707"/>
      <c r="GP501" s="707"/>
      <c r="GQ501" s="707"/>
      <c r="GR501" s="707"/>
      <c r="GS501" s="707"/>
      <c r="GT501" s="707"/>
      <c r="GU501" s="707"/>
      <c r="GV501" s="707"/>
      <c r="GW501" s="707"/>
      <c r="GX501" s="707"/>
      <c r="GY501" s="707"/>
      <c r="GZ501" s="707"/>
      <c r="HA501" s="707"/>
      <c r="HB501" s="707"/>
      <c r="HC501" s="707"/>
      <c r="HD501" s="707"/>
      <c r="HE501" s="707"/>
      <c r="HF501" s="707"/>
      <c r="HG501" s="707"/>
      <c r="HH501" s="707"/>
      <c r="HI501" s="707"/>
      <c r="HJ501" s="707"/>
      <c r="HK501" s="707"/>
      <c r="HL501" s="707"/>
      <c r="HM501" s="707"/>
      <c r="HN501" s="707"/>
      <c r="HO501" s="707"/>
      <c r="HP501" s="707"/>
      <c r="HQ501" s="707"/>
      <c r="HR501" s="707"/>
      <c r="HS501" s="707"/>
      <c r="HT501" s="707"/>
      <c r="HU501" s="707"/>
      <c r="HV501" s="707"/>
      <c r="HW501" s="707"/>
      <c r="HX501" s="707"/>
      <c r="HY501" s="707"/>
      <c r="HZ501" s="707"/>
      <c r="IA501" s="707"/>
      <c r="IB501" s="707"/>
      <c r="IC501" s="707"/>
      <c r="ID501" s="707"/>
      <c r="IE501" s="707"/>
      <c r="IF501" s="707"/>
      <c r="IG501" s="707"/>
      <c r="IH501" s="707"/>
      <c r="II501" s="707"/>
      <c r="IJ501" s="707"/>
      <c r="IK501" s="707"/>
      <c r="IL501" s="707"/>
      <c r="IM501" s="707"/>
      <c r="IN501" s="707"/>
      <c r="IO501" s="707"/>
      <c r="IP501" s="707"/>
      <c r="IQ501" s="707"/>
      <c r="IR501" s="707"/>
      <c r="IS501" s="707"/>
      <c r="IT501" s="707"/>
      <c r="IU501" s="707"/>
      <c r="IV501" s="707"/>
      <c r="IW501" s="707"/>
    </row>
    <row r="502" customFormat="false" ht="12.75" hidden="false" customHeight="false" outlineLevel="0" collapsed="false">
      <c r="A502" s="367"/>
      <c r="B502" s="723"/>
      <c r="C502" s="723"/>
      <c r="D502" s="723"/>
      <c r="E502" s="713"/>
      <c r="F502" s="713"/>
      <c r="G502" s="713"/>
      <c r="H502" s="713"/>
      <c r="I502" s="713"/>
      <c r="J502" s="713"/>
      <c r="K502" s="713"/>
      <c r="L502" s="713"/>
      <c r="M502" s="713"/>
      <c r="N502" s="713"/>
      <c r="O502" s="713"/>
      <c r="P502" s="713"/>
      <c r="Q502" s="713"/>
      <c r="R502" s="713"/>
      <c r="S502" s="713"/>
      <c r="T502" s="713"/>
      <c r="U502" s="713"/>
      <c r="V502" s="713"/>
      <c r="W502" s="713"/>
      <c r="X502" s="713"/>
      <c r="Y502" s="713"/>
      <c r="Z502" s="713"/>
      <c r="AA502" s="707"/>
      <c r="AB502" s="707"/>
      <c r="AC502" s="707"/>
      <c r="AD502" s="707"/>
      <c r="AE502" s="707"/>
      <c r="AF502" s="707"/>
      <c r="AG502" s="707"/>
      <c r="AH502" s="707"/>
      <c r="AI502" s="707"/>
      <c r="AJ502" s="707"/>
      <c r="AK502" s="707"/>
      <c r="AL502" s="707"/>
      <c r="AM502" s="707"/>
      <c r="AN502" s="707"/>
      <c r="AO502" s="707"/>
      <c r="AP502" s="707"/>
      <c r="AQ502" s="707"/>
      <c r="AR502" s="707"/>
      <c r="AS502" s="707"/>
      <c r="AT502" s="707"/>
      <c r="AU502" s="707"/>
      <c r="AV502" s="707"/>
      <c r="AW502" s="707"/>
      <c r="AX502" s="707"/>
      <c r="AY502" s="707"/>
      <c r="AZ502" s="707"/>
      <c r="BA502" s="707"/>
      <c r="BB502" s="707"/>
      <c r="BC502" s="707"/>
      <c r="BD502" s="707"/>
      <c r="BE502" s="707"/>
      <c r="BF502" s="707"/>
      <c r="BG502" s="707"/>
      <c r="BH502" s="707"/>
      <c r="BI502" s="707"/>
      <c r="BJ502" s="707"/>
      <c r="BK502" s="707"/>
      <c r="BL502" s="707"/>
      <c r="BM502" s="707"/>
      <c r="BN502" s="707"/>
      <c r="BO502" s="707"/>
      <c r="BP502" s="707"/>
      <c r="BQ502" s="707"/>
      <c r="BR502" s="707"/>
      <c r="BS502" s="707"/>
      <c r="BT502" s="707"/>
      <c r="BU502" s="707"/>
      <c r="BV502" s="707"/>
      <c r="BW502" s="707"/>
      <c r="BX502" s="707"/>
      <c r="BY502" s="707"/>
      <c r="BZ502" s="707"/>
      <c r="CA502" s="707"/>
      <c r="CB502" s="707"/>
      <c r="CC502" s="707"/>
      <c r="CD502" s="707"/>
      <c r="CE502" s="707"/>
      <c r="CF502" s="707"/>
      <c r="CG502" s="707"/>
      <c r="CH502" s="707"/>
      <c r="CI502" s="707"/>
      <c r="CJ502" s="707"/>
      <c r="CK502" s="707"/>
      <c r="CL502" s="707"/>
      <c r="CM502" s="707"/>
      <c r="CN502" s="707"/>
      <c r="CO502" s="707"/>
      <c r="CP502" s="707"/>
      <c r="CQ502" s="707"/>
      <c r="CR502" s="707"/>
      <c r="CS502" s="707"/>
      <c r="CT502" s="707"/>
      <c r="CU502" s="707"/>
      <c r="CV502" s="707"/>
      <c r="CW502" s="707"/>
      <c r="CX502" s="707"/>
      <c r="CY502" s="707"/>
      <c r="CZ502" s="707"/>
      <c r="DA502" s="707"/>
      <c r="DB502" s="707"/>
      <c r="DC502" s="707"/>
      <c r="DD502" s="707"/>
      <c r="DE502" s="707"/>
      <c r="DF502" s="707"/>
      <c r="DG502" s="707"/>
      <c r="DH502" s="707"/>
      <c r="DI502" s="707"/>
      <c r="DJ502" s="707"/>
      <c r="DK502" s="707"/>
      <c r="DL502" s="707"/>
      <c r="DM502" s="707"/>
      <c r="DN502" s="707"/>
      <c r="DO502" s="707"/>
      <c r="DP502" s="707"/>
      <c r="DQ502" s="707"/>
      <c r="DR502" s="707"/>
      <c r="DS502" s="707"/>
      <c r="DT502" s="707"/>
      <c r="DU502" s="707"/>
      <c r="DV502" s="707"/>
      <c r="DW502" s="707"/>
      <c r="DX502" s="707"/>
      <c r="DY502" s="707"/>
      <c r="DZ502" s="707"/>
      <c r="EA502" s="707"/>
      <c r="EB502" s="707"/>
      <c r="EC502" s="707"/>
      <c r="ED502" s="707"/>
      <c r="EE502" s="707"/>
      <c r="EF502" s="707"/>
      <c r="EG502" s="707"/>
      <c r="EH502" s="707"/>
      <c r="EI502" s="707"/>
      <c r="EJ502" s="707"/>
      <c r="EK502" s="707"/>
      <c r="EL502" s="707"/>
      <c r="EM502" s="707"/>
      <c r="EN502" s="707"/>
      <c r="EO502" s="707"/>
      <c r="EP502" s="707"/>
      <c r="EQ502" s="707"/>
      <c r="ER502" s="707"/>
      <c r="ES502" s="707"/>
      <c r="ET502" s="707"/>
      <c r="EU502" s="707"/>
      <c r="EV502" s="707"/>
      <c r="EW502" s="707"/>
      <c r="EX502" s="707"/>
      <c r="EY502" s="707"/>
      <c r="EZ502" s="707"/>
      <c r="FA502" s="707"/>
      <c r="FB502" s="707"/>
      <c r="FC502" s="707"/>
      <c r="FD502" s="707"/>
      <c r="FE502" s="707"/>
      <c r="FF502" s="707"/>
      <c r="FG502" s="707"/>
      <c r="FH502" s="707"/>
      <c r="FI502" s="707"/>
      <c r="FJ502" s="707"/>
      <c r="FK502" s="707"/>
      <c r="FL502" s="707"/>
      <c r="FM502" s="707"/>
      <c r="FN502" s="707"/>
      <c r="FO502" s="707"/>
      <c r="FP502" s="707"/>
      <c r="FQ502" s="707"/>
      <c r="FR502" s="707"/>
      <c r="FS502" s="707"/>
      <c r="FT502" s="707"/>
      <c r="FU502" s="707"/>
      <c r="FV502" s="707"/>
      <c r="FW502" s="707"/>
      <c r="FX502" s="707"/>
      <c r="FY502" s="707"/>
      <c r="FZ502" s="707"/>
      <c r="GA502" s="707"/>
      <c r="GB502" s="707"/>
      <c r="GC502" s="707"/>
      <c r="GD502" s="707"/>
      <c r="GE502" s="707"/>
      <c r="GF502" s="707"/>
      <c r="GG502" s="707"/>
      <c r="GH502" s="707"/>
      <c r="GI502" s="707"/>
      <c r="GJ502" s="707"/>
      <c r="GK502" s="707"/>
      <c r="GL502" s="707"/>
      <c r="GM502" s="707"/>
      <c r="GN502" s="707"/>
      <c r="GO502" s="707"/>
      <c r="GP502" s="707"/>
      <c r="GQ502" s="707"/>
      <c r="GR502" s="707"/>
      <c r="GS502" s="707"/>
      <c r="GT502" s="707"/>
      <c r="GU502" s="707"/>
      <c r="GV502" s="707"/>
      <c r="GW502" s="707"/>
      <c r="GX502" s="707"/>
      <c r="GY502" s="707"/>
      <c r="GZ502" s="707"/>
      <c r="HA502" s="707"/>
      <c r="HB502" s="707"/>
      <c r="HC502" s="707"/>
      <c r="HD502" s="707"/>
      <c r="HE502" s="707"/>
      <c r="HF502" s="707"/>
      <c r="HG502" s="707"/>
      <c r="HH502" s="707"/>
      <c r="HI502" s="707"/>
      <c r="HJ502" s="707"/>
      <c r="HK502" s="707"/>
      <c r="HL502" s="707"/>
      <c r="HM502" s="707"/>
      <c r="HN502" s="707"/>
      <c r="HO502" s="707"/>
      <c r="HP502" s="707"/>
      <c r="HQ502" s="707"/>
      <c r="HR502" s="707"/>
      <c r="HS502" s="707"/>
      <c r="HT502" s="707"/>
      <c r="HU502" s="707"/>
      <c r="HV502" s="707"/>
      <c r="HW502" s="707"/>
      <c r="HX502" s="707"/>
      <c r="HY502" s="707"/>
      <c r="HZ502" s="707"/>
      <c r="IA502" s="707"/>
      <c r="IB502" s="707"/>
      <c r="IC502" s="707"/>
      <c r="ID502" s="707"/>
      <c r="IE502" s="707"/>
      <c r="IF502" s="707"/>
      <c r="IG502" s="707"/>
      <c r="IH502" s="707"/>
      <c r="II502" s="707"/>
      <c r="IJ502" s="707"/>
      <c r="IK502" s="707"/>
      <c r="IL502" s="707"/>
      <c r="IM502" s="707"/>
      <c r="IN502" s="707"/>
      <c r="IO502" s="707"/>
      <c r="IP502" s="707"/>
      <c r="IQ502" s="707"/>
      <c r="IR502" s="707"/>
      <c r="IS502" s="707"/>
      <c r="IT502" s="707"/>
      <c r="IU502" s="707"/>
      <c r="IV502" s="707"/>
      <c r="IW502" s="707"/>
    </row>
    <row r="503" customFormat="false" ht="12.75" hidden="false" customHeight="false" outlineLevel="0" collapsed="false">
      <c r="A503" s="367"/>
      <c r="B503" s="723"/>
      <c r="C503" s="723"/>
      <c r="D503" s="723"/>
      <c r="E503" s="713"/>
      <c r="F503" s="713"/>
      <c r="G503" s="713"/>
      <c r="H503" s="713"/>
      <c r="I503" s="713"/>
      <c r="J503" s="713"/>
      <c r="K503" s="713"/>
      <c r="L503" s="713"/>
      <c r="M503" s="713"/>
      <c r="N503" s="713"/>
      <c r="O503" s="713"/>
      <c r="P503" s="713"/>
      <c r="Q503" s="713"/>
      <c r="R503" s="713"/>
      <c r="S503" s="713"/>
      <c r="T503" s="713"/>
      <c r="U503" s="713"/>
      <c r="V503" s="713"/>
      <c r="W503" s="713"/>
      <c r="X503" s="713"/>
      <c r="Y503" s="713"/>
      <c r="Z503" s="713"/>
      <c r="AA503" s="707"/>
      <c r="AB503" s="707"/>
      <c r="AC503" s="707"/>
      <c r="AD503" s="707"/>
      <c r="AE503" s="707"/>
      <c r="AF503" s="707"/>
      <c r="AG503" s="707"/>
      <c r="AH503" s="707"/>
      <c r="AI503" s="707"/>
      <c r="AJ503" s="707"/>
      <c r="AK503" s="707"/>
      <c r="AL503" s="707"/>
      <c r="AM503" s="707"/>
      <c r="AN503" s="707"/>
      <c r="AO503" s="707"/>
      <c r="AP503" s="707"/>
      <c r="AQ503" s="707"/>
      <c r="AR503" s="707"/>
      <c r="AS503" s="707"/>
      <c r="AT503" s="707"/>
      <c r="AU503" s="707"/>
      <c r="AV503" s="707"/>
      <c r="AW503" s="707"/>
      <c r="AX503" s="707"/>
      <c r="AY503" s="707"/>
      <c r="AZ503" s="707"/>
      <c r="BA503" s="707"/>
      <c r="BB503" s="707"/>
      <c r="BC503" s="707"/>
      <c r="BD503" s="707"/>
      <c r="BE503" s="707"/>
      <c r="BF503" s="707"/>
      <c r="BG503" s="707"/>
      <c r="BH503" s="707"/>
      <c r="BI503" s="707"/>
      <c r="BJ503" s="707"/>
      <c r="BK503" s="707"/>
      <c r="BL503" s="707"/>
      <c r="BM503" s="707"/>
      <c r="BN503" s="707"/>
      <c r="BO503" s="707"/>
      <c r="BP503" s="707"/>
      <c r="BQ503" s="707"/>
      <c r="BR503" s="707"/>
      <c r="BS503" s="707"/>
      <c r="BT503" s="707"/>
      <c r="BU503" s="707"/>
      <c r="BV503" s="707"/>
      <c r="BW503" s="707"/>
      <c r="BX503" s="707"/>
      <c r="BY503" s="707"/>
      <c r="BZ503" s="707"/>
      <c r="CA503" s="707"/>
      <c r="CB503" s="707"/>
      <c r="CC503" s="707"/>
      <c r="CD503" s="707"/>
      <c r="CE503" s="707"/>
      <c r="CF503" s="707"/>
      <c r="CG503" s="707"/>
      <c r="CH503" s="707"/>
      <c r="CI503" s="707"/>
      <c r="CJ503" s="707"/>
      <c r="CK503" s="707"/>
      <c r="CL503" s="707"/>
      <c r="CM503" s="707"/>
      <c r="CN503" s="707"/>
      <c r="CO503" s="707"/>
      <c r="CP503" s="707"/>
      <c r="CQ503" s="707"/>
      <c r="CR503" s="707"/>
      <c r="CS503" s="707"/>
      <c r="CT503" s="707"/>
      <c r="CU503" s="707"/>
      <c r="CV503" s="707"/>
      <c r="CW503" s="707"/>
      <c r="CX503" s="707"/>
      <c r="CY503" s="707"/>
      <c r="CZ503" s="707"/>
      <c r="DA503" s="707"/>
      <c r="DB503" s="707"/>
      <c r="DC503" s="707"/>
      <c r="DD503" s="707"/>
      <c r="DE503" s="707"/>
      <c r="DF503" s="707"/>
      <c r="DG503" s="707"/>
      <c r="DH503" s="707"/>
      <c r="DI503" s="707"/>
      <c r="DJ503" s="707"/>
      <c r="DK503" s="707"/>
      <c r="DL503" s="707"/>
      <c r="DM503" s="707"/>
      <c r="DN503" s="707"/>
      <c r="DO503" s="707"/>
      <c r="DP503" s="707"/>
      <c r="DQ503" s="707"/>
      <c r="DR503" s="707"/>
      <c r="DS503" s="707"/>
      <c r="DT503" s="707"/>
      <c r="DU503" s="707"/>
      <c r="DV503" s="707"/>
      <c r="DW503" s="707"/>
      <c r="DX503" s="707"/>
      <c r="DY503" s="707"/>
      <c r="DZ503" s="707"/>
      <c r="EA503" s="707"/>
      <c r="EB503" s="707"/>
      <c r="EC503" s="707"/>
      <c r="ED503" s="707"/>
      <c r="EE503" s="707"/>
      <c r="EF503" s="707"/>
      <c r="EG503" s="707"/>
      <c r="EH503" s="707"/>
      <c r="EI503" s="707"/>
      <c r="EJ503" s="707"/>
      <c r="EK503" s="707"/>
      <c r="EL503" s="707"/>
      <c r="EM503" s="707"/>
      <c r="EN503" s="707"/>
      <c r="EO503" s="707"/>
      <c r="EP503" s="707"/>
      <c r="EQ503" s="707"/>
      <c r="ER503" s="707"/>
      <c r="ES503" s="707"/>
      <c r="ET503" s="707"/>
      <c r="EU503" s="707"/>
      <c r="EV503" s="707"/>
      <c r="EW503" s="707"/>
      <c r="EX503" s="707"/>
      <c r="EY503" s="707"/>
      <c r="EZ503" s="707"/>
      <c r="FA503" s="707"/>
      <c r="FB503" s="707"/>
      <c r="FC503" s="707"/>
      <c r="FD503" s="707"/>
      <c r="FE503" s="707"/>
      <c r="FF503" s="707"/>
      <c r="FG503" s="707"/>
      <c r="FH503" s="707"/>
      <c r="FI503" s="707"/>
      <c r="FJ503" s="707"/>
      <c r="FK503" s="707"/>
      <c r="FL503" s="707"/>
      <c r="FM503" s="707"/>
      <c r="FN503" s="707"/>
      <c r="FO503" s="707"/>
      <c r="FP503" s="707"/>
      <c r="FQ503" s="707"/>
      <c r="FR503" s="707"/>
      <c r="FS503" s="707"/>
      <c r="FT503" s="707"/>
      <c r="FU503" s="707"/>
      <c r="FV503" s="707"/>
      <c r="FW503" s="707"/>
      <c r="FX503" s="707"/>
      <c r="FY503" s="707"/>
      <c r="FZ503" s="707"/>
      <c r="GA503" s="707"/>
      <c r="GB503" s="707"/>
      <c r="GC503" s="707"/>
      <c r="GD503" s="707"/>
      <c r="GE503" s="707"/>
      <c r="GF503" s="707"/>
      <c r="GG503" s="707"/>
      <c r="GH503" s="707"/>
      <c r="GI503" s="707"/>
      <c r="GJ503" s="707"/>
      <c r="GK503" s="707"/>
      <c r="GL503" s="707"/>
      <c r="GM503" s="707"/>
      <c r="GN503" s="707"/>
      <c r="GO503" s="707"/>
      <c r="GP503" s="707"/>
      <c r="GQ503" s="707"/>
      <c r="GR503" s="707"/>
      <c r="GS503" s="707"/>
      <c r="GT503" s="707"/>
      <c r="GU503" s="707"/>
      <c r="GV503" s="707"/>
      <c r="GW503" s="707"/>
      <c r="GX503" s="707"/>
      <c r="GY503" s="707"/>
      <c r="GZ503" s="707"/>
      <c r="HA503" s="707"/>
      <c r="HB503" s="707"/>
      <c r="HC503" s="707"/>
      <c r="HD503" s="707"/>
      <c r="HE503" s="707"/>
      <c r="HF503" s="707"/>
      <c r="HG503" s="707"/>
      <c r="HH503" s="707"/>
      <c r="HI503" s="707"/>
      <c r="HJ503" s="707"/>
      <c r="HK503" s="707"/>
      <c r="HL503" s="707"/>
      <c r="HM503" s="707"/>
      <c r="HN503" s="707"/>
      <c r="HO503" s="707"/>
      <c r="HP503" s="707"/>
      <c r="HQ503" s="707"/>
      <c r="HR503" s="707"/>
      <c r="HS503" s="707"/>
      <c r="HT503" s="707"/>
      <c r="HU503" s="707"/>
      <c r="HV503" s="707"/>
      <c r="HW503" s="707"/>
      <c r="HX503" s="707"/>
      <c r="HY503" s="707"/>
      <c r="HZ503" s="707"/>
      <c r="IA503" s="707"/>
      <c r="IB503" s="707"/>
      <c r="IC503" s="707"/>
      <c r="ID503" s="707"/>
      <c r="IE503" s="707"/>
      <c r="IF503" s="707"/>
      <c r="IG503" s="707"/>
      <c r="IH503" s="707"/>
      <c r="II503" s="707"/>
      <c r="IJ503" s="707"/>
      <c r="IK503" s="707"/>
      <c r="IL503" s="707"/>
      <c r="IM503" s="707"/>
      <c r="IN503" s="707"/>
      <c r="IO503" s="707"/>
      <c r="IP503" s="707"/>
      <c r="IQ503" s="707"/>
      <c r="IR503" s="707"/>
      <c r="IS503" s="707"/>
      <c r="IT503" s="707"/>
      <c r="IU503" s="707"/>
      <c r="IV503" s="707"/>
      <c r="IW503" s="707"/>
    </row>
    <row r="504" customFormat="false" ht="12.75" hidden="false" customHeight="false" outlineLevel="0" collapsed="false">
      <c r="A504" s="367"/>
      <c r="B504" s="723"/>
      <c r="C504" s="723"/>
      <c r="D504" s="723"/>
      <c r="E504" s="713"/>
      <c r="F504" s="713"/>
      <c r="G504" s="713"/>
      <c r="H504" s="713"/>
      <c r="I504" s="713"/>
      <c r="J504" s="713"/>
      <c r="K504" s="713"/>
      <c r="L504" s="713"/>
      <c r="M504" s="713"/>
      <c r="N504" s="713"/>
      <c r="O504" s="713"/>
      <c r="P504" s="713"/>
      <c r="Q504" s="713"/>
      <c r="R504" s="713"/>
      <c r="S504" s="713"/>
      <c r="T504" s="713"/>
      <c r="U504" s="713"/>
      <c r="V504" s="713"/>
      <c r="W504" s="713"/>
      <c r="X504" s="713"/>
      <c r="Y504" s="713"/>
      <c r="Z504" s="713"/>
      <c r="AA504" s="707"/>
      <c r="AB504" s="707"/>
      <c r="AC504" s="707"/>
      <c r="AD504" s="707"/>
      <c r="AE504" s="707"/>
      <c r="AF504" s="707"/>
      <c r="AG504" s="707"/>
      <c r="AH504" s="707"/>
      <c r="AI504" s="707"/>
      <c r="AJ504" s="707"/>
      <c r="AK504" s="707"/>
      <c r="AL504" s="707"/>
      <c r="AM504" s="707"/>
      <c r="AN504" s="707"/>
      <c r="AO504" s="707"/>
      <c r="AP504" s="707"/>
      <c r="AQ504" s="707"/>
      <c r="AR504" s="707"/>
      <c r="AS504" s="707"/>
      <c r="AT504" s="707"/>
      <c r="AU504" s="707"/>
      <c r="AV504" s="707"/>
      <c r="AW504" s="707"/>
      <c r="AX504" s="707"/>
      <c r="AY504" s="707"/>
      <c r="AZ504" s="707"/>
      <c r="BA504" s="707"/>
      <c r="BB504" s="707"/>
      <c r="BC504" s="707"/>
      <c r="BD504" s="707"/>
      <c r="BE504" s="707"/>
      <c r="BF504" s="707"/>
      <c r="BG504" s="707"/>
      <c r="BH504" s="707"/>
      <c r="BI504" s="707"/>
      <c r="BJ504" s="707"/>
      <c r="BK504" s="707"/>
      <c r="BL504" s="707"/>
      <c r="BM504" s="707"/>
      <c r="BN504" s="707"/>
      <c r="BO504" s="707"/>
      <c r="BP504" s="707"/>
      <c r="BQ504" s="707"/>
      <c r="BR504" s="707"/>
      <c r="BS504" s="707"/>
      <c r="BT504" s="707"/>
      <c r="BU504" s="707"/>
      <c r="BV504" s="707"/>
      <c r="BW504" s="707"/>
      <c r="BX504" s="707"/>
      <c r="BY504" s="707"/>
      <c r="BZ504" s="707"/>
      <c r="CA504" s="707"/>
      <c r="CB504" s="707"/>
      <c r="CC504" s="707"/>
      <c r="CD504" s="707"/>
      <c r="CE504" s="707"/>
      <c r="CF504" s="707"/>
      <c r="CG504" s="707"/>
      <c r="CH504" s="707"/>
      <c r="CI504" s="707"/>
      <c r="CJ504" s="707"/>
      <c r="CK504" s="707"/>
      <c r="CL504" s="707"/>
      <c r="CM504" s="707"/>
      <c r="CN504" s="707"/>
      <c r="CO504" s="707"/>
      <c r="CP504" s="707"/>
      <c r="CQ504" s="707"/>
      <c r="CR504" s="707"/>
      <c r="CS504" s="707"/>
      <c r="CT504" s="707"/>
      <c r="CU504" s="707"/>
      <c r="CV504" s="707"/>
      <c r="CW504" s="707"/>
      <c r="CX504" s="707"/>
      <c r="CY504" s="707"/>
      <c r="CZ504" s="707"/>
      <c r="DA504" s="707"/>
      <c r="DB504" s="707"/>
      <c r="DC504" s="707"/>
      <c r="DD504" s="707"/>
      <c r="DE504" s="707"/>
      <c r="DF504" s="707"/>
      <c r="DG504" s="707"/>
      <c r="DH504" s="707"/>
      <c r="DI504" s="707"/>
      <c r="DJ504" s="707"/>
      <c r="DK504" s="707"/>
      <c r="DL504" s="707"/>
      <c r="DM504" s="707"/>
      <c r="DN504" s="707"/>
      <c r="DO504" s="707"/>
      <c r="DP504" s="707"/>
      <c r="DQ504" s="707"/>
      <c r="DR504" s="707"/>
      <c r="DS504" s="707"/>
      <c r="DT504" s="707"/>
      <c r="DU504" s="707"/>
      <c r="DV504" s="707"/>
      <c r="DW504" s="707"/>
      <c r="DX504" s="707"/>
      <c r="DY504" s="707"/>
      <c r="DZ504" s="707"/>
      <c r="EA504" s="707"/>
      <c r="EB504" s="707"/>
      <c r="EC504" s="707"/>
      <c r="ED504" s="707"/>
      <c r="EE504" s="707"/>
      <c r="EF504" s="707"/>
      <c r="EG504" s="707"/>
      <c r="EH504" s="707"/>
      <c r="EI504" s="707"/>
      <c r="EJ504" s="707"/>
      <c r="EK504" s="707"/>
      <c r="EL504" s="707"/>
      <c r="EM504" s="707"/>
      <c r="EN504" s="707"/>
      <c r="EO504" s="707"/>
      <c r="EP504" s="707"/>
      <c r="EQ504" s="707"/>
      <c r="ER504" s="707"/>
      <c r="ES504" s="707"/>
      <c r="ET504" s="707"/>
      <c r="EU504" s="707"/>
      <c r="EV504" s="707"/>
      <c r="EW504" s="707"/>
      <c r="EX504" s="707"/>
      <c r="EY504" s="707"/>
      <c r="EZ504" s="707"/>
      <c r="FA504" s="707"/>
      <c r="FB504" s="707"/>
      <c r="FC504" s="707"/>
      <c r="FD504" s="707"/>
      <c r="FE504" s="707"/>
      <c r="FF504" s="707"/>
      <c r="FG504" s="707"/>
      <c r="FH504" s="707"/>
      <c r="FI504" s="707"/>
      <c r="FJ504" s="707"/>
      <c r="FK504" s="707"/>
      <c r="FL504" s="707"/>
      <c r="FM504" s="707"/>
      <c r="FN504" s="707"/>
      <c r="FO504" s="707"/>
      <c r="FP504" s="707"/>
      <c r="FQ504" s="707"/>
      <c r="FR504" s="707"/>
      <c r="FS504" s="707"/>
      <c r="FT504" s="707"/>
      <c r="FU504" s="707"/>
      <c r="FV504" s="707"/>
      <c r="FW504" s="707"/>
      <c r="FX504" s="707"/>
      <c r="FY504" s="707"/>
      <c r="FZ504" s="707"/>
      <c r="GA504" s="707"/>
      <c r="GB504" s="707"/>
      <c r="GC504" s="707"/>
      <c r="GD504" s="707"/>
      <c r="GE504" s="707"/>
      <c r="GF504" s="707"/>
      <c r="GG504" s="707"/>
      <c r="GH504" s="707"/>
      <c r="GI504" s="707"/>
      <c r="GJ504" s="707"/>
      <c r="GK504" s="707"/>
      <c r="GL504" s="707"/>
      <c r="GM504" s="707"/>
      <c r="GN504" s="707"/>
      <c r="GO504" s="707"/>
      <c r="GP504" s="707"/>
      <c r="GQ504" s="707"/>
      <c r="GR504" s="707"/>
      <c r="GS504" s="707"/>
      <c r="GT504" s="707"/>
      <c r="GU504" s="707"/>
      <c r="GV504" s="707"/>
      <c r="GW504" s="707"/>
      <c r="GX504" s="707"/>
      <c r="GY504" s="707"/>
      <c r="GZ504" s="707"/>
      <c r="HA504" s="707"/>
      <c r="HB504" s="707"/>
      <c r="HC504" s="707"/>
      <c r="HD504" s="707"/>
      <c r="HE504" s="707"/>
      <c r="HF504" s="707"/>
      <c r="HG504" s="707"/>
      <c r="HH504" s="707"/>
      <c r="HI504" s="707"/>
      <c r="HJ504" s="707"/>
      <c r="HK504" s="707"/>
      <c r="HL504" s="707"/>
      <c r="HM504" s="707"/>
      <c r="HN504" s="707"/>
      <c r="HO504" s="707"/>
      <c r="HP504" s="707"/>
      <c r="HQ504" s="707"/>
      <c r="HR504" s="707"/>
      <c r="HS504" s="707"/>
      <c r="HT504" s="707"/>
      <c r="HU504" s="707"/>
      <c r="HV504" s="707"/>
      <c r="HW504" s="707"/>
      <c r="HX504" s="707"/>
      <c r="HY504" s="707"/>
      <c r="HZ504" s="707"/>
      <c r="IA504" s="707"/>
      <c r="IB504" s="707"/>
      <c r="IC504" s="707"/>
      <c r="ID504" s="707"/>
      <c r="IE504" s="707"/>
      <c r="IF504" s="707"/>
      <c r="IG504" s="707"/>
      <c r="IH504" s="707"/>
      <c r="II504" s="707"/>
      <c r="IJ504" s="707"/>
      <c r="IK504" s="707"/>
      <c r="IL504" s="707"/>
      <c r="IM504" s="707"/>
      <c r="IN504" s="707"/>
      <c r="IO504" s="707"/>
      <c r="IP504" s="707"/>
      <c r="IQ504" s="707"/>
      <c r="IR504" s="707"/>
      <c r="IS504" s="707"/>
      <c r="IT504" s="707"/>
      <c r="IU504" s="707"/>
      <c r="IV504" s="707"/>
      <c r="IW504" s="707"/>
    </row>
    <row r="505" customFormat="false" ht="12.75" hidden="false" customHeight="false" outlineLevel="0" collapsed="false">
      <c r="A505" s="388"/>
      <c r="B505" s="707"/>
      <c r="C505" s="707"/>
      <c r="D505" s="707"/>
      <c r="E505" s="713"/>
      <c r="F505" s="713"/>
      <c r="G505" s="713"/>
      <c r="H505" s="713"/>
      <c r="I505" s="713"/>
      <c r="J505" s="713"/>
      <c r="K505" s="713"/>
      <c r="L505" s="713"/>
      <c r="M505" s="713"/>
      <c r="N505" s="713"/>
      <c r="O505" s="713"/>
      <c r="P505" s="713"/>
      <c r="Q505" s="713"/>
      <c r="R505" s="713"/>
      <c r="S505" s="713"/>
      <c r="T505" s="713"/>
      <c r="U505" s="713"/>
      <c r="V505" s="713"/>
      <c r="W505" s="713"/>
      <c r="X505" s="713"/>
      <c r="Y505" s="713"/>
      <c r="Z505" s="713"/>
      <c r="AA505" s="707"/>
      <c r="AB505" s="707"/>
      <c r="AC505" s="707"/>
      <c r="AD505" s="707"/>
      <c r="AE505" s="707"/>
      <c r="AF505" s="707"/>
      <c r="AG505" s="707"/>
      <c r="AH505" s="707"/>
      <c r="AI505" s="707"/>
      <c r="AJ505" s="707"/>
      <c r="AK505" s="707"/>
      <c r="AL505" s="707"/>
      <c r="AM505" s="707"/>
      <c r="AN505" s="707"/>
      <c r="AO505" s="707"/>
      <c r="AP505" s="707"/>
      <c r="AQ505" s="707"/>
      <c r="AR505" s="707"/>
      <c r="AS505" s="707"/>
      <c r="AT505" s="707"/>
      <c r="AU505" s="707"/>
      <c r="AV505" s="707"/>
      <c r="AW505" s="707"/>
      <c r="AX505" s="707"/>
      <c r="AY505" s="707"/>
      <c r="AZ505" s="707"/>
      <c r="BA505" s="707"/>
      <c r="BB505" s="707"/>
      <c r="BC505" s="707"/>
      <c r="BD505" s="707"/>
      <c r="BE505" s="707"/>
      <c r="BF505" s="707"/>
      <c r="BG505" s="707"/>
      <c r="BH505" s="707"/>
      <c r="BI505" s="707"/>
      <c r="BJ505" s="707"/>
      <c r="BK505" s="707"/>
      <c r="BL505" s="707"/>
      <c r="BM505" s="707"/>
      <c r="BN505" s="707"/>
      <c r="BO505" s="707"/>
      <c r="BP505" s="707"/>
      <c r="BQ505" s="707"/>
      <c r="BR505" s="707"/>
      <c r="BS505" s="707"/>
      <c r="BT505" s="707"/>
      <c r="BU505" s="707"/>
      <c r="BV505" s="707"/>
      <c r="BW505" s="707"/>
      <c r="BX505" s="707"/>
      <c r="BY505" s="707"/>
      <c r="BZ505" s="707"/>
      <c r="CA505" s="707"/>
      <c r="CB505" s="707"/>
      <c r="CC505" s="707"/>
      <c r="CD505" s="707"/>
      <c r="CE505" s="707"/>
      <c r="CF505" s="707"/>
      <c r="CG505" s="707"/>
      <c r="CH505" s="707"/>
      <c r="CI505" s="707"/>
      <c r="CJ505" s="707"/>
      <c r="CK505" s="707"/>
      <c r="CL505" s="707"/>
      <c r="CM505" s="707"/>
      <c r="CN505" s="707"/>
      <c r="CO505" s="707"/>
      <c r="CP505" s="707"/>
      <c r="CQ505" s="707"/>
      <c r="CR505" s="707"/>
      <c r="CS505" s="707"/>
      <c r="CT505" s="707"/>
      <c r="CU505" s="707"/>
      <c r="CV505" s="707"/>
      <c r="CW505" s="707"/>
      <c r="CX505" s="707"/>
      <c r="CY505" s="707"/>
      <c r="CZ505" s="707"/>
      <c r="DA505" s="707"/>
      <c r="DB505" s="707"/>
      <c r="DC505" s="707"/>
      <c r="DD505" s="707"/>
      <c r="DE505" s="707"/>
      <c r="DF505" s="707"/>
      <c r="DG505" s="707"/>
      <c r="DH505" s="707"/>
      <c r="DI505" s="707"/>
      <c r="DJ505" s="707"/>
      <c r="DK505" s="707"/>
      <c r="DL505" s="707"/>
      <c r="DM505" s="707"/>
      <c r="DN505" s="707"/>
      <c r="DO505" s="707"/>
      <c r="DP505" s="707"/>
      <c r="DQ505" s="707"/>
      <c r="DR505" s="707"/>
      <c r="DS505" s="707"/>
      <c r="DT505" s="707"/>
      <c r="DU505" s="707"/>
      <c r="DV505" s="707"/>
      <c r="DW505" s="707"/>
      <c r="DX505" s="707"/>
      <c r="DY505" s="707"/>
      <c r="DZ505" s="707"/>
      <c r="EA505" s="707"/>
      <c r="EB505" s="707"/>
      <c r="EC505" s="707"/>
      <c r="ED505" s="707"/>
      <c r="EE505" s="707"/>
      <c r="EF505" s="707"/>
      <c r="EG505" s="707"/>
      <c r="EH505" s="707"/>
      <c r="EI505" s="707"/>
      <c r="EJ505" s="707"/>
      <c r="EK505" s="707"/>
      <c r="EL505" s="707"/>
      <c r="EM505" s="707"/>
      <c r="EN505" s="707"/>
      <c r="EO505" s="707"/>
      <c r="EP505" s="707"/>
      <c r="EQ505" s="707"/>
      <c r="ER505" s="707"/>
      <c r="ES505" s="707"/>
      <c r="ET505" s="707"/>
      <c r="EU505" s="707"/>
      <c r="EV505" s="707"/>
      <c r="EW505" s="707"/>
      <c r="EX505" s="707"/>
      <c r="EY505" s="707"/>
      <c r="EZ505" s="707"/>
      <c r="FA505" s="707"/>
      <c r="FB505" s="707"/>
      <c r="FC505" s="707"/>
      <c r="FD505" s="707"/>
      <c r="FE505" s="707"/>
      <c r="FF505" s="707"/>
      <c r="FG505" s="707"/>
      <c r="FH505" s="707"/>
      <c r="FI505" s="707"/>
      <c r="FJ505" s="707"/>
      <c r="FK505" s="707"/>
      <c r="FL505" s="707"/>
      <c r="FM505" s="707"/>
      <c r="FN505" s="707"/>
      <c r="FO505" s="707"/>
      <c r="FP505" s="707"/>
      <c r="FQ505" s="707"/>
      <c r="FR505" s="707"/>
      <c r="FS505" s="707"/>
      <c r="FT505" s="707"/>
      <c r="FU505" s="707"/>
      <c r="FV505" s="707"/>
      <c r="FW505" s="707"/>
      <c r="FX505" s="707"/>
      <c r="FY505" s="707"/>
      <c r="FZ505" s="707"/>
      <c r="GA505" s="707"/>
      <c r="GB505" s="707"/>
      <c r="GC505" s="707"/>
      <c r="GD505" s="707"/>
      <c r="GE505" s="707"/>
      <c r="GF505" s="707"/>
      <c r="GG505" s="707"/>
      <c r="GH505" s="707"/>
      <c r="GI505" s="707"/>
      <c r="GJ505" s="707"/>
      <c r="GK505" s="707"/>
      <c r="GL505" s="707"/>
      <c r="GM505" s="707"/>
      <c r="GN505" s="707"/>
      <c r="GO505" s="707"/>
      <c r="GP505" s="707"/>
      <c r="GQ505" s="707"/>
      <c r="GR505" s="707"/>
      <c r="GS505" s="707"/>
      <c r="GT505" s="707"/>
      <c r="GU505" s="707"/>
      <c r="GV505" s="707"/>
      <c r="GW505" s="707"/>
      <c r="GX505" s="707"/>
      <c r="GY505" s="707"/>
      <c r="GZ505" s="707"/>
      <c r="HA505" s="707"/>
      <c r="HB505" s="707"/>
      <c r="HC505" s="707"/>
      <c r="HD505" s="707"/>
      <c r="HE505" s="707"/>
      <c r="HF505" s="707"/>
      <c r="HG505" s="707"/>
      <c r="HH505" s="707"/>
      <c r="HI505" s="707"/>
      <c r="HJ505" s="707"/>
      <c r="HK505" s="707"/>
      <c r="HL505" s="707"/>
      <c r="HM505" s="707"/>
      <c r="HN505" s="707"/>
      <c r="HO505" s="707"/>
      <c r="HP505" s="707"/>
      <c r="HQ505" s="707"/>
      <c r="HR505" s="707"/>
      <c r="HS505" s="707"/>
      <c r="HT505" s="707"/>
      <c r="HU505" s="707"/>
      <c r="HV505" s="707"/>
      <c r="HW505" s="707"/>
      <c r="HX505" s="707"/>
      <c r="HY505" s="707"/>
      <c r="HZ505" s="707"/>
      <c r="IA505" s="707"/>
      <c r="IB505" s="707"/>
      <c r="IC505" s="707"/>
      <c r="ID505" s="707"/>
      <c r="IE505" s="707"/>
      <c r="IF505" s="707"/>
      <c r="IG505" s="707"/>
      <c r="IH505" s="707"/>
      <c r="II505" s="707"/>
      <c r="IJ505" s="707"/>
      <c r="IK505" s="707"/>
      <c r="IL505" s="707"/>
      <c r="IM505" s="707"/>
      <c r="IN505" s="707"/>
      <c r="IO505" s="707"/>
      <c r="IP505" s="707"/>
      <c r="IQ505" s="707"/>
      <c r="IR505" s="707"/>
      <c r="IS505" s="707"/>
      <c r="IT505" s="707"/>
      <c r="IU505" s="707"/>
      <c r="IV505" s="707"/>
      <c r="IW505" s="707"/>
    </row>
    <row r="506" customFormat="false" ht="12.75" hidden="false" customHeight="false" outlineLevel="0" collapsed="false">
      <c r="A506" s="724"/>
      <c r="B506" s="725"/>
      <c r="C506" s="725"/>
      <c r="D506" s="725"/>
      <c r="E506" s="713"/>
      <c r="F506" s="713"/>
      <c r="G506" s="713"/>
      <c r="H506" s="713"/>
      <c r="I506" s="713"/>
      <c r="J506" s="713"/>
      <c r="K506" s="713"/>
      <c r="L506" s="713"/>
      <c r="M506" s="713"/>
      <c r="N506" s="713"/>
      <c r="O506" s="713"/>
      <c r="P506" s="713"/>
      <c r="Q506" s="713"/>
      <c r="R506" s="713"/>
      <c r="S506" s="713"/>
      <c r="T506" s="713"/>
      <c r="U506" s="713"/>
      <c r="V506" s="713"/>
      <c r="W506" s="713"/>
      <c r="X506" s="713"/>
      <c r="Y506" s="713"/>
      <c r="Z506" s="713"/>
      <c r="AA506" s="722"/>
      <c r="AB506" s="722"/>
      <c r="AC506" s="722"/>
      <c r="AD506" s="722"/>
      <c r="AE506" s="722"/>
      <c r="AF506" s="722"/>
      <c r="AG506" s="722"/>
      <c r="AH506" s="722"/>
      <c r="AI506" s="722"/>
      <c r="AJ506" s="722"/>
      <c r="AK506" s="722"/>
      <c r="AL506" s="722"/>
      <c r="AM506" s="722"/>
      <c r="AN506" s="722"/>
      <c r="AO506" s="722"/>
      <c r="AP506" s="722"/>
      <c r="AQ506" s="722"/>
      <c r="AR506" s="722"/>
      <c r="AS506" s="722"/>
      <c r="AT506" s="722"/>
      <c r="AU506" s="722"/>
      <c r="AV506" s="722"/>
      <c r="AW506" s="722"/>
      <c r="AX506" s="722"/>
      <c r="AY506" s="722"/>
      <c r="AZ506" s="722"/>
      <c r="BA506" s="722"/>
      <c r="BB506" s="722"/>
      <c r="BC506" s="722"/>
      <c r="BD506" s="722"/>
      <c r="BE506" s="722"/>
      <c r="BF506" s="722"/>
      <c r="BG506" s="722"/>
      <c r="BH506" s="722"/>
      <c r="BI506" s="722"/>
      <c r="BJ506" s="722"/>
      <c r="BK506" s="722"/>
      <c r="BL506" s="722"/>
      <c r="BM506" s="722"/>
      <c r="BN506" s="722"/>
      <c r="BO506" s="722"/>
      <c r="BP506" s="722"/>
      <c r="BQ506" s="722"/>
      <c r="BR506" s="722"/>
      <c r="BS506" s="722"/>
      <c r="BT506" s="722"/>
      <c r="BU506" s="722"/>
      <c r="BV506" s="722"/>
      <c r="BW506" s="722"/>
      <c r="BX506" s="722"/>
      <c r="BY506" s="722"/>
      <c r="BZ506" s="722"/>
      <c r="CA506" s="722"/>
      <c r="CB506" s="722"/>
      <c r="CC506" s="722"/>
      <c r="CD506" s="722"/>
      <c r="CE506" s="722"/>
      <c r="CF506" s="722"/>
      <c r="CG506" s="722"/>
      <c r="CH506" s="722"/>
      <c r="CI506" s="722"/>
      <c r="CJ506" s="722"/>
      <c r="CK506" s="722"/>
      <c r="CL506" s="722"/>
      <c r="CM506" s="722"/>
      <c r="CN506" s="722"/>
      <c r="CO506" s="722"/>
      <c r="CP506" s="722"/>
      <c r="CQ506" s="722"/>
      <c r="CR506" s="722"/>
      <c r="CS506" s="722"/>
      <c r="CT506" s="722"/>
      <c r="CU506" s="722"/>
      <c r="CV506" s="722"/>
      <c r="CW506" s="722"/>
      <c r="CX506" s="722"/>
      <c r="CY506" s="722"/>
      <c r="CZ506" s="722"/>
      <c r="DA506" s="722"/>
      <c r="DB506" s="722"/>
      <c r="DC506" s="722"/>
      <c r="DD506" s="722"/>
      <c r="DE506" s="722"/>
      <c r="DF506" s="722"/>
      <c r="DG506" s="722"/>
      <c r="DH506" s="722"/>
      <c r="DI506" s="722"/>
      <c r="DJ506" s="722"/>
      <c r="DK506" s="722"/>
      <c r="DL506" s="722"/>
      <c r="DM506" s="722"/>
      <c r="DN506" s="722"/>
      <c r="DO506" s="722"/>
      <c r="DP506" s="722"/>
      <c r="DQ506" s="722"/>
      <c r="DR506" s="722"/>
      <c r="DS506" s="722"/>
      <c r="DT506" s="722"/>
      <c r="DU506" s="722"/>
      <c r="DV506" s="722"/>
      <c r="DW506" s="722"/>
      <c r="DX506" s="722"/>
      <c r="DY506" s="722"/>
      <c r="DZ506" s="722"/>
      <c r="EA506" s="722"/>
      <c r="EB506" s="722"/>
      <c r="EC506" s="722"/>
      <c r="ED506" s="722"/>
      <c r="EE506" s="722"/>
      <c r="EF506" s="722"/>
      <c r="EG506" s="722"/>
      <c r="EH506" s="722"/>
      <c r="EI506" s="722"/>
      <c r="EJ506" s="722"/>
      <c r="EK506" s="722"/>
      <c r="EL506" s="722"/>
      <c r="EM506" s="722"/>
      <c r="EN506" s="722"/>
      <c r="EO506" s="722"/>
      <c r="EP506" s="722"/>
      <c r="EQ506" s="722"/>
      <c r="ER506" s="722"/>
      <c r="ES506" s="722"/>
      <c r="ET506" s="722"/>
      <c r="EU506" s="722"/>
      <c r="EV506" s="722"/>
      <c r="EW506" s="722"/>
      <c r="EX506" s="722"/>
      <c r="EY506" s="722"/>
      <c r="EZ506" s="722"/>
      <c r="FA506" s="722"/>
      <c r="FB506" s="722"/>
      <c r="FC506" s="722"/>
      <c r="FD506" s="722"/>
      <c r="FE506" s="722"/>
      <c r="FF506" s="722"/>
      <c r="FG506" s="722"/>
      <c r="FH506" s="722"/>
      <c r="FI506" s="722"/>
      <c r="FJ506" s="722"/>
      <c r="FK506" s="722"/>
      <c r="FL506" s="722"/>
      <c r="FM506" s="722"/>
      <c r="FN506" s="722"/>
      <c r="FO506" s="722"/>
      <c r="FP506" s="722"/>
      <c r="FQ506" s="722"/>
      <c r="FR506" s="722"/>
      <c r="FS506" s="722"/>
      <c r="FT506" s="722"/>
      <c r="FU506" s="722"/>
      <c r="FV506" s="722"/>
      <c r="FW506" s="722"/>
      <c r="FX506" s="722"/>
      <c r="FY506" s="722"/>
      <c r="FZ506" s="722"/>
      <c r="GA506" s="722"/>
      <c r="GB506" s="722"/>
      <c r="GC506" s="722"/>
      <c r="GD506" s="722"/>
      <c r="GE506" s="722"/>
      <c r="GF506" s="722"/>
      <c r="GG506" s="722"/>
      <c r="GH506" s="722"/>
      <c r="GI506" s="722"/>
      <c r="GJ506" s="722"/>
      <c r="GK506" s="722"/>
      <c r="GL506" s="722"/>
      <c r="GM506" s="722"/>
      <c r="GN506" s="722"/>
      <c r="GO506" s="722"/>
      <c r="GP506" s="722"/>
      <c r="GQ506" s="722"/>
      <c r="GR506" s="722"/>
      <c r="GS506" s="722"/>
      <c r="GT506" s="722"/>
      <c r="GU506" s="722"/>
      <c r="GV506" s="722"/>
      <c r="GW506" s="722"/>
      <c r="GX506" s="722"/>
      <c r="GY506" s="722"/>
      <c r="GZ506" s="722"/>
      <c r="HA506" s="722"/>
      <c r="HB506" s="722"/>
      <c r="HC506" s="722"/>
      <c r="HD506" s="722"/>
      <c r="HE506" s="722"/>
      <c r="HF506" s="722"/>
      <c r="HG506" s="722"/>
      <c r="HH506" s="722"/>
      <c r="HI506" s="722"/>
      <c r="HJ506" s="722"/>
      <c r="HK506" s="722"/>
      <c r="HL506" s="722"/>
      <c r="HM506" s="722"/>
      <c r="HN506" s="722"/>
      <c r="HO506" s="722"/>
      <c r="HP506" s="722"/>
      <c r="HQ506" s="722"/>
      <c r="HR506" s="722"/>
      <c r="HS506" s="722"/>
      <c r="HT506" s="722"/>
      <c r="HU506" s="722"/>
      <c r="HV506" s="722"/>
      <c r="HW506" s="722"/>
      <c r="HX506" s="722"/>
      <c r="HY506" s="722"/>
      <c r="HZ506" s="722"/>
      <c r="IA506" s="722"/>
      <c r="IB506" s="722"/>
      <c r="IC506" s="722"/>
      <c r="ID506" s="722"/>
      <c r="IE506" s="722"/>
      <c r="IF506" s="722"/>
      <c r="IG506" s="722"/>
      <c r="IH506" s="722"/>
      <c r="II506" s="722"/>
      <c r="IJ506" s="722"/>
      <c r="IK506" s="722"/>
      <c r="IL506" s="722"/>
      <c r="IM506" s="722"/>
      <c r="IN506" s="722"/>
      <c r="IO506" s="722"/>
      <c r="IP506" s="722"/>
      <c r="IQ506" s="722"/>
      <c r="IR506" s="722"/>
      <c r="IS506" s="722"/>
      <c r="IT506" s="722"/>
      <c r="IU506" s="722"/>
      <c r="IV506" s="722"/>
      <c r="IW506" s="722"/>
    </row>
    <row r="507" customFormat="false" ht="12.75" hidden="false" customHeight="false" outlineLevel="0" collapsed="false">
      <c r="A507" s="367"/>
      <c r="B507" s="706"/>
      <c r="C507" s="706"/>
      <c r="D507" s="706"/>
      <c r="E507" s="713"/>
      <c r="F507" s="713"/>
      <c r="G507" s="713"/>
      <c r="H507" s="713"/>
      <c r="I507" s="713"/>
      <c r="J507" s="713"/>
      <c r="K507" s="713"/>
      <c r="L507" s="713"/>
      <c r="M507" s="713"/>
      <c r="N507" s="713"/>
      <c r="O507" s="713"/>
      <c r="P507" s="713"/>
      <c r="Q507" s="713"/>
      <c r="R507" s="713"/>
      <c r="S507" s="713"/>
      <c r="T507" s="713"/>
      <c r="U507" s="713"/>
      <c r="V507" s="713"/>
      <c r="W507" s="713"/>
      <c r="X507" s="713"/>
      <c r="Y507" s="713"/>
      <c r="Z507" s="713"/>
      <c r="AA507" s="707"/>
      <c r="AB507" s="707"/>
      <c r="AC507" s="707"/>
      <c r="AD507" s="707"/>
      <c r="AE507" s="707"/>
      <c r="AF507" s="707"/>
      <c r="AG507" s="707"/>
      <c r="AH507" s="707"/>
      <c r="AI507" s="707"/>
      <c r="AJ507" s="707"/>
      <c r="AK507" s="707"/>
      <c r="AL507" s="707"/>
      <c r="AM507" s="707"/>
      <c r="AN507" s="707"/>
      <c r="AO507" s="707"/>
      <c r="AP507" s="707"/>
      <c r="AQ507" s="707"/>
      <c r="AR507" s="707"/>
      <c r="AS507" s="707"/>
      <c r="AT507" s="707"/>
      <c r="AU507" s="707"/>
      <c r="AV507" s="707"/>
      <c r="AW507" s="707"/>
      <c r="AX507" s="707"/>
      <c r="AY507" s="707"/>
      <c r="AZ507" s="707"/>
      <c r="BA507" s="707"/>
      <c r="BB507" s="707"/>
      <c r="BC507" s="707"/>
      <c r="BD507" s="707"/>
      <c r="BE507" s="707"/>
      <c r="BF507" s="707"/>
      <c r="BG507" s="707"/>
      <c r="BH507" s="707"/>
      <c r="BI507" s="707"/>
      <c r="BJ507" s="707"/>
      <c r="BK507" s="707"/>
      <c r="BL507" s="707"/>
      <c r="BM507" s="707"/>
      <c r="BN507" s="707"/>
      <c r="BO507" s="707"/>
      <c r="BP507" s="707"/>
      <c r="BQ507" s="707"/>
      <c r="BR507" s="707"/>
      <c r="BS507" s="707"/>
      <c r="BT507" s="707"/>
      <c r="BU507" s="707"/>
      <c r="BV507" s="707"/>
      <c r="BW507" s="707"/>
      <c r="BX507" s="707"/>
      <c r="BY507" s="707"/>
      <c r="BZ507" s="707"/>
      <c r="CA507" s="707"/>
      <c r="CB507" s="707"/>
      <c r="CC507" s="707"/>
      <c r="CD507" s="707"/>
      <c r="CE507" s="707"/>
      <c r="CF507" s="707"/>
      <c r="CG507" s="707"/>
      <c r="CH507" s="707"/>
      <c r="CI507" s="707"/>
      <c r="CJ507" s="707"/>
      <c r="CK507" s="707"/>
      <c r="CL507" s="707"/>
      <c r="CM507" s="707"/>
      <c r="CN507" s="707"/>
      <c r="CO507" s="707"/>
      <c r="CP507" s="707"/>
      <c r="CQ507" s="707"/>
      <c r="CR507" s="707"/>
      <c r="CS507" s="707"/>
      <c r="CT507" s="707"/>
      <c r="CU507" s="707"/>
      <c r="CV507" s="707"/>
      <c r="CW507" s="707"/>
      <c r="CX507" s="707"/>
      <c r="CY507" s="707"/>
      <c r="CZ507" s="707"/>
      <c r="DA507" s="707"/>
      <c r="DB507" s="707"/>
      <c r="DC507" s="707"/>
      <c r="DD507" s="707"/>
      <c r="DE507" s="707"/>
      <c r="DF507" s="707"/>
      <c r="DG507" s="707"/>
      <c r="DH507" s="707"/>
      <c r="DI507" s="707"/>
      <c r="DJ507" s="707"/>
      <c r="DK507" s="707"/>
      <c r="DL507" s="707"/>
      <c r="DM507" s="707"/>
      <c r="DN507" s="707"/>
      <c r="DO507" s="707"/>
      <c r="DP507" s="707"/>
      <c r="DQ507" s="707"/>
      <c r="DR507" s="707"/>
      <c r="DS507" s="707"/>
      <c r="DT507" s="707"/>
      <c r="DU507" s="707"/>
      <c r="DV507" s="707"/>
      <c r="DW507" s="707"/>
      <c r="DX507" s="707"/>
      <c r="DY507" s="707"/>
      <c r="DZ507" s="707"/>
      <c r="EA507" s="707"/>
      <c r="EB507" s="707"/>
      <c r="EC507" s="707"/>
      <c r="ED507" s="707"/>
      <c r="EE507" s="707"/>
      <c r="EF507" s="707"/>
      <c r="EG507" s="707"/>
      <c r="EH507" s="707"/>
      <c r="EI507" s="707"/>
      <c r="EJ507" s="707"/>
      <c r="EK507" s="707"/>
      <c r="EL507" s="707"/>
      <c r="EM507" s="707"/>
      <c r="EN507" s="707"/>
      <c r="EO507" s="707"/>
      <c r="EP507" s="707"/>
      <c r="EQ507" s="707"/>
      <c r="ER507" s="707"/>
      <c r="ES507" s="707"/>
      <c r="ET507" s="707"/>
      <c r="EU507" s="707"/>
      <c r="EV507" s="707"/>
      <c r="EW507" s="707"/>
      <c r="EX507" s="707"/>
      <c r="EY507" s="707"/>
      <c r="EZ507" s="707"/>
      <c r="FA507" s="707"/>
      <c r="FB507" s="707"/>
      <c r="FC507" s="707"/>
      <c r="FD507" s="707"/>
      <c r="FE507" s="707"/>
      <c r="FF507" s="707"/>
      <c r="FG507" s="707"/>
      <c r="FH507" s="707"/>
      <c r="FI507" s="707"/>
      <c r="FJ507" s="707"/>
      <c r="FK507" s="707"/>
      <c r="FL507" s="707"/>
      <c r="FM507" s="707"/>
      <c r="FN507" s="707"/>
      <c r="FO507" s="707"/>
      <c r="FP507" s="707"/>
      <c r="FQ507" s="707"/>
      <c r="FR507" s="707"/>
      <c r="FS507" s="707"/>
      <c r="FT507" s="707"/>
      <c r="FU507" s="707"/>
      <c r="FV507" s="707"/>
      <c r="FW507" s="707"/>
      <c r="FX507" s="707"/>
      <c r="FY507" s="707"/>
      <c r="FZ507" s="707"/>
      <c r="GA507" s="707"/>
      <c r="GB507" s="707"/>
      <c r="GC507" s="707"/>
      <c r="GD507" s="707"/>
      <c r="GE507" s="707"/>
      <c r="GF507" s="707"/>
      <c r="GG507" s="707"/>
      <c r="GH507" s="707"/>
      <c r="GI507" s="707"/>
      <c r="GJ507" s="707"/>
      <c r="GK507" s="707"/>
      <c r="GL507" s="707"/>
      <c r="GM507" s="707"/>
      <c r="GN507" s="707"/>
      <c r="GO507" s="707"/>
      <c r="GP507" s="707"/>
      <c r="GQ507" s="707"/>
      <c r="GR507" s="707"/>
      <c r="GS507" s="707"/>
      <c r="GT507" s="707"/>
      <c r="GU507" s="707"/>
      <c r="GV507" s="707"/>
      <c r="GW507" s="707"/>
      <c r="GX507" s="707"/>
      <c r="GY507" s="707"/>
      <c r="GZ507" s="707"/>
      <c r="HA507" s="707"/>
      <c r="HB507" s="707"/>
      <c r="HC507" s="707"/>
      <c r="HD507" s="707"/>
      <c r="HE507" s="707"/>
      <c r="HF507" s="707"/>
      <c r="HG507" s="707"/>
      <c r="HH507" s="707"/>
      <c r="HI507" s="707"/>
      <c r="HJ507" s="707"/>
      <c r="HK507" s="707"/>
      <c r="HL507" s="707"/>
      <c r="HM507" s="707"/>
      <c r="HN507" s="707"/>
      <c r="HO507" s="707"/>
      <c r="HP507" s="707"/>
      <c r="HQ507" s="707"/>
      <c r="HR507" s="707"/>
      <c r="HS507" s="707"/>
      <c r="HT507" s="707"/>
      <c r="HU507" s="707"/>
      <c r="HV507" s="707"/>
      <c r="HW507" s="707"/>
      <c r="HX507" s="707"/>
      <c r="HY507" s="707"/>
      <c r="HZ507" s="707"/>
      <c r="IA507" s="707"/>
      <c r="IB507" s="707"/>
      <c r="IC507" s="707"/>
      <c r="ID507" s="707"/>
      <c r="IE507" s="707"/>
      <c r="IF507" s="707"/>
      <c r="IG507" s="707"/>
      <c r="IH507" s="707"/>
      <c r="II507" s="707"/>
      <c r="IJ507" s="707"/>
      <c r="IK507" s="707"/>
      <c r="IL507" s="707"/>
      <c r="IM507" s="707"/>
      <c r="IN507" s="707"/>
      <c r="IO507" s="707"/>
      <c r="IP507" s="707"/>
      <c r="IQ507" s="707"/>
      <c r="IR507" s="707"/>
      <c r="IS507" s="707"/>
      <c r="IT507" s="707"/>
      <c r="IU507" s="707"/>
      <c r="IV507" s="707"/>
      <c r="IW507" s="707"/>
    </row>
    <row r="508" customFormat="false" ht="12.75" hidden="false" customHeight="false" outlineLevel="0" collapsed="false">
      <c r="A508" s="681"/>
      <c r="B508" s="706"/>
      <c r="C508" s="706"/>
      <c r="D508" s="706"/>
      <c r="E508" s="713"/>
      <c r="F508" s="713"/>
      <c r="G508" s="713"/>
      <c r="H508" s="713"/>
      <c r="I508" s="713"/>
      <c r="J508" s="713"/>
      <c r="K508" s="713"/>
      <c r="L508" s="713"/>
      <c r="M508" s="713"/>
      <c r="N508" s="713"/>
      <c r="O508" s="713"/>
      <c r="P508" s="713"/>
      <c r="Q508" s="713"/>
      <c r="R508" s="713"/>
      <c r="S508" s="713"/>
      <c r="T508" s="713"/>
      <c r="U508" s="713"/>
      <c r="V508" s="713"/>
      <c r="W508" s="713"/>
      <c r="X508" s="713"/>
      <c r="Y508" s="713"/>
      <c r="Z508" s="713"/>
      <c r="AA508" s="707"/>
      <c r="AB508" s="707"/>
      <c r="AC508" s="707"/>
      <c r="AD508" s="707"/>
      <c r="AE508" s="707"/>
      <c r="AF508" s="707"/>
      <c r="AG508" s="707"/>
      <c r="AH508" s="707"/>
      <c r="AI508" s="707"/>
      <c r="AJ508" s="707"/>
      <c r="AK508" s="707"/>
      <c r="AL508" s="707"/>
      <c r="AM508" s="707"/>
      <c r="AN508" s="707"/>
      <c r="AO508" s="707"/>
      <c r="AP508" s="707"/>
      <c r="AQ508" s="707"/>
      <c r="AR508" s="707"/>
      <c r="AS508" s="707"/>
      <c r="AT508" s="707"/>
      <c r="AU508" s="707"/>
      <c r="AV508" s="707"/>
      <c r="AW508" s="707"/>
      <c r="AX508" s="707"/>
      <c r="AY508" s="707"/>
      <c r="AZ508" s="707"/>
      <c r="BA508" s="707"/>
      <c r="BB508" s="707"/>
      <c r="BC508" s="707"/>
      <c r="BD508" s="707"/>
      <c r="BE508" s="707"/>
      <c r="BF508" s="707"/>
      <c r="BG508" s="707"/>
      <c r="BH508" s="707"/>
      <c r="BI508" s="707"/>
      <c r="BJ508" s="707"/>
      <c r="BK508" s="707"/>
      <c r="BL508" s="707"/>
      <c r="BM508" s="707"/>
      <c r="BN508" s="707"/>
      <c r="BO508" s="707"/>
      <c r="BP508" s="707"/>
      <c r="BQ508" s="707"/>
      <c r="BR508" s="707"/>
      <c r="BS508" s="707"/>
      <c r="BT508" s="707"/>
      <c r="BU508" s="707"/>
      <c r="BV508" s="707"/>
      <c r="BW508" s="707"/>
      <c r="BX508" s="707"/>
      <c r="BY508" s="707"/>
      <c r="BZ508" s="707"/>
      <c r="CA508" s="707"/>
      <c r="CB508" s="707"/>
      <c r="CC508" s="707"/>
      <c r="CD508" s="707"/>
      <c r="CE508" s="707"/>
      <c r="CF508" s="707"/>
      <c r="CG508" s="707"/>
      <c r="CH508" s="707"/>
      <c r="CI508" s="707"/>
      <c r="CJ508" s="707"/>
      <c r="CK508" s="707"/>
      <c r="CL508" s="707"/>
      <c r="CM508" s="707"/>
      <c r="CN508" s="707"/>
      <c r="CO508" s="707"/>
      <c r="CP508" s="707"/>
      <c r="CQ508" s="707"/>
      <c r="CR508" s="707"/>
      <c r="CS508" s="707"/>
      <c r="CT508" s="707"/>
      <c r="CU508" s="707"/>
      <c r="CV508" s="707"/>
      <c r="CW508" s="707"/>
      <c r="CX508" s="707"/>
      <c r="CY508" s="707"/>
      <c r="CZ508" s="707"/>
      <c r="DA508" s="707"/>
      <c r="DB508" s="707"/>
      <c r="DC508" s="707"/>
      <c r="DD508" s="707"/>
      <c r="DE508" s="707"/>
      <c r="DF508" s="707"/>
      <c r="DG508" s="707"/>
      <c r="DH508" s="707"/>
      <c r="DI508" s="707"/>
      <c r="DJ508" s="707"/>
      <c r="DK508" s="707"/>
      <c r="DL508" s="707"/>
      <c r="DM508" s="707"/>
      <c r="DN508" s="707"/>
      <c r="DO508" s="707"/>
      <c r="DP508" s="707"/>
      <c r="DQ508" s="707"/>
      <c r="DR508" s="707"/>
      <c r="DS508" s="707"/>
      <c r="DT508" s="707"/>
      <c r="DU508" s="707"/>
      <c r="DV508" s="707"/>
      <c r="DW508" s="707"/>
      <c r="DX508" s="707"/>
      <c r="DY508" s="707"/>
      <c r="DZ508" s="707"/>
      <c r="EA508" s="707"/>
      <c r="EB508" s="707"/>
      <c r="EC508" s="707"/>
      <c r="ED508" s="707"/>
      <c r="EE508" s="707"/>
      <c r="EF508" s="707"/>
      <c r="EG508" s="707"/>
      <c r="EH508" s="707"/>
      <c r="EI508" s="707"/>
      <c r="EJ508" s="707"/>
      <c r="EK508" s="707"/>
      <c r="EL508" s="707"/>
      <c r="EM508" s="707"/>
      <c r="EN508" s="707"/>
      <c r="EO508" s="707"/>
      <c r="EP508" s="707"/>
      <c r="EQ508" s="707"/>
      <c r="ER508" s="707"/>
      <c r="ES508" s="707"/>
      <c r="ET508" s="707"/>
      <c r="EU508" s="707"/>
      <c r="EV508" s="707"/>
      <c r="EW508" s="707"/>
      <c r="EX508" s="707"/>
      <c r="EY508" s="707"/>
      <c r="EZ508" s="707"/>
      <c r="FA508" s="707"/>
      <c r="FB508" s="707"/>
      <c r="FC508" s="707"/>
      <c r="FD508" s="707"/>
      <c r="FE508" s="707"/>
      <c r="FF508" s="707"/>
      <c r="FG508" s="707"/>
      <c r="FH508" s="707"/>
      <c r="FI508" s="707"/>
      <c r="FJ508" s="707"/>
      <c r="FK508" s="707"/>
      <c r="FL508" s="707"/>
      <c r="FM508" s="707"/>
      <c r="FN508" s="707"/>
      <c r="FO508" s="707"/>
      <c r="FP508" s="707"/>
      <c r="FQ508" s="707"/>
      <c r="FR508" s="707"/>
      <c r="FS508" s="707"/>
      <c r="FT508" s="707"/>
      <c r="FU508" s="707"/>
      <c r="FV508" s="707"/>
      <c r="FW508" s="707"/>
      <c r="FX508" s="707"/>
      <c r="FY508" s="707"/>
      <c r="FZ508" s="707"/>
      <c r="GA508" s="707"/>
      <c r="GB508" s="707"/>
      <c r="GC508" s="707"/>
      <c r="GD508" s="707"/>
      <c r="GE508" s="707"/>
      <c r="GF508" s="707"/>
      <c r="GG508" s="707"/>
      <c r="GH508" s="707"/>
      <c r="GI508" s="707"/>
      <c r="GJ508" s="707"/>
      <c r="GK508" s="707"/>
      <c r="GL508" s="707"/>
      <c r="GM508" s="707"/>
      <c r="GN508" s="707"/>
      <c r="GO508" s="707"/>
      <c r="GP508" s="707"/>
      <c r="GQ508" s="707"/>
      <c r="GR508" s="707"/>
      <c r="GS508" s="707"/>
      <c r="GT508" s="707"/>
      <c r="GU508" s="707"/>
      <c r="GV508" s="707"/>
      <c r="GW508" s="707"/>
      <c r="GX508" s="707"/>
      <c r="GY508" s="707"/>
      <c r="GZ508" s="707"/>
      <c r="HA508" s="707"/>
      <c r="HB508" s="707"/>
      <c r="HC508" s="707"/>
      <c r="HD508" s="707"/>
      <c r="HE508" s="707"/>
      <c r="HF508" s="707"/>
      <c r="HG508" s="707"/>
      <c r="HH508" s="707"/>
      <c r="HI508" s="707"/>
      <c r="HJ508" s="707"/>
      <c r="HK508" s="707"/>
      <c r="HL508" s="707"/>
      <c r="HM508" s="707"/>
      <c r="HN508" s="707"/>
      <c r="HO508" s="707"/>
      <c r="HP508" s="707"/>
      <c r="HQ508" s="707"/>
      <c r="HR508" s="707"/>
      <c r="HS508" s="707"/>
      <c r="HT508" s="707"/>
      <c r="HU508" s="707"/>
      <c r="HV508" s="707"/>
      <c r="HW508" s="707"/>
      <c r="HX508" s="707"/>
      <c r="HY508" s="707"/>
      <c r="HZ508" s="707"/>
      <c r="IA508" s="707"/>
      <c r="IB508" s="707"/>
      <c r="IC508" s="707"/>
      <c r="ID508" s="707"/>
      <c r="IE508" s="707"/>
      <c r="IF508" s="707"/>
      <c r="IG508" s="707"/>
      <c r="IH508" s="707"/>
      <c r="II508" s="707"/>
      <c r="IJ508" s="707"/>
      <c r="IK508" s="707"/>
      <c r="IL508" s="707"/>
      <c r="IM508" s="707"/>
      <c r="IN508" s="707"/>
      <c r="IO508" s="707"/>
      <c r="IP508" s="707"/>
      <c r="IQ508" s="707"/>
      <c r="IR508" s="707"/>
      <c r="IS508" s="707"/>
      <c r="IT508" s="707"/>
      <c r="IU508" s="707"/>
      <c r="IV508" s="707"/>
      <c r="IW508" s="707"/>
    </row>
    <row r="509" customFormat="false" ht="12.75" hidden="false" customHeight="false" outlineLevel="0" collapsed="false">
      <c r="A509" s="681"/>
      <c r="B509" s="706"/>
      <c r="C509" s="706"/>
      <c r="D509" s="706"/>
      <c r="E509" s="713"/>
      <c r="F509" s="713"/>
      <c r="G509" s="713"/>
      <c r="H509" s="713"/>
      <c r="I509" s="713"/>
      <c r="J509" s="713"/>
      <c r="K509" s="713"/>
      <c r="L509" s="713"/>
      <c r="M509" s="713"/>
      <c r="N509" s="713"/>
      <c r="O509" s="713"/>
      <c r="P509" s="713"/>
      <c r="Q509" s="713"/>
      <c r="R509" s="713"/>
      <c r="S509" s="713"/>
      <c r="T509" s="713"/>
      <c r="U509" s="713"/>
      <c r="V509" s="713"/>
      <c r="W509" s="713"/>
      <c r="X509" s="713"/>
      <c r="Y509" s="713"/>
      <c r="Z509" s="713"/>
      <c r="AA509" s="707"/>
      <c r="AB509" s="707"/>
      <c r="AC509" s="707"/>
      <c r="AD509" s="707"/>
      <c r="AE509" s="707"/>
      <c r="AF509" s="707"/>
      <c r="AG509" s="707"/>
      <c r="AH509" s="707"/>
      <c r="AI509" s="707"/>
      <c r="AJ509" s="707"/>
      <c r="AK509" s="707"/>
      <c r="AL509" s="707"/>
      <c r="AM509" s="707"/>
      <c r="AN509" s="707"/>
      <c r="AO509" s="707"/>
      <c r="AP509" s="707"/>
      <c r="AQ509" s="707"/>
      <c r="AR509" s="707"/>
      <c r="AS509" s="707"/>
      <c r="AT509" s="707"/>
      <c r="AU509" s="707"/>
      <c r="AV509" s="707"/>
      <c r="AW509" s="707"/>
      <c r="AX509" s="707"/>
      <c r="AY509" s="707"/>
      <c r="AZ509" s="707"/>
      <c r="BA509" s="707"/>
      <c r="BB509" s="707"/>
      <c r="BC509" s="707"/>
      <c r="BD509" s="707"/>
      <c r="BE509" s="707"/>
      <c r="BF509" s="707"/>
      <c r="BG509" s="707"/>
      <c r="BH509" s="707"/>
      <c r="BI509" s="707"/>
      <c r="BJ509" s="707"/>
      <c r="BK509" s="707"/>
      <c r="BL509" s="707"/>
      <c r="BM509" s="707"/>
      <c r="BN509" s="707"/>
      <c r="BO509" s="707"/>
      <c r="BP509" s="707"/>
      <c r="BQ509" s="707"/>
      <c r="BR509" s="707"/>
      <c r="BS509" s="707"/>
      <c r="BT509" s="707"/>
      <c r="BU509" s="707"/>
      <c r="BV509" s="707"/>
      <c r="BW509" s="707"/>
      <c r="BX509" s="707"/>
      <c r="BY509" s="707"/>
      <c r="BZ509" s="707"/>
      <c r="CA509" s="707"/>
      <c r="CB509" s="707"/>
      <c r="CC509" s="707"/>
      <c r="CD509" s="707"/>
      <c r="CE509" s="707"/>
      <c r="CF509" s="707"/>
      <c r="CG509" s="707"/>
      <c r="CH509" s="707"/>
      <c r="CI509" s="707"/>
      <c r="CJ509" s="707"/>
      <c r="CK509" s="707"/>
      <c r="CL509" s="707"/>
      <c r="CM509" s="707"/>
      <c r="CN509" s="707"/>
      <c r="CO509" s="707"/>
      <c r="CP509" s="707"/>
      <c r="CQ509" s="707"/>
      <c r="CR509" s="707"/>
      <c r="CS509" s="707"/>
      <c r="CT509" s="707"/>
      <c r="CU509" s="707"/>
      <c r="CV509" s="707"/>
      <c r="CW509" s="707"/>
      <c r="CX509" s="707"/>
      <c r="CY509" s="707"/>
      <c r="CZ509" s="707"/>
      <c r="DA509" s="707"/>
      <c r="DB509" s="707"/>
      <c r="DC509" s="707"/>
      <c r="DD509" s="707"/>
      <c r="DE509" s="707"/>
      <c r="DF509" s="707"/>
      <c r="DG509" s="707"/>
      <c r="DH509" s="707"/>
      <c r="DI509" s="707"/>
      <c r="DJ509" s="707"/>
      <c r="DK509" s="707"/>
      <c r="DL509" s="707"/>
      <c r="DM509" s="707"/>
      <c r="DN509" s="707"/>
      <c r="DO509" s="707"/>
      <c r="DP509" s="707"/>
      <c r="DQ509" s="707"/>
      <c r="DR509" s="707"/>
      <c r="DS509" s="707"/>
      <c r="DT509" s="707"/>
      <c r="DU509" s="707"/>
      <c r="DV509" s="707"/>
      <c r="DW509" s="707"/>
      <c r="DX509" s="707"/>
      <c r="DY509" s="707"/>
      <c r="DZ509" s="707"/>
      <c r="EA509" s="707"/>
      <c r="EB509" s="707"/>
      <c r="EC509" s="707"/>
      <c r="ED509" s="707"/>
      <c r="EE509" s="707"/>
      <c r="EF509" s="707"/>
      <c r="EG509" s="707"/>
      <c r="EH509" s="707"/>
      <c r="EI509" s="707"/>
      <c r="EJ509" s="707"/>
      <c r="EK509" s="707"/>
      <c r="EL509" s="707"/>
      <c r="EM509" s="707"/>
      <c r="EN509" s="707"/>
      <c r="EO509" s="707"/>
      <c r="EP509" s="707"/>
      <c r="EQ509" s="707"/>
      <c r="ER509" s="707"/>
      <c r="ES509" s="707"/>
      <c r="ET509" s="707"/>
      <c r="EU509" s="707"/>
      <c r="EV509" s="707"/>
      <c r="EW509" s="707"/>
      <c r="EX509" s="707"/>
      <c r="EY509" s="707"/>
      <c r="EZ509" s="707"/>
      <c r="FA509" s="707"/>
      <c r="FB509" s="707"/>
      <c r="FC509" s="707"/>
      <c r="FD509" s="707"/>
      <c r="FE509" s="707"/>
      <c r="FF509" s="707"/>
      <c r="FG509" s="707"/>
      <c r="FH509" s="707"/>
      <c r="FI509" s="707"/>
      <c r="FJ509" s="707"/>
      <c r="FK509" s="707"/>
      <c r="FL509" s="707"/>
      <c r="FM509" s="707"/>
      <c r="FN509" s="707"/>
      <c r="FO509" s="707"/>
      <c r="FP509" s="707"/>
      <c r="FQ509" s="707"/>
      <c r="FR509" s="707"/>
      <c r="FS509" s="707"/>
      <c r="FT509" s="707"/>
      <c r="FU509" s="707"/>
      <c r="FV509" s="707"/>
      <c r="FW509" s="707"/>
      <c r="FX509" s="707"/>
      <c r="FY509" s="707"/>
      <c r="FZ509" s="707"/>
      <c r="GA509" s="707"/>
      <c r="GB509" s="707"/>
      <c r="GC509" s="707"/>
      <c r="GD509" s="707"/>
      <c r="GE509" s="707"/>
      <c r="GF509" s="707"/>
      <c r="GG509" s="707"/>
      <c r="GH509" s="707"/>
      <c r="GI509" s="707"/>
      <c r="GJ509" s="707"/>
      <c r="GK509" s="707"/>
      <c r="GL509" s="707"/>
      <c r="GM509" s="707"/>
      <c r="GN509" s="707"/>
      <c r="GO509" s="707"/>
      <c r="GP509" s="707"/>
      <c r="GQ509" s="707"/>
      <c r="GR509" s="707"/>
      <c r="GS509" s="707"/>
      <c r="GT509" s="707"/>
      <c r="GU509" s="707"/>
      <c r="GV509" s="707"/>
      <c r="GW509" s="707"/>
      <c r="GX509" s="707"/>
      <c r="GY509" s="707"/>
      <c r="GZ509" s="707"/>
      <c r="HA509" s="707"/>
      <c r="HB509" s="707"/>
      <c r="HC509" s="707"/>
      <c r="HD509" s="707"/>
      <c r="HE509" s="707"/>
      <c r="HF509" s="707"/>
      <c r="HG509" s="707"/>
      <c r="HH509" s="707"/>
      <c r="HI509" s="707"/>
      <c r="HJ509" s="707"/>
      <c r="HK509" s="707"/>
      <c r="HL509" s="707"/>
      <c r="HM509" s="707"/>
      <c r="HN509" s="707"/>
      <c r="HO509" s="707"/>
      <c r="HP509" s="707"/>
      <c r="HQ509" s="707"/>
      <c r="HR509" s="707"/>
      <c r="HS509" s="707"/>
      <c r="HT509" s="707"/>
      <c r="HU509" s="707"/>
      <c r="HV509" s="707"/>
      <c r="HW509" s="707"/>
      <c r="HX509" s="707"/>
      <c r="HY509" s="707"/>
      <c r="HZ509" s="707"/>
      <c r="IA509" s="707"/>
      <c r="IB509" s="707"/>
      <c r="IC509" s="707"/>
      <c r="ID509" s="707"/>
      <c r="IE509" s="707"/>
      <c r="IF509" s="707"/>
      <c r="IG509" s="707"/>
      <c r="IH509" s="707"/>
      <c r="II509" s="707"/>
      <c r="IJ509" s="707"/>
      <c r="IK509" s="707"/>
      <c r="IL509" s="707"/>
      <c r="IM509" s="707"/>
      <c r="IN509" s="707"/>
      <c r="IO509" s="707"/>
      <c r="IP509" s="707"/>
      <c r="IQ509" s="707"/>
      <c r="IR509" s="707"/>
      <c r="IS509" s="707"/>
      <c r="IT509" s="707"/>
      <c r="IU509" s="707"/>
      <c r="IV509" s="707"/>
      <c r="IW509" s="707"/>
    </row>
    <row r="510" customFormat="false" ht="12.75" hidden="false" customHeight="false" outlineLevel="0" collapsed="false">
      <c r="A510" s="681"/>
      <c r="B510" s="706"/>
      <c r="C510" s="706"/>
      <c r="D510" s="706"/>
      <c r="E510" s="713"/>
      <c r="F510" s="713"/>
      <c r="G510" s="713"/>
      <c r="H510" s="713"/>
      <c r="I510" s="713"/>
      <c r="J510" s="713"/>
      <c r="K510" s="713"/>
      <c r="L510" s="713"/>
      <c r="M510" s="713"/>
      <c r="N510" s="713"/>
      <c r="O510" s="713"/>
      <c r="P510" s="713"/>
      <c r="Q510" s="713"/>
      <c r="R510" s="713"/>
      <c r="S510" s="713"/>
      <c r="T510" s="713"/>
      <c r="U510" s="713"/>
      <c r="V510" s="713"/>
      <c r="W510" s="713"/>
      <c r="X510" s="713"/>
      <c r="Y510" s="713"/>
      <c r="Z510" s="713"/>
      <c r="AA510" s="707"/>
      <c r="AB510" s="707"/>
      <c r="AC510" s="707"/>
      <c r="AD510" s="707"/>
      <c r="AE510" s="707"/>
      <c r="AF510" s="707"/>
      <c r="AG510" s="707"/>
      <c r="AH510" s="707"/>
      <c r="AI510" s="707"/>
      <c r="AJ510" s="707"/>
      <c r="AK510" s="707"/>
      <c r="AL510" s="707"/>
      <c r="AM510" s="707"/>
      <c r="AN510" s="707"/>
      <c r="AO510" s="707"/>
      <c r="AP510" s="707"/>
      <c r="AQ510" s="707"/>
      <c r="AR510" s="707"/>
      <c r="AS510" s="707"/>
      <c r="AT510" s="707"/>
      <c r="AU510" s="707"/>
      <c r="AV510" s="707"/>
      <c r="AW510" s="707"/>
      <c r="AX510" s="707"/>
      <c r="AY510" s="707"/>
      <c r="AZ510" s="707"/>
      <c r="BA510" s="707"/>
      <c r="BB510" s="707"/>
      <c r="BC510" s="707"/>
      <c r="BD510" s="707"/>
      <c r="BE510" s="707"/>
      <c r="BF510" s="707"/>
      <c r="BG510" s="707"/>
      <c r="BH510" s="707"/>
      <c r="BI510" s="707"/>
      <c r="BJ510" s="707"/>
      <c r="BK510" s="707"/>
      <c r="BL510" s="707"/>
      <c r="BM510" s="707"/>
      <c r="BN510" s="707"/>
      <c r="BO510" s="707"/>
      <c r="BP510" s="707"/>
      <c r="BQ510" s="707"/>
      <c r="BR510" s="707"/>
      <c r="BS510" s="707"/>
      <c r="BT510" s="707"/>
      <c r="BU510" s="707"/>
      <c r="BV510" s="707"/>
      <c r="BW510" s="707"/>
      <c r="BX510" s="707"/>
      <c r="BY510" s="707"/>
      <c r="BZ510" s="707"/>
      <c r="CA510" s="707"/>
      <c r="CB510" s="707"/>
      <c r="CC510" s="707"/>
      <c r="CD510" s="707"/>
      <c r="CE510" s="707"/>
      <c r="CF510" s="707"/>
      <c r="CG510" s="707"/>
      <c r="CH510" s="707"/>
      <c r="CI510" s="707"/>
      <c r="CJ510" s="707"/>
      <c r="CK510" s="707"/>
      <c r="CL510" s="707"/>
      <c r="CM510" s="707"/>
      <c r="CN510" s="707"/>
      <c r="CO510" s="707"/>
      <c r="CP510" s="707"/>
      <c r="CQ510" s="707"/>
      <c r="CR510" s="707"/>
      <c r="CS510" s="707"/>
      <c r="CT510" s="707"/>
      <c r="CU510" s="707"/>
      <c r="CV510" s="707"/>
      <c r="CW510" s="707"/>
      <c r="CX510" s="707"/>
      <c r="CY510" s="707"/>
      <c r="CZ510" s="707"/>
      <c r="DA510" s="707"/>
      <c r="DB510" s="707"/>
      <c r="DC510" s="707"/>
      <c r="DD510" s="707"/>
      <c r="DE510" s="707"/>
      <c r="DF510" s="707"/>
      <c r="DG510" s="707"/>
      <c r="DH510" s="707"/>
      <c r="DI510" s="707"/>
      <c r="DJ510" s="707"/>
      <c r="DK510" s="707"/>
      <c r="DL510" s="707"/>
      <c r="DM510" s="707"/>
      <c r="DN510" s="707"/>
      <c r="DO510" s="707"/>
      <c r="DP510" s="707"/>
      <c r="DQ510" s="707"/>
      <c r="DR510" s="707"/>
      <c r="DS510" s="707"/>
      <c r="DT510" s="707"/>
      <c r="DU510" s="707"/>
      <c r="DV510" s="707"/>
      <c r="DW510" s="707"/>
      <c r="DX510" s="707"/>
      <c r="DY510" s="707"/>
      <c r="DZ510" s="707"/>
      <c r="EA510" s="707"/>
      <c r="EB510" s="707"/>
      <c r="EC510" s="707"/>
      <c r="ED510" s="707"/>
      <c r="EE510" s="707"/>
      <c r="EF510" s="707"/>
      <c r="EG510" s="707"/>
      <c r="EH510" s="707"/>
      <c r="EI510" s="707"/>
      <c r="EJ510" s="707"/>
      <c r="EK510" s="707"/>
      <c r="EL510" s="707"/>
      <c r="EM510" s="707"/>
      <c r="EN510" s="707"/>
      <c r="EO510" s="707"/>
      <c r="EP510" s="707"/>
      <c r="EQ510" s="707"/>
      <c r="ER510" s="707"/>
      <c r="ES510" s="707"/>
      <c r="ET510" s="707"/>
      <c r="EU510" s="707"/>
      <c r="EV510" s="707"/>
      <c r="EW510" s="707"/>
      <c r="EX510" s="707"/>
      <c r="EY510" s="707"/>
      <c r="EZ510" s="707"/>
      <c r="FA510" s="707"/>
      <c r="FB510" s="707"/>
      <c r="FC510" s="707"/>
      <c r="FD510" s="707"/>
      <c r="FE510" s="707"/>
      <c r="FF510" s="707"/>
      <c r="FG510" s="707"/>
      <c r="FH510" s="707"/>
      <c r="FI510" s="707"/>
      <c r="FJ510" s="707"/>
      <c r="FK510" s="707"/>
      <c r="FL510" s="707"/>
      <c r="FM510" s="707"/>
      <c r="FN510" s="707"/>
      <c r="FO510" s="707"/>
      <c r="FP510" s="707"/>
      <c r="FQ510" s="707"/>
      <c r="FR510" s="707"/>
      <c r="FS510" s="707"/>
      <c r="FT510" s="707"/>
      <c r="FU510" s="707"/>
      <c r="FV510" s="707"/>
      <c r="FW510" s="707"/>
      <c r="FX510" s="707"/>
      <c r="FY510" s="707"/>
      <c r="FZ510" s="707"/>
      <c r="GA510" s="707"/>
      <c r="GB510" s="707"/>
      <c r="GC510" s="707"/>
      <c r="GD510" s="707"/>
      <c r="GE510" s="707"/>
      <c r="GF510" s="707"/>
      <c r="GG510" s="707"/>
      <c r="GH510" s="707"/>
      <c r="GI510" s="707"/>
      <c r="GJ510" s="707"/>
      <c r="GK510" s="707"/>
      <c r="GL510" s="707"/>
      <c r="GM510" s="707"/>
      <c r="GN510" s="707"/>
      <c r="GO510" s="707"/>
      <c r="GP510" s="707"/>
      <c r="GQ510" s="707"/>
      <c r="GR510" s="707"/>
      <c r="GS510" s="707"/>
      <c r="GT510" s="707"/>
      <c r="GU510" s="707"/>
      <c r="GV510" s="707"/>
      <c r="GW510" s="707"/>
      <c r="GX510" s="707"/>
      <c r="GY510" s="707"/>
      <c r="GZ510" s="707"/>
      <c r="HA510" s="707"/>
      <c r="HB510" s="707"/>
      <c r="HC510" s="707"/>
      <c r="HD510" s="707"/>
      <c r="HE510" s="707"/>
      <c r="HF510" s="707"/>
      <c r="HG510" s="707"/>
      <c r="HH510" s="707"/>
      <c r="HI510" s="707"/>
      <c r="HJ510" s="707"/>
      <c r="HK510" s="707"/>
      <c r="HL510" s="707"/>
      <c r="HM510" s="707"/>
      <c r="HN510" s="707"/>
      <c r="HO510" s="707"/>
      <c r="HP510" s="707"/>
      <c r="HQ510" s="707"/>
      <c r="HR510" s="707"/>
      <c r="HS510" s="707"/>
      <c r="HT510" s="707"/>
      <c r="HU510" s="707"/>
      <c r="HV510" s="707"/>
      <c r="HW510" s="707"/>
      <c r="HX510" s="707"/>
      <c r="HY510" s="707"/>
      <c r="HZ510" s="707"/>
      <c r="IA510" s="707"/>
      <c r="IB510" s="707"/>
      <c r="IC510" s="707"/>
      <c r="ID510" s="707"/>
      <c r="IE510" s="707"/>
      <c r="IF510" s="707"/>
      <c r="IG510" s="707"/>
      <c r="IH510" s="707"/>
      <c r="II510" s="707"/>
      <c r="IJ510" s="707"/>
      <c r="IK510" s="707"/>
      <c r="IL510" s="707"/>
      <c r="IM510" s="707"/>
      <c r="IN510" s="707"/>
      <c r="IO510" s="707"/>
      <c r="IP510" s="707"/>
      <c r="IQ510" s="707"/>
      <c r="IR510" s="707"/>
      <c r="IS510" s="707"/>
      <c r="IT510" s="707"/>
      <c r="IU510" s="707"/>
      <c r="IV510" s="707"/>
      <c r="IW510" s="707"/>
    </row>
    <row r="511" customFormat="false" ht="12.75" hidden="false" customHeight="false" outlineLevel="0" collapsed="false">
      <c r="A511" s="367"/>
      <c r="B511" s="706"/>
      <c r="C511" s="706"/>
      <c r="D511" s="706"/>
      <c r="E511" s="713"/>
      <c r="F511" s="713"/>
      <c r="G511" s="713"/>
      <c r="H511" s="713"/>
      <c r="I511" s="713"/>
      <c r="J511" s="713"/>
      <c r="K511" s="713"/>
      <c r="L511" s="713"/>
      <c r="M511" s="713"/>
      <c r="N511" s="713"/>
      <c r="O511" s="713"/>
      <c r="P511" s="713"/>
      <c r="Q511" s="713"/>
      <c r="R511" s="713"/>
      <c r="S511" s="713"/>
      <c r="T511" s="713"/>
      <c r="U511" s="713"/>
      <c r="V511" s="713"/>
      <c r="W511" s="713"/>
      <c r="X511" s="713"/>
      <c r="Y511" s="713"/>
      <c r="Z511" s="713"/>
      <c r="AA511" s="707"/>
      <c r="AB511" s="707"/>
      <c r="AC511" s="707"/>
      <c r="AD511" s="707"/>
      <c r="AE511" s="707"/>
      <c r="AF511" s="707"/>
      <c r="AG511" s="707"/>
      <c r="AH511" s="707"/>
      <c r="AI511" s="707"/>
      <c r="AJ511" s="707"/>
      <c r="AK511" s="707"/>
      <c r="AL511" s="707"/>
      <c r="AM511" s="707"/>
      <c r="AN511" s="707"/>
      <c r="AO511" s="707"/>
      <c r="AP511" s="707"/>
      <c r="AQ511" s="707"/>
      <c r="AR511" s="707"/>
      <c r="AS511" s="707"/>
      <c r="AT511" s="707"/>
      <c r="AU511" s="707"/>
      <c r="AV511" s="707"/>
      <c r="AW511" s="707"/>
      <c r="AX511" s="707"/>
      <c r="AY511" s="707"/>
      <c r="AZ511" s="707"/>
      <c r="BA511" s="707"/>
      <c r="BB511" s="707"/>
      <c r="BC511" s="707"/>
      <c r="BD511" s="707"/>
      <c r="BE511" s="707"/>
      <c r="BF511" s="707"/>
      <c r="BG511" s="707"/>
      <c r="BH511" s="707"/>
      <c r="BI511" s="707"/>
      <c r="BJ511" s="707"/>
      <c r="BK511" s="707"/>
      <c r="BL511" s="707"/>
      <c r="BM511" s="707"/>
      <c r="BN511" s="707"/>
      <c r="BO511" s="707"/>
      <c r="BP511" s="707"/>
      <c r="BQ511" s="707"/>
      <c r="BR511" s="707"/>
      <c r="BS511" s="707"/>
      <c r="BT511" s="707"/>
      <c r="BU511" s="707"/>
      <c r="BV511" s="707"/>
      <c r="BW511" s="707"/>
      <c r="BX511" s="707"/>
      <c r="BY511" s="707"/>
      <c r="BZ511" s="707"/>
      <c r="CA511" s="707"/>
      <c r="CB511" s="707"/>
      <c r="CC511" s="707"/>
      <c r="CD511" s="707"/>
      <c r="CE511" s="707"/>
      <c r="CF511" s="707"/>
      <c r="CG511" s="707"/>
      <c r="CH511" s="707"/>
      <c r="CI511" s="707"/>
      <c r="CJ511" s="707"/>
      <c r="CK511" s="707"/>
      <c r="CL511" s="707"/>
      <c r="CM511" s="707"/>
      <c r="CN511" s="707"/>
      <c r="CO511" s="707"/>
      <c r="CP511" s="707"/>
      <c r="CQ511" s="707"/>
      <c r="CR511" s="707"/>
      <c r="CS511" s="707"/>
      <c r="CT511" s="707"/>
      <c r="CU511" s="707"/>
      <c r="CV511" s="707"/>
      <c r="CW511" s="707"/>
      <c r="CX511" s="707"/>
      <c r="CY511" s="707"/>
      <c r="CZ511" s="707"/>
      <c r="DA511" s="707"/>
      <c r="DB511" s="707"/>
      <c r="DC511" s="707"/>
      <c r="DD511" s="707"/>
      <c r="DE511" s="707"/>
      <c r="DF511" s="707"/>
      <c r="DG511" s="707"/>
      <c r="DH511" s="707"/>
      <c r="DI511" s="707"/>
      <c r="DJ511" s="707"/>
      <c r="DK511" s="707"/>
      <c r="DL511" s="707"/>
      <c r="DM511" s="707"/>
      <c r="DN511" s="707"/>
      <c r="DO511" s="707"/>
      <c r="DP511" s="707"/>
      <c r="DQ511" s="707"/>
      <c r="DR511" s="707"/>
      <c r="DS511" s="707"/>
      <c r="DT511" s="707"/>
      <c r="DU511" s="707"/>
      <c r="DV511" s="707"/>
      <c r="DW511" s="707"/>
      <c r="DX511" s="707"/>
      <c r="DY511" s="707"/>
      <c r="DZ511" s="707"/>
      <c r="EA511" s="707"/>
      <c r="EB511" s="707"/>
      <c r="EC511" s="707"/>
      <c r="ED511" s="707"/>
      <c r="EE511" s="707"/>
      <c r="EF511" s="707"/>
      <c r="EG511" s="707"/>
      <c r="EH511" s="707"/>
      <c r="EI511" s="707"/>
      <c r="EJ511" s="707"/>
      <c r="EK511" s="707"/>
      <c r="EL511" s="707"/>
      <c r="EM511" s="707"/>
      <c r="EN511" s="707"/>
      <c r="EO511" s="707"/>
      <c r="EP511" s="707"/>
      <c r="EQ511" s="707"/>
      <c r="ER511" s="707"/>
      <c r="ES511" s="707"/>
      <c r="ET511" s="707"/>
      <c r="EU511" s="707"/>
      <c r="EV511" s="707"/>
      <c r="EW511" s="707"/>
      <c r="EX511" s="707"/>
      <c r="EY511" s="707"/>
      <c r="EZ511" s="707"/>
      <c r="FA511" s="707"/>
      <c r="FB511" s="707"/>
      <c r="FC511" s="707"/>
      <c r="FD511" s="707"/>
      <c r="FE511" s="707"/>
      <c r="FF511" s="707"/>
      <c r="FG511" s="707"/>
      <c r="FH511" s="707"/>
      <c r="FI511" s="707"/>
      <c r="FJ511" s="707"/>
      <c r="FK511" s="707"/>
      <c r="FL511" s="707"/>
      <c r="FM511" s="707"/>
      <c r="FN511" s="707"/>
      <c r="FO511" s="707"/>
      <c r="FP511" s="707"/>
      <c r="FQ511" s="707"/>
      <c r="FR511" s="707"/>
      <c r="FS511" s="707"/>
      <c r="FT511" s="707"/>
      <c r="FU511" s="707"/>
      <c r="FV511" s="707"/>
      <c r="FW511" s="707"/>
      <c r="FX511" s="707"/>
      <c r="FY511" s="707"/>
      <c r="FZ511" s="707"/>
      <c r="GA511" s="707"/>
      <c r="GB511" s="707"/>
      <c r="GC511" s="707"/>
      <c r="GD511" s="707"/>
      <c r="GE511" s="707"/>
      <c r="GF511" s="707"/>
      <c r="GG511" s="707"/>
      <c r="GH511" s="707"/>
      <c r="GI511" s="707"/>
      <c r="GJ511" s="707"/>
      <c r="GK511" s="707"/>
      <c r="GL511" s="707"/>
      <c r="GM511" s="707"/>
      <c r="GN511" s="707"/>
      <c r="GO511" s="707"/>
      <c r="GP511" s="707"/>
      <c r="GQ511" s="707"/>
      <c r="GR511" s="707"/>
      <c r="GS511" s="707"/>
      <c r="GT511" s="707"/>
      <c r="GU511" s="707"/>
      <c r="GV511" s="707"/>
      <c r="GW511" s="707"/>
      <c r="GX511" s="707"/>
      <c r="GY511" s="707"/>
      <c r="GZ511" s="707"/>
      <c r="HA511" s="707"/>
      <c r="HB511" s="707"/>
      <c r="HC511" s="707"/>
      <c r="HD511" s="707"/>
      <c r="HE511" s="707"/>
      <c r="HF511" s="707"/>
      <c r="HG511" s="707"/>
      <c r="HH511" s="707"/>
      <c r="HI511" s="707"/>
      <c r="HJ511" s="707"/>
      <c r="HK511" s="707"/>
      <c r="HL511" s="707"/>
      <c r="HM511" s="707"/>
      <c r="HN511" s="707"/>
      <c r="HO511" s="707"/>
      <c r="HP511" s="707"/>
      <c r="HQ511" s="707"/>
      <c r="HR511" s="707"/>
      <c r="HS511" s="707"/>
      <c r="HT511" s="707"/>
      <c r="HU511" s="707"/>
      <c r="HV511" s="707"/>
      <c r="HW511" s="707"/>
      <c r="HX511" s="707"/>
      <c r="HY511" s="707"/>
      <c r="HZ511" s="707"/>
      <c r="IA511" s="707"/>
      <c r="IB511" s="707"/>
      <c r="IC511" s="707"/>
      <c r="ID511" s="707"/>
      <c r="IE511" s="707"/>
      <c r="IF511" s="707"/>
      <c r="IG511" s="707"/>
      <c r="IH511" s="707"/>
      <c r="II511" s="707"/>
      <c r="IJ511" s="707"/>
      <c r="IK511" s="707"/>
      <c r="IL511" s="707"/>
      <c r="IM511" s="707"/>
      <c r="IN511" s="707"/>
      <c r="IO511" s="707"/>
      <c r="IP511" s="707"/>
      <c r="IQ511" s="707"/>
      <c r="IR511" s="707"/>
      <c r="IS511" s="707"/>
      <c r="IT511" s="707"/>
      <c r="IU511" s="707"/>
      <c r="IV511" s="707"/>
      <c r="IW511" s="707"/>
    </row>
    <row r="512" customFormat="false" ht="12.75" hidden="false" customHeight="false" outlineLevel="0" collapsed="false">
      <c r="A512" s="720"/>
      <c r="B512" s="725"/>
      <c r="C512" s="725"/>
      <c r="D512" s="725"/>
      <c r="E512" s="713"/>
      <c r="F512" s="713"/>
      <c r="G512" s="713"/>
      <c r="H512" s="713"/>
      <c r="I512" s="713"/>
      <c r="J512" s="713"/>
      <c r="K512" s="713"/>
      <c r="L512" s="713"/>
      <c r="M512" s="713"/>
      <c r="N512" s="713"/>
      <c r="O512" s="713"/>
      <c r="P512" s="713"/>
      <c r="Q512" s="713"/>
      <c r="R512" s="713"/>
      <c r="S512" s="713"/>
      <c r="T512" s="713"/>
      <c r="U512" s="713"/>
      <c r="V512" s="713"/>
      <c r="W512" s="713"/>
      <c r="X512" s="713"/>
      <c r="Y512" s="713"/>
      <c r="Z512" s="713"/>
      <c r="AA512" s="722"/>
      <c r="AB512" s="722"/>
      <c r="AC512" s="722"/>
      <c r="AD512" s="722"/>
      <c r="AE512" s="722"/>
      <c r="AF512" s="722"/>
      <c r="AG512" s="722"/>
      <c r="AH512" s="722"/>
      <c r="AI512" s="722"/>
      <c r="AJ512" s="722"/>
      <c r="AK512" s="722"/>
      <c r="AL512" s="722"/>
      <c r="AM512" s="722"/>
      <c r="AN512" s="722"/>
      <c r="AO512" s="722"/>
      <c r="AP512" s="722"/>
      <c r="AQ512" s="722"/>
      <c r="AR512" s="722"/>
      <c r="AS512" s="722"/>
      <c r="AT512" s="722"/>
      <c r="AU512" s="722"/>
      <c r="AV512" s="722"/>
      <c r="AW512" s="722"/>
      <c r="AX512" s="722"/>
      <c r="AY512" s="722"/>
      <c r="AZ512" s="722"/>
      <c r="BA512" s="722"/>
      <c r="BB512" s="722"/>
      <c r="BC512" s="722"/>
      <c r="BD512" s="722"/>
      <c r="BE512" s="722"/>
      <c r="BF512" s="722"/>
      <c r="BG512" s="722"/>
      <c r="BH512" s="722"/>
      <c r="BI512" s="722"/>
      <c r="BJ512" s="722"/>
      <c r="BK512" s="722"/>
      <c r="BL512" s="722"/>
      <c r="BM512" s="722"/>
      <c r="BN512" s="722"/>
      <c r="BO512" s="722"/>
      <c r="BP512" s="722"/>
      <c r="BQ512" s="722"/>
      <c r="BR512" s="722"/>
      <c r="BS512" s="722"/>
      <c r="BT512" s="722"/>
      <c r="BU512" s="722"/>
      <c r="BV512" s="722"/>
      <c r="BW512" s="722"/>
      <c r="BX512" s="722"/>
      <c r="BY512" s="722"/>
      <c r="BZ512" s="722"/>
      <c r="CA512" s="722"/>
      <c r="CB512" s="722"/>
      <c r="CC512" s="722"/>
      <c r="CD512" s="722"/>
      <c r="CE512" s="722"/>
      <c r="CF512" s="722"/>
      <c r="CG512" s="722"/>
      <c r="CH512" s="722"/>
      <c r="CI512" s="722"/>
      <c r="CJ512" s="722"/>
      <c r="CK512" s="722"/>
      <c r="CL512" s="722"/>
      <c r="CM512" s="722"/>
      <c r="CN512" s="722"/>
      <c r="CO512" s="722"/>
      <c r="CP512" s="722"/>
      <c r="CQ512" s="722"/>
      <c r="CR512" s="722"/>
      <c r="CS512" s="722"/>
      <c r="CT512" s="722"/>
      <c r="CU512" s="722"/>
      <c r="CV512" s="722"/>
      <c r="CW512" s="722"/>
      <c r="CX512" s="722"/>
      <c r="CY512" s="722"/>
      <c r="CZ512" s="722"/>
      <c r="DA512" s="722"/>
      <c r="DB512" s="722"/>
      <c r="DC512" s="722"/>
      <c r="DD512" s="722"/>
      <c r="DE512" s="722"/>
      <c r="DF512" s="722"/>
      <c r="DG512" s="722"/>
      <c r="DH512" s="722"/>
      <c r="DI512" s="722"/>
      <c r="DJ512" s="722"/>
      <c r="DK512" s="722"/>
      <c r="DL512" s="722"/>
      <c r="DM512" s="722"/>
      <c r="DN512" s="722"/>
      <c r="DO512" s="722"/>
      <c r="DP512" s="722"/>
      <c r="DQ512" s="722"/>
      <c r="DR512" s="722"/>
      <c r="DS512" s="722"/>
      <c r="DT512" s="722"/>
      <c r="DU512" s="722"/>
      <c r="DV512" s="722"/>
      <c r="DW512" s="722"/>
      <c r="DX512" s="722"/>
      <c r="DY512" s="722"/>
      <c r="DZ512" s="722"/>
      <c r="EA512" s="722"/>
      <c r="EB512" s="722"/>
      <c r="EC512" s="722"/>
      <c r="ED512" s="722"/>
      <c r="EE512" s="722"/>
      <c r="EF512" s="722"/>
      <c r="EG512" s="722"/>
      <c r="EH512" s="722"/>
      <c r="EI512" s="722"/>
      <c r="EJ512" s="722"/>
      <c r="EK512" s="722"/>
      <c r="EL512" s="722"/>
      <c r="EM512" s="722"/>
      <c r="EN512" s="722"/>
      <c r="EO512" s="722"/>
      <c r="EP512" s="722"/>
      <c r="EQ512" s="722"/>
      <c r="ER512" s="722"/>
      <c r="ES512" s="722"/>
      <c r="ET512" s="722"/>
      <c r="EU512" s="722"/>
      <c r="EV512" s="722"/>
      <c r="EW512" s="722"/>
      <c r="EX512" s="722"/>
      <c r="EY512" s="722"/>
      <c r="EZ512" s="722"/>
      <c r="FA512" s="722"/>
      <c r="FB512" s="722"/>
      <c r="FC512" s="722"/>
      <c r="FD512" s="722"/>
      <c r="FE512" s="722"/>
      <c r="FF512" s="722"/>
      <c r="FG512" s="722"/>
      <c r="FH512" s="722"/>
      <c r="FI512" s="722"/>
      <c r="FJ512" s="722"/>
      <c r="FK512" s="722"/>
      <c r="FL512" s="722"/>
      <c r="FM512" s="722"/>
      <c r="FN512" s="722"/>
      <c r="FO512" s="722"/>
      <c r="FP512" s="722"/>
      <c r="FQ512" s="722"/>
      <c r="FR512" s="722"/>
      <c r="FS512" s="722"/>
      <c r="FT512" s="722"/>
      <c r="FU512" s="722"/>
      <c r="FV512" s="722"/>
      <c r="FW512" s="722"/>
      <c r="FX512" s="722"/>
      <c r="FY512" s="722"/>
      <c r="FZ512" s="722"/>
      <c r="GA512" s="722"/>
      <c r="GB512" s="722"/>
      <c r="GC512" s="722"/>
      <c r="GD512" s="722"/>
      <c r="GE512" s="722"/>
      <c r="GF512" s="722"/>
      <c r="GG512" s="722"/>
      <c r="GH512" s="722"/>
      <c r="GI512" s="722"/>
      <c r="GJ512" s="722"/>
      <c r="GK512" s="722"/>
      <c r="GL512" s="722"/>
      <c r="GM512" s="722"/>
      <c r="GN512" s="722"/>
      <c r="GO512" s="722"/>
      <c r="GP512" s="722"/>
      <c r="GQ512" s="722"/>
      <c r="GR512" s="722"/>
      <c r="GS512" s="722"/>
      <c r="GT512" s="722"/>
      <c r="GU512" s="722"/>
      <c r="GV512" s="722"/>
      <c r="GW512" s="722"/>
      <c r="GX512" s="722"/>
      <c r="GY512" s="722"/>
      <c r="GZ512" s="722"/>
      <c r="HA512" s="722"/>
      <c r="HB512" s="722"/>
      <c r="HC512" s="722"/>
      <c r="HD512" s="722"/>
      <c r="HE512" s="722"/>
      <c r="HF512" s="722"/>
      <c r="HG512" s="722"/>
      <c r="HH512" s="722"/>
      <c r="HI512" s="722"/>
      <c r="HJ512" s="722"/>
      <c r="HK512" s="722"/>
      <c r="HL512" s="722"/>
      <c r="HM512" s="722"/>
      <c r="HN512" s="722"/>
      <c r="HO512" s="722"/>
      <c r="HP512" s="722"/>
      <c r="HQ512" s="722"/>
      <c r="HR512" s="722"/>
      <c r="HS512" s="722"/>
      <c r="HT512" s="722"/>
      <c r="HU512" s="722"/>
      <c r="HV512" s="722"/>
      <c r="HW512" s="722"/>
      <c r="HX512" s="722"/>
      <c r="HY512" s="722"/>
      <c r="HZ512" s="722"/>
      <c r="IA512" s="722"/>
      <c r="IB512" s="722"/>
      <c r="IC512" s="722"/>
      <c r="ID512" s="722"/>
      <c r="IE512" s="722"/>
      <c r="IF512" s="722"/>
      <c r="IG512" s="722"/>
      <c r="IH512" s="722"/>
      <c r="II512" s="722"/>
      <c r="IJ512" s="722"/>
      <c r="IK512" s="722"/>
      <c r="IL512" s="722"/>
      <c r="IM512" s="722"/>
      <c r="IN512" s="722"/>
      <c r="IO512" s="722"/>
      <c r="IP512" s="722"/>
      <c r="IQ512" s="722"/>
      <c r="IR512" s="722"/>
      <c r="IS512" s="722"/>
      <c r="IT512" s="722"/>
      <c r="IU512" s="722"/>
      <c r="IV512" s="722"/>
      <c r="IW512" s="722"/>
    </row>
    <row r="513" customFormat="false" ht="12.75" hidden="false" customHeight="false" outlineLevel="0" collapsed="false">
      <c r="A513" s="367"/>
      <c r="B513" s="726"/>
      <c r="C513" s="726"/>
      <c r="D513" s="726"/>
      <c r="E513" s="713"/>
      <c r="F513" s="713"/>
      <c r="G513" s="713"/>
      <c r="H513" s="713"/>
      <c r="I513" s="713"/>
      <c r="J513" s="713"/>
      <c r="K513" s="713"/>
      <c r="L513" s="713"/>
      <c r="M513" s="713"/>
      <c r="N513" s="713"/>
      <c r="O513" s="713"/>
      <c r="P513" s="713"/>
      <c r="Q513" s="713"/>
      <c r="R513" s="713"/>
      <c r="S513" s="713"/>
      <c r="T513" s="713"/>
      <c r="U513" s="713"/>
      <c r="V513" s="713"/>
      <c r="W513" s="713"/>
      <c r="X513" s="713"/>
      <c r="Y513" s="713"/>
      <c r="Z513" s="713"/>
      <c r="AA513" s="707"/>
      <c r="AB513" s="707"/>
      <c r="AC513" s="707"/>
      <c r="AD513" s="707"/>
      <c r="AE513" s="707"/>
      <c r="AF513" s="707"/>
      <c r="AG513" s="707"/>
      <c r="AH513" s="707"/>
      <c r="AI513" s="707"/>
      <c r="AJ513" s="707"/>
      <c r="AK513" s="707"/>
      <c r="AL513" s="707"/>
      <c r="AM513" s="707"/>
      <c r="AN513" s="707"/>
      <c r="AO513" s="707"/>
      <c r="AP513" s="707"/>
      <c r="AQ513" s="707"/>
      <c r="AR513" s="707"/>
      <c r="AS513" s="707"/>
      <c r="AT513" s="707"/>
      <c r="AU513" s="707"/>
      <c r="AV513" s="707"/>
      <c r="AW513" s="707"/>
      <c r="AX513" s="707"/>
      <c r="AY513" s="707"/>
      <c r="AZ513" s="707"/>
      <c r="BA513" s="707"/>
      <c r="BB513" s="707"/>
      <c r="BC513" s="707"/>
      <c r="BD513" s="707"/>
      <c r="BE513" s="707"/>
      <c r="BF513" s="707"/>
      <c r="BG513" s="707"/>
      <c r="BH513" s="707"/>
      <c r="BI513" s="707"/>
      <c r="BJ513" s="707"/>
      <c r="BK513" s="707"/>
      <c r="BL513" s="707"/>
      <c r="BM513" s="707"/>
      <c r="BN513" s="707"/>
      <c r="BO513" s="707"/>
      <c r="BP513" s="707"/>
      <c r="BQ513" s="707"/>
      <c r="BR513" s="707"/>
      <c r="BS513" s="707"/>
      <c r="BT513" s="707"/>
      <c r="BU513" s="707"/>
      <c r="BV513" s="707"/>
      <c r="BW513" s="707"/>
      <c r="BX513" s="707"/>
      <c r="BY513" s="707"/>
      <c r="BZ513" s="707"/>
      <c r="CA513" s="707"/>
      <c r="CB513" s="707"/>
      <c r="CC513" s="707"/>
      <c r="CD513" s="707"/>
      <c r="CE513" s="707"/>
      <c r="CF513" s="707"/>
      <c r="CG513" s="707"/>
      <c r="CH513" s="707"/>
      <c r="CI513" s="707"/>
      <c r="CJ513" s="707"/>
      <c r="CK513" s="707"/>
      <c r="CL513" s="707"/>
      <c r="CM513" s="707"/>
      <c r="CN513" s="707"/>
      <c r="CO513" s="707"/>
      <c r="CP513" s="707"/>
      <c r="CQ513" s="707"/>
      <c r="CR513" s="707"/>
      <c r="CS513" s="707"/>
      <c r="CT513" s="707"/>
      <c r="CU513" s="707"/>
      <c r="CV513" s="707"/>
      <c r="CW513" s="707"/>
      <c r="CX513" s="707"/>
      <c r="CY513" s="707"/>
      <c r="CZ513" s="707"/>
      <c r="DA513" s="707"/>
      <c r="DB513" s="707"/>
      <c r="DC513" s="707"/>
      <c r="DD513" s="707"/>
      <c r="DE513" s="707"/>
      <c r="DF513" s="707"/>
      <c r="DG513" s="707"/>
      <c r="DH513" s="707"/>
      <c r="DI513" s="707"/>
      <c r="DJ513" s="707"/>
      <c r="DK513" s="707"/>
      <c r="DL513" s="707"/>
      <c r="DM513" s="707"/>
      <c r="DN513" s="707"/>
      <c r="DO513" s="707"/>
      <c r="DP513" s="707"/>
      <c r="DQ513" s="707"/>
      <c r="DR513" s="707"/>
      <c r="DS513" s="707"/>
      <c r="DT513" s="707"/>
      <c r="DU513" s="707"/>
      <c r="DV513" s="707"/>
      <c r="DW513" s="707"/>
      <c r="DX513" s="707"/>
      <c r="DY513" s="707"/>
      <c r="DZ513" s="707"/>
      <c r="EA513" s="707"/>
      <c r="EB513" s="707"/>
      <c r="EC513" s="707"/>
      <c r="ED513" s="707"/>
      <c r="EE513" s="707"/>
      <c r="EF513" s="707"/>
      <c r="EG513" s="707"/>
      <c r="EH513" s="707"/>
      <c r="EI513" s="707"/>
      <c r="EJ513" s="707"/>
      <c r="EK513" s="707"/>
      <c r="EL513" s="707"/>
      <c r="EM513" s="707"/>
      <c r="EN513" s="707"/>
      <c r="EO513" s="707"/>
      <c r="EP513" s="707"/>
      <c r="EQ513" s="707"/>
      <c r="ER513" s="707"/>
      <c r="ES513" s="707"/>
      <c r="ET513" s="707"/>
      <c r="EU513" s="707"/>
      <c r="EV513" s="707"/>
      <c r="EW513" s="707"/>
      <c r="EX513" s="707"/>
      <c r="EY513" s="707"/>
      <c r="EZ513" s="707"/>
      <c r="FA513" s="707"/>
      <c r="FB513" s="707"/>
      <c r="FC513" s="707"/>
      <c r="FD513" s="707"/>
      <c r="FE513" s="707"/>
      <c r="FF513" s="707"/>
      <c r="FG513" s="707"/>
      <c r="FH513" s="707"/>
      <c r="FI513" s="707"/>
      <c r="FJ513" s="707"/>
      <c r="FK513" s="707"/>
      <c r="FL513" s="707"/>
      <c r="FM513" s="707"/>
      <c r="FN513" s="707"/>
      <c r="FO513" s="707"/>
      <c r="FP513" s="707"/>
      <c r="FQ513" s="707"/>
      <c r="FR513" s="707"/>
      <c r="FS513" s="707"/>
      <c r="FT513" s="707"/>
      <c r="FU513" s="707"/>
      <c r="FV513" s="707"/>
      <c r="FW513" s="707"/>
      <c r="FX513" s="707"/>
      <c r="FY513" s="707"/>
      <c r="FZ513" s="707"/>
      <c r="GA513" s="707"/>
      <c r="GB513" s="707"/>
      <c r="GC513" s="707"/>
      <c r="GD513" s="707"/>
      <c r="GE513" s="707"/>
      <c r="GF513" s="707"/>
      <c r="GG513" s="707"/>
      <c r="GH513" s="707"/>
      <c r="GI513" s="707"/>
      <c r="GJ513" s="707"/>
      <c r="GK513" s="707"/>
      <c r="GL513" s="707"/>
      <c r="GM513" s="707"/>
      <c r="GN513" s="707"/>
      <c r="GO513" s="707"/>
      <c r="GP513" s="707"/>
      <c r="GQ513" s="707"/>
      <c r="GR513" s="707"/>
      <c r="GS513" s="707"/>
      <c r="GT513" s="707"/>
      <c r="GU513" s="707"/>
      <c r="GV513" s="707"/>
      <c r="GW513" s="707"/>
      <c r="GX513" s="707"/>
      <c r="GY513" s="707"/>
      <c r="GZ513" s="707"/>
      <c r="HA513" s="707"/>
      <c r="HB513" s="707"/>
      <c r="HC513" s="707"/>
      <c r="HD513" s="707"/>
      <c r="HE513" s="707"/>
      <c r="HF513" s="707"/>
      <c r="HG513" s="707"/>
      <c r="HH513" s="707"/>
      <c r="HI513" s="707"/>
      <c r="HJ513" s="707"/>
      <c r="HK513" s="707"/>
      <c r="HL513" s="707"/>
      <c r="HM513" s="707"/>
      <c r="HN513" s="707"/>
      <c r="HO513" s="707"/>
      <c r="HP513" s="707"/>
      <c r="HQ513" s="707"/>
      <c r="HR513" s="707"/>
      <c r="HS513" s="707"/>
      <c r="HT513" s="707"/>
      <c r="HU513" s="707"/>
      <c r="HV513" s="707"/>
      <c r="HW513" s="707"/>
      <c r="HX513" s="707"/>
      <c r="HY513" s="707"/>
      <c r="HZ513" s="707"/>
      <c r="IA513" s="707"/>
      <c r="IB513" s="707"/>
      <c r="IC513" s="707"/>
      <c r="ID513" s="707"/>
      <c r="IE513" s="707"/>
      <c r="IF513" s="707"/>
      <c r="IG513" s="707"/>
      <c r="IH513" s="707"/>
      <c r="II513" s="707"/>
      <c r="IJ513" s="707"/>
      <c r="IK513" s="707"/>
      <c r="IL513" s="707"/>
      <c r="IM513" s="707"/>
      <c r="IN513" s="707"/>
      <c r="IO513" s="707"/>
      <c r="IP513" s="707"/>
      <c r="IQ513" s="707"/>
      <c r="IR513" s="707"/>
      <c r="IS513" s="707"/>
      <c r="IT513" s="707"/>
      <c r="IU513" s="707"/>
      <c r="IV513" s="707"/>
      <c r="IW513" s="707"/>
    </row>
    <row r="514" customFormat="false" ht="12.75" hidden="false" customHeight="false" outlineLevel="0" collapsed="false">
      <c r="A514" s="681"/>
      <c r="B514" s="726"/>
      <c r="C514" s="726"/>
      <c r="D514" s="726"/>
      <c r="E514" s="713"/>
      <c r="F514" s="713"/>
      <c r="G514" s="713"/>
      <c r="H514" s="713"/>
      <c r="I514" s="713"/>
      <c r="J514" s="713"/>
      <c r="K514" s="713"/>
      <c r="L514" s="713"/>
      <c r="M514" s="713"/>
      <c r="N514" s="713"/>
      <c r="O514" s="713"/>
      <c r="P514" s="713"/>
      <c r="Q514" s="713"/>
      <c r="R514" s="713"/>
      <c r="S514" s="713"/>
      <c r="T514" s="713"/>
      <c r="U514" s="713"/>
      <c r="V514" s="713"/>
      <c r="W514" s="713"/>
      <c r="X514" s="713"/>
      <c r="Y514" s="713"/>
      <c r="Z514" s="713"/>
      <c r="AA514" s="707"/>
      <c r="AB514" s="707"/>
      <c r="AC514" s="707"/>
      <c r="AD514" s="707"/>
      <c r="AE514" s="707"/>
      <c r="AF514" s="707"/>
      <c r="AG514" s="707"/>
      <c r="AH514" s="707"/>
      <c r="AI514" s="707"/>
      <c r="AJ514" s="707"/>
      <c r="AK514" s="707"/>
      <c r="AL514" s="707"/>
      <c r="AM514" s="707"/>
      <c r="AN514" s="707"/>
      <c r="AO514" s="707"/>
      <c r="AP514" s="707"/>
      <c r="AQ514" s="707"/>
      <c r="AR514" s="707"/>
      <c r="AS514" s="707"/>
      <c r="AT514" s="707"/>
      <c r="AU514" s="707"/>
      <c r="AV514" s="707"/>
      <c r="AW514" s="707"/>
      <c r="AX514" s="707"/>
      <c r="AY514" s="707"/>
      <c r="AZ514" s="707"/>
      <c r="BA514" s="707"/>
      <c r="BB514" s="707"/>
      <c r="BC514" s="707"/>
      <c r="BD514" s="707"/>
      <c r="BE514" s="707"/>
      <c r="BF514" s="707"/>
      <c r="BG514" s="707"/>
      <c r="BH514" s="707"/>
      <c r="BI514" s="707"/>
      <c r="BJ514" s="707"/>
      <c r="BK514" s="707"/>
      <c r="BL514" s="707"/>
      <c r="BM514" s="707"/>
      <c r="BN514" s="707"/>
      <c r="BO514" s="707"/>
      <c r="BP514" s="707"/>
      <c r="BQ514" s="707"/>
      <c r="BR514" s="707"/>
      <c r="BS514" s="707"/>
      <c r="BT514" s="707"/>
      <c r="BU514" s="707"/>
      <c r="BV514" s="707"/>
      <c r="BW514" s="707"/>
      <c r="BX514" s="707"/>
      <c r="BY514" s="707"/>
      <c r="BZ514" s="707"/>
      <c r="CA514" s="707"/>
      <c r="CB514" s="707"/>
      <c r="CC514" s="707"/>
      <c r="CD514" s="707"/>
      <c r="CE514" s="707"/>
      <c r="CF514" s="707"/>
      <c r="CG514" s="707"/>
      <c r="CH514" s="707"/>
      <c r="CI514" s="707"/>
      <c r="CJ514" s="707"/>
      <c r="CK514" s="707"/>
      <c r="CL514" s="707"/>
      <c r="CM514" s="707"/>
      <c r="CN514" s="707"/>
      <c r="CO514" s="707"/>
      <c r="CP514" s="707"/>
      <c r="CQ514" s="707"/>
      <c r="CR514" s="707"/>
      <c r="CS514" s="707"/>
      <c r="CT514" s="707"/>
      <c r="CU514" s="707"/>
      <c r="CV514" s="707"/>
      <c r="CW514" s="707"/>
      <c r="CX514" s="707"/>
      <c r="CY514" s="707"/>
      <c r="CZ514" s="707"/>
      <c r="DA514" s="707"/>
      <c r="DB514" s="707"/>
      <c r="DC514" s="707"/>
      <c r="DD514" s="707"/>
      <c r="DE514" s="707"/>
      <c r="DF514" s="707"/>
      <c r="DG514" s="707"/>
      <c r="DH514" s="707"/>
      <c r="DI514" s="707"/>
      <c r="DJ514" s="707"/>
      <c r="DK514" s="707"/>
      <c r="DL514" s="707"/>
      <c r="DM514" s="707"/>
      <c r="DN514" s="707"/>
      <c r="DO514" s="707"/>
      <c r="DP514" s="707"/>
      <c r="DQ514" s="707"/>
      <c r="DR514" s="707"/>
      <c r="DS514" s="707"/>
      <c r="DT514" s="707"/>
      <c r="DU514" s="707"/>
      <c r="DV514" s="707"/>
      <c r="DW514" s="707"/>
      <c r="DX514" s="707"/>
      <c r="DY514" s="707"/>
      <c r="DZ514" s="707"/>
      <c r="EA514" s="707"/>
      <c r="EB514" s="707"/>
      <c r="EC514" s="707"/>
      <c r="ED514" s="707"/>
      <c r="EE514" s="707"/>
      <c r="EF514" s="707"/>
      <c r="EG514" s="707"/>
      <c r="EH514" s="707"/>
      <c r="EI514" s="707"/>
      <c r="EJ514" s="707"/>
      <c r="EK514" s="707"/>
      <c r="EL514" s="707"/>
      <c r="EM514" s="707"/>
      <c r="EN514" s="707"/>
      <c r="EO514" s="707"/>
      <c r="EP514" s="707"/>
      <c r="EQ514" s="707"/>
      <c r="ER514" s="707"/>
      <c r="ES514" s="707"/>
      <c r="ET514" s="707"/>
      <c r="EU514" s="707"/>
      <c r="EV514" s="707"/>
      <c r="EW514" s="707"/>
      <c r="EX514" s="707"/>
      <c r="EY514" s="707"/>
      <c r="EZ514" s="707"/>
      <c r="FA514" s="707"/>
      <c r="FB514" s="707"/>
      <c r="FC514" s="707"/>
      <c r="FD514" s="707"/>
      <c r="FE514" s="707"/>
      <c r="FF514" s="707"/>
      <c r="FG514" s="707"/>
      <c r="FH514" s="707"/>
      <c r="FI514" s="707"/>
      <c r="FJ514" s="707"/>
      <c r="FK514" s="707"/>
      <c r="FL514" s="707"/>
      <c r="FM514" s="707"/>
      <c r="FN514" s="707"/>
      <c r="FO514" s="707"/>
      <c r="FP514" s="707"/>
      <c r="FQ514" s="707"/>
      <c r="FR514" s="707"/>
      <c r="FS514" s="707"/>
      <c r="FT514" s="707"/>
      <c r="FU514" s="707"/>
      <c r="FV514" s="707"/>
      <c r="FW514" s="707"/>
      <c r="FX514" s="707"/>
      <c r="FY514" s="707"/>
      <c r="FZ514" s="707"/>
      <c r="GA514" s="707"/>
      <c r="GB514" s="707"/>
      <c r="GC514" s="707"/>
      <c r="GD514" s="707"/>
      <c r="GE514" s="707"/>
      <c r="GF514" s="707"/>
      <c r="GG514" s="707"/>
      <c r="GH514" s="707"/>
      <c r="GI514" s="707"/>
      <c r="GJ514" s="707"/>
      <c r="GK514" s="707"/>
      <c r="GL514" s="707"/>
      <c r="GM514" s="707"/>
      <c r="GN514" s="707"/>
      <c r="GO514" s="707"/>
      <c r="GP514" s="707"/>
      <c r="GQ514" s="707"/>
      <c r="GR514" s="707"/>
      <c r="GS514" s="707"/>
      <c r="GT514" s="707"/>
      <c r="GU514" s="707"/>
      <c r="GV514" s="707"/>
      <c r="GW514" s="707"/>
      <c r="GX514" s="707"/>
      <c r="GY514" s="707"/>
      <c r="GZ514" s="707"/>
      <c r="HA514" s="707"/>
      <c r="HB514" s="707"/>
      <c r="HC514" s="707"/>
      <c r="HD514" s="707"/>
      <c r="HE514" s="707"/>
      <c r="HF514" s="707"/>
      <c r="HG514" s="707"/>
      <c r="HH514" s="707"/>
      <c r="HI514" s="707"/>
      <c r="HJ514" s="707"/>
      <c r="HK514" s="707"/>
      <c r="HL514" s="707"/>
      <c r="HM514" s="707"/>
      <c r="HN514" s="707"/>
      <c r="HO514" s="707"/>
      <c r="HP514" s="707"/>
      <c r="HQ514" s="707"/>
      <c r="HR514" s="707"/>
      <c r="HS514" s="707"/>
      <c r="HT514" s="707"/>
      <c r="HU514" s="707"/>
      <c r="HV514" s="707"/>
      <c r="HW514" s="707"/>
      <c r="HX514" s="707"/>
      <c r="HY514" s="707"/>
      <c r="HZ514" s="707"/>
      <c r="IA514" s="707"/>
      <c r="IB514" s="707"/>
      <c r="IC514" s="707"/>
      <c r="ID514" s="707"/>
      <c r="IE514" s="707"/>
      <c r="IF514" s="707"/>
      <c r="IG514" s="707"/>
      <c r="IH514" s="707"/>
      <c r="II514" s="707"/>
      <c r="IJ514" s="707"/>
      <c r="IK514" s="707"/>
      <c r="IL514" s="707"/>
      <c r="IM514" s="707"/>
      <c r="IN514" s="707"/>
      <c r="IO514" s="707"/>
      <c r="IP514" s="707"/>
      <c r="IQ514" s="707"/>
      <c r="IR514" s="707"/>
      <c r="IS514" s="707"/>
      <c r="IT514" s="707"/>
      <c r="IU514" s="707"/>
      <c r="IV514" s="707"/>
      <c r="IW514" s="707"/>
    </row>
    <row r="515" customFormat="false" ht="12.75" hidden="false" customHeight="false" outlineLevel="0" collapsed="false">
      <c r="A515" s="366"/>
      <c r="B515" s="719"/>
      <c r="C515" s="719"/>
      <c r="D515" s="719"/>
      <c r="E515" s="713"/>
      <c r="F515" s="713"/>
      <c r="G515" s="713"/>
      <c r="H515" s="713"/>
      <c r="I515" s="713"/>
      <c r="J515" s="713"/>
      <c r="K515" s="713"/>
      <c r="L515" s="713"/>
      <c r="M515" s="713"/>
      <c r="N515" s="713"/>
      <c r="O515" s="713"/>
      <c r="P515" s="713"/>
      <c r="Q515" s="713"/>
      <c r="R515" s="713"/>
      <c r="S515" s="713"/>
      <c r="T515" s="713"/>
      <c r="U515" s="713"/>
      <c r="V515" s="713"/>
      <c r="W515" s="713"/>
      <c r="X515" s="713"/>
      <c r="Y515" s="713"/>
      <c r="Z515" s="713"/>
      <c r="AA515" s="707"/>
      <c r="AB515" s="707"/>
      <c r="AC515" s="707"/>
      <c r="AD515" s="707"/>
      <c r="AE515" s="707"/>
      <c r="AF515" s="707"/>
      <c r="AG515" s="707"/>
      <c r="AH515" s="707"/>
      <c r="AI515" s="707"/>
      <c r="AJ515" s="707"/>
      <c r="AK515" s="707"/>
      <c r="AL515" s="707"/>
      <c r="AM515" s="707"/>
      <c r="AN515" s="707"/>
      <c r="AO515" s="707"/>
      <c r="AP515" s="707"/>
      <c r="AQ515" s="707"/>
      <c r="AR515" s="707"/>
      <c r="AS515" s="707"/>
      <c r="AT515" s="707"/>
      <c r="AU515" s="707"/>
      <c r="AV515" s="707"/>
      <c r="AW515" s="707"/>
      <c r="AX515" s="707"/>
      <c r="AY515" s="707"/>
      <c r="AZ515" s="707"/>
      <c r="BA515" s="707"/>
      <c r="BB515" s="707"/>
      <c r="BC515" s="707"/>
      <c r="BD515" s="707"/>
      <c r="BE515" s="707"/>
      <c r="BF515" s="707"/>
      <c r="BG515" s="707"/>
      <c r="BH515" s="707"/>
      <c r="BI515" s="707"/>
      <c r="BJ515" s="707"/>
      <c r="BK515" s="707"/>
      <c r="BL515" s="707"/>
      <c r="BM515" s="707"/>
      <c r="BN515" s="707"/>
      <c r="BO515" s="707"/>
      <c r="BP515" s="707"/>
      <c r="BQ515" s="707"/>
      <c r="BR515" s="707"/>
      <c r="BS515" s="707"/>
      <c r="BT515" s="707"/>
      <c r="BU515" s="707"/>
      <c r="BV515" s="707"/>
      <c r="BW515" s="707"/>
      <c r="BX515" s="707"/>
      <c r="BY515" s="707"/>
      <c r="BZ515" s="707"/>
      <c r="CA515" s="707"/>
      <c r="CB515" s="707"/>
      <c r="CC515" s="707"/>
      <c r="CD515" s="707"/>
      <c r="CE515" s="707"/>
      <c r="CF515" s="707"/>
      <c r="CG515" s="707"/>
      <c r="CH515" s="707"/>
      <c r="CI515" s="707"/>
      <c r="CJ515" s="707"/>
      <c r="CK515" s="707"/>
      <c r="CL515" s="707"/>
      <c r="CM515" s="707"/>
      <c r="CN515" s="707"/>
      <c r="CO515" s="707"/>
      <c r="CP515" s="707"/>
      <c r="CQ515" s="707"/>
      <c r="CR515" s="707"/>
      <c r="CS515" s="707"/>
      <c r="CT515" s="707"/>
      <c r="CU515" s="707"/>
      <c r="CV515" s="707"/>
      <c r="CW515" s="707"/>
      <c r="CX515" s="707"/>
      <c r="CY515" s="707"/>
      <c r="CZ515" s="707"/>
      <c r="DA515" s="707"/>
      <c r="DB515" s="707"/>
      <c r="DC515" s="707"/>
      <c r="DD515" s="707"/>
      <c r="DE515" s="707"/>
      <c r="DF515" s="707"/>
      <c r="DG515" s="707"/>
      <c r="DH515" s="707"/>
      <c r="DI515" s="707"/>
      <c r="DJ515" s="707"/>
      <c r="DK515" s="707"/>
      <c r="DL515" s="707"/>
      <c r="DM515" s="707"/>
      <c r="DN515" s="707"/>
      <c r="DO515" s="707"/>
      <c r="DP515" s="707"/>
      <c r="DQ515" s="707"/>
      <c r="DR515" s="707"/>
      <c r="DS515" s="707"/>
      <c r="DT515" s="707"/>
      <c r="DU515" s="707"/>
      <c r="DV515" s="707"/>
      <c r="DW515" s="707"/>
      <c r="DX515" s="707"/>
      <c r="DY515" s="707"/>
      <c r="DZ515" s="707"/>
      <c r="EA515" s="707"/>
      <c r="EB515" s="707"/>
      <c r="EC515" s="707"/>
      <c r="ED515" s="707"/>
      <c r="EE515" s="707"/>
      <c r="EF515" s="707"/>
      <c r="EG515" s="707"/>
      <c r="EH515" s="707"/>
      <c r="EI515" s="707"/>
      <c r="EJ515" s="707"/>
      <c r="EK515" s="707"/>
      <c r="EL515" s="707"/>
      <c r="EM515" s="707"/>
      <c r="EN515" s="707"/>
      <c r="EO515" s="707"/>
      <c r="EP515" s="707"/>
      <c r="EQ515" s="707"/>
      <c r="ER515" s="707"/>
      <c r="ES515" s="707"/>
      <c r="ET515" s="707"/>
      <c r="EU515" s="707"/>
      <c r="EV515" s="707"/>
      <c r="EW515" s="707"/>
      <c r="EX515" s="707"/>
      <c r="EY515" s="707"/>
      <c r="EZ515" s="707"/>
      <c r="FA515" s="707"/>
      <c r="FB515" s="707"/>
      <c r="FC515" s="707"/>
      <c r="FD515" s="707"/>
      <c r="FE515" s="707"/>
      <c r="FF515" s="707"/>
      <c r="FG515" s="707"/>
      <c r="FH515" s="707"/>
      <c r="FI515" s="707"/>
      <c r="FJ515" s="707"/>
      <c r="FK515" s="707"/>
      <c r="FL515" s="707"/>
      <c r="FM515" s="707"/>
      <c r="FN515" s="707"/>
      <c r="FO515" s="707"/>
      <c r="FP515" s="707"/>
      <c r="FQ515" s="707"/>
      <c r="FR515" s="707"/>
      <c r="FS515" s="707"/>
      <c r="FT515" s="707"/>
      <c r="FU515" s="707"/>
      <c r="FV515" s="707"/>
      <c r="FW515" s="707"/>
      <c r="FX515" s="707"/>
      <c r="FY515" s="707"/>
      <c r="FZ515" s="707"/>
      <c r="GA515" s="707"/>
      <c r="GB515" s="707"/>
      <c r="GC515" s="707"/>
      <c r="GD515" s="707"/>
      <c r="GE515" s="707"/>
      <c r="GF515" s="707"/>
      <c r="GG515" s="707"/>
      <c r="GH515" s="707"/>
      <c r="GI515" s="707"/>
      <c r="GJ515" s="707"/>
      <c r="GK515" s="707"/>
      <c r="GL515" s="707"/>
      <c r="GM515" s="707"/>
      <c r="GN515" s="707"/>
      <c r="GO515" s="707"/>
      <c r="GP515" s="707"/>
      <c r="GQ515" s="707"/>
      <c r="GR515" s="707"/>
      <c r="GS515" s="707"/>
      <c r="GT515" s="707"/>
      <c r="GU515" s="707"/>
      <c r="GV515" s="707"/>
      <c r="GW515" s="707"/>
      <c r="GX515" s="707"/>
      <c r="GY515" s="707"/>
      <c r="GZ515" s="707"/>
      <c r="HA515" s="707"/>
      <c r="HB515" s="707"/>
      <c r="HC515" s="707"/>
      <c r="HD515" s="707"/>
      <c r="HE515" s="707"/>
      <c r="HF515" s="707"/>
      <c r="HG515" s="707"/>
      <c r="HH515" s="707"/>
      <c r="HI515" s="707"/>
      <c r="HJ515" s="707"/>
      <c r="HK515" s="707"/>
      <c r="HL515" s="707"/>
      <c r="HM515" s="707"/>
      <c r="HN515" s="707"/>
      <c r="HO515" s="707"/>
      <c r="HP515" s="707"/>
      <c r="HQ515" s="707"/>
      <c r="HR515" s="707"/>
      <c r="HS515" s="707"/>
      <c r="HT515" s="707"/>
      <c r="HU515" s="707"/>
      <c r="HV515" s="707"/>
      <c r="HW515" s="707"/>
      <c r="HX515" s="707"/>
      <c r="HY515" s="707"/>
      <c r="HZ515" s="707"/>
      <c r="IA515" s="707"/>
      <c r="IB515" s="707"/>
      <c r="IC515" s="707"/>
      <c r="ID515" s="707"/>
      <c r="IE515" s="707"/>
      <c r="IF515" s="707"/>
      <c r="IG515" s="707"/>
      <c r="IH515" s="707"/>
      <c r="II515" s="707"/>
      <c r="IJ515" s="707"/>
      <c r="IK515" s="707"/>
      <c r="IL515" s="707"/>
      <c r="IM515" s="707"/>
      <c r="IN515" s="707"/>
      <c r="IO515" s="707"/>
      <c r="IP515" s="707"/>
      <c r="IQ515" s="707"/>
      <c r="IR515" s="707"/>
      <c r="IS515" s="707"/>
      <c r="IT515" s="707"/>
      <c r="IU515" s="707"/>
      <c r="IV515" s="707"/>
      <c r="IW515" s="707"/>
    </row>
    <row r="516" customFormat="false" ht="12.75" hidden="false" customHeight="false" outlineLevel="0" collapsed="false">
      <c r="A516" s="724"/>
      <c r="B516" s="725"/>
      <c r="C516" s="725"/>
      <c r="D516" s="725"/>
      <c r="E516" s="713"/>
      <c r="F516" s="713"/>
      <c r="G516" s="713"/>
      <c r="H516" s="713"/>
      <c r="I516" s="713"/>
      <c r="J516" s="713"/>
      <c r="K516" s="713"/>
      <c r="L516" s="713"/>
      <c r="M516" s="713"/>
      <c r="N516" s="713"/>
      <c r="O516" s="713"/>
      <c r="P516" s="713"/>
      <c r="Q516" s="713"/>
      <c r="R516" s="713"/>
      <c r="S516" s="713"/>
      <c r="T516" s="713"/>
      <c r="U516" s="713"/>
      <c r="V516" s="713"/>
      <c r="W516" s="713"/>
      <c r="X516" s="713"/>
      <c r="Y516" s="713"/>
      <c r="Z516" s="713"/>
      <c r="AA516" s="722"/>
      <c r="AB516" s="722"/>
      <c r="AC516" s="722"/>
      <c r="AD516" s="722"/>
      <c r="AE516" s="722"/>
      <c r="AF516" s="722"/>
      <c r="AG516" s="722"/>
      <c r="AH516" s="722"/>
      <c r="AI516" s="722"/>
      <c r="AJ516" s="722"/>
      <c r="AK516" s="722"/>
      <c r="AL516" s="722"/>
      <c r="AM516" s="722"/>
      <c r="AN516" s="722"/>
      <c r="AO516" s="722"/>
      <c r="AP516" s="722"/>
      <c r="AQ516" s="722"/>
      <c r="AR516" s="722"/>
      <c r="AS516" s="722"/>
      <c r="AT516" s="722"/>
      <c r="AU516" s="722"/>
      <c r="AV516" s="722"/>
      <c r="AW516" s="722"/>
      <c r="AX516" s="722"/>
      <c r="AY516" s="722"/>
      <c r="AZ516" s="722"/>
      <c r="BA516" s="722"/>
      <c r="BB516" s="722"/>
      <c r="BC516" s="722"/>
      <c r="BD516" s="722"/>
      <c r="BE516" s="722"/>
      <c r="BF516" s="722"/>
      <c r="BG516" s="722"/>
      <c r="BH516" s="722"/>
      <c r="BI516" s="722"/>
      <c r="BJ516" s="722"/>
      <c r="BK516" s="722"/>
      <c r="BL516" s="722"/>
      <c r="BM516" s="722"/>
      <c r="BN516" s="722"/>
      <c r="BO516" s="722"/>
      <c r="BP516" s="722"/>
      <c r="BQ516" s="722"/>
      <c r="BR516" s="722"/>
      <c r="BS516" s="722"/>
      <c r="BT516" s="722"/>
      <c r="BU516" s="722"/>
      <c r="BV516" s="722"/>
      <c r="BW516" s="722"/>
      <c r="BX516" s="722"/>
      <c r="BY516" s="722"/>
      <c r="BZ516" s="722"/>
      <c r="CA516" s="722"/>
      <c r="CB516" s="722"/>
      <c r="CC516" s="722"/>
      <c r="CD516" s="722"/>
      <c r="CE516" s="722"/>
      <c r="CF516" s="722"/>
      <c r="CG516" s="722"/>
      <c r="CH516" s="722"/>
      <c r="CI516" s="722"/>
      <c r="CJ516" s="722"/>
      <c r="CK516" s="722"/>
      <c r="CL516" s="722"/>
      <c r="CM516" s="722"/>
      <c r="CN516" s="722"/>
      <c r="CO516" s="722"/>
      <c r="CP516" s="722"/>
      <c r="CQ516" s="722"/>
      <c r="CR516" s="722"/>
      <c r="CS516" s="722"/>
      <c r="CT516" s="722"/>
      <c r="CU516" s="722"/>
      <c r="CV516" s="722"/>
      <c r="CW516" s="722"/>
      <c r="CX516" s="722"/>
      <c r="CY516" s="722"/>
      <c r="CZ516" s="722"/>
      <c r="DA516" s="722"/>
      <c r="DB516" s="722"/>
      <c r="DC516" s="722"/>
      <c r="DD516" s="722"/>
      <c r="DE516" s="722"/>
      <c r="DF516" s="722"/>
      <c r="DG516" s="722"/>
      <c r="DH516" s="722"/>
      <c r="DI516" s="722"/>
      <c r="DJ516" s="722"/>
      <c r="DK516" s="722"/>
      <c r="DL516" s="722"/>
      <c r="DM516" s="722"/>
      <c r="DN516" s="722"/>
      <c r="DO516" s="722"/>
      <c r="DP516" s="722"/>
      <c r="DQ516" s="722"/>
      <c r="DR516" s="722"/>
      <c r="DS516" s="722"/>
      <c r="DT516" s="722"/>
      <c r="DU516" s="722"/>
      <c r="DV516" s="722"/>
      <c r="DW516" s="722"/>
      <c r="DX516" s="722"/>
      <c r="DY516" s="722"/>
      <c r="DZ516" s="722"/>
      <c r="EA516" s="722"/>
      <c r="EB516" s="722"/>
      <c r="EC516" s="722"/>
      <c r="ED516" s="722"/>
      <c r="EE516" s="722"/>
      <c r="EF516" s="722"/>
      <c r="EG516" s="722"/>
      <c r="EH516" s="722"/>
      <c r="EI516" s="722"/>
      <c r="EJ516" s="722"/>
      <c r="EK516" s="722"/>
      <c r="EL516" s="722"/>
      <c r="EM516" s="722"/>
      <c r="EN516" s="722"/>
      <c r="EO516" s="722"/>
      <c r="EP516" s="722"/>
      <c r="EQ516" s="722"/>
      <c r="ER516" s="722"/>
      <c r="ES516" s="722"/>
      <c r="ET516" s="722"/>
      <c r="EU516" s="722"/>
      <c r="EV516" s="722"/>
      <c r="EW516" s="722"/>
      <c r="EX516" s="722"/>
      <c r="EY516" s="722"/>
      <c r="EZ516" s="722"/>
      <c r="FA516" s="722"/>
      <c r="FB516" s="722"/>
      <c r="FC516" s="722"/>
      <c r="FD516" s="722"/>
      <c r="FE516" s="722"/>
      <c r="FF516" s="722"/>
      <c r="FG516" s="722"/>
      <c r="FH516" s="722"/>
      <c r="FI516" s="722"/>
      <c r="FJ516" s="722"/>
      <c r="FK516" s="722"/>
      <c r="FL516" s="722"/>
      <c r="FM516" s="722"/>
      <c r="FN516" s="722"/>
      <c r="FO516" s="722"/>
      <c r="FP516" s="722"/>
      <c r="FQ516" s="722"/>
      <c r="FR516" s="722"/>
      <c r="FS516" s="722"/>
      <c r="FT516" s="722"/>
      <c r="FU516" s="722"/>
      <c r="FV516" s="722"/>
      <c r="FW516" s="722"/>
      <c r="FX516" s="722"/>
      <c r="FY516" s="722"/>
      <c r="FZ516" s="722"/>
      <c r="GA516" s="722"/>
      <c r="GB516" s="722"/>
      <c r="GC516" s="722"/>
      <c r="GD516" s="722"/>
      <c r="GE516" s="722"/>
      <c r="GF516" s="722"/>
      <c r="GG516" s="722"/>
      <c r="GH516" s="722"/>
      <c r="GI516" s="722"/>
      <c r="GJ516" s="722"/>
      <c r="GK516" s="722"/>
      <c r="GL516" s="722"/>
      <c r="GM516" s="722"/>
      <c r="GN516" s="722"/>
      <c r="GO516" s="722"/>
      <c r="GP516" s="722"/>
      <c r="GQ516" s="722"/>
      <c r="GR516" s="722"/>
      <c r="GS516" s="722"/>
      <c r="GT516" s="722"/>
      <c r="GU516" s="722"/>
      <c r="GV516" s="722"/>
      <c r="GW516" s="722"/>
      <c r="GX516" s="722"/>
      <c r="GY516" s="722"/>
      <c r="GZ516" s="722"/>
      <c r="HA516" s="722"/>
      <c r="HB516" s="722"/>
      <c r="HC516" s="722"/>
      <c r="HD516" s="722"/>
      <c r="HE516" s="722"/>
      <c r="HF516" s="722"/>
      <c r="HG516" s="722"/>
      <c r="HH516" s="722"/>
      <c r="HI516" s="722"/>
      <c r="HJ516" s="722"/>
      <c r="HK516" s="722"/>
      <c r="HL516" s="722"/>
      <c r="HM516" s="722"/>
      <c r="HN516" s="722"/>
      <c r="HO516" s="722"/>
      <c r="HP516" s="722"/>
      <c r="HQ516" s="722"/>
      <c r="HR516" s="722"/>
      <c r="HS516" s="722"/>
      <c r="HT516" s="722"/>
      <c r="HU516" s="722"/>
      <c r="HV516" s="722"/>
      <c r="HW516" s="722"/>
      <c r="HX516" s="722"/>
      <c r="HY516" s="722"/>
      <c r="HZ516" s="722"/>
      <c r="IA516" s="722"/>
      <c r="IB516" s="722"/>
      <c r="IC516" s="722"/>
      <c r="ID516" s="722"/>
      <c r="IE516" s="722"/>
      <c r="IF516" s="722"/>
      <c r="IG516" s="722"/>
      <c r="IH516" s="722"/>
      <c r="II516" s="722"/>
      <c r="IJ516" s="722"/>
      <c r="IK516" s="722"/>
      <c r="IL516" s="722"/>
      <c r="IM516" s="722"/>
      <c r="IN516" s="722"/>
      <c r="IO516" s="722"/>
      <c r="IP516" s="722"/>
      <c r="IQ516" s="722"/>
      <c r="IR516" s="722"/>
      <c r="IS516" s="722"/>
      <c r="IT516" s="722"/>
      <c r="IU516" s="722"/>
      <c r="IV516" s="722"/>
      <c r="IW516" s="722"/>
    </row>
    <row r="517" customFormat="false" ht="12.75" hidden="false" customHeight="false" outlineLevel="0" collapsed="false">
      <c r="A517" s="388"/>
      <c r="B517" s="706"/>
      <c r="C517" s="706"/>
      <c r="D517" s="706"/>
      <c r="E517" s="713"/>
      <c r="F517" s="713"/>
      <c r="G517" s="713"/>
      <c r="H517" s="713"/>
      <c r="I517" s="713"/>
      <c r="J517" s="713"/>
      <c r="K517" s="713"/>
      <c r="L517" s="713"/>
      <c r="M517" s="713"/>
      <c r="N517" s="713"/>
      <c r="O517" s="713"/>
      <c r="P517" s="713"/>
      <c r="Q517" s="713"/>
      <c r="R517" s="713"/>
      <c r="S517" s="713"/>
      <c r="T517" s="713"/>
      <c r="U517" s="713"/>
      <c r="V517" s="713"/>
      <c r="W517" s="713"/>
      <c r="X517" s="713"/>
      <c r="Y517" s="713"/>
      <c r="Z517" s="713"/>
      <c r="AA517" s="707"/>
      <c r="AB517" s="707"/>
      <c r="AC517" s="707"/>
      <c r="AD517" s="707"/>
      <c r="AE517" s="707"/>
      <c r="AF517" s="707"/>
      <c r="AG517" s="707"/>
      <c r="AH517" s="707"/>
      <c r="AI517" s="707"/>
      <c r="AJ517" s="707"/>
      <c r="AK517" s="707"/>
      <c r="AL517" s="707"/>
      <c r="AM517" s="707"/>
      <c r="AN517" s="707"/>
      <c r="AO517" s="707"/>
      <c r="AP517" s="707"/>
      <c r="AQ517" s="707"/>
      <c r="AR517" s="707"/>
      <c r="AS517" s="707"/>
      <c r="AT517" s="707"/>
      <c r="AU517" s="707"/>
      <c r="AV517" s="707"/>
      <c r="AW517" s="707"/>
      <c r="AX517" s="707"/>
      <c r="AY517" s="707"/>
      <c r="AZ517" s="707"/>
      <c r="BA517" s="707"/>
      <c r="BB517" s="707"/>
      <c r="BC517" s="707"/>
      <c r="BD517" s="707"/>
      <c r="BE517" s="707"/>
      <c r="BF517" s="707"/>
      <c r="BG517" s="707"/>
      <c r="BH517" s="707"/>
      <c r="BI517" s="707"/>
      <c r="BJ517" s="707"/>
      <c r="BK517" s="707"/>
      <c r="BL517" s="707"/>
      <c r="BM517" s="707"/>
      <c r="BN517" s="707"/>
      <c r="BO517" s="707"/>
      <c r="BP517" s="707"/>
      <c r="BQ517" s="707"/>
      <c r="BR517" s="707"/>
      <c r="BS517" s="707"/>
      <c r="BT517" s="707"/>
      <c r="BU517" s="707"/>
      <c r="BV517" s="707"/>
      <c r="BW517" s="707"/>
      <c r="BX517" s="707"/>
      <c r="BY517" s="707"/>
      <c r="BZ517" s="707"/>
      <c r="CA517" s="707"/>
      <c r="CB517" s="707"/>
      <c r="CC517" s="707"/>
      <c r="CD517" s="707"/>
      <c r="CE517" s="707"/>
      <c r="CF517" s="707"/>
      <c r="CG517" s="707"/>
      <c r="CH517" s="707"/>
      <c r="CI517" s="707"/>
      <c r="CJ517" s="707"/>
      <c r="CK517" s="707"/>
      <c r="CL517" s="707"/>
      <c r="CM517" s="707"/>
      <c r="CN517" s="707"/>
      <c r="CO517" s="707"/>
      <c r="CP517" s="707"/>
      <c r="CQ517" s="707"/>
      <c r="CR517" s="707"/>
      <c r="CS517" s="707"/>
      <c r="CT517" s="707"/>
      <c r="CU517" s="707"/>
      <c r="CV517" s="707"/>
      <c r="CW517" s="707"/>
      <c r="CX517" s="707"/>
      <c r="CY517" s="707"/>
      <c r="CZ517" s="707"/>
      <c r="DA517" s="707"/>
      <c r="DB517" s="707"/>
      <c r="DC517" s="707"/>
      <c r="DD517" s="707"/>
      <c r="DE517" s="707"/>
      <c r="DF517" s="707"/>
      <c r="DG517" s="707"/>
      <c r="DH517" s="707"/>
      <c r="DI517" s="707"/>
      <c r="DJ517" s="707"/>
      <c r="DK517" s="707"/>
      <c r="DL517" s="707"/>
      <c r="DM517" s="707"/>
      <c r="DN517" s="707"/>
      <c r="DO517" s="707"/>
      <c r="DP517" s="707"/>
      <c r="DQ517" s="707"/>
      <c r="DR517" s="707"/>
      <c r="DS517" s="707"/>
      <c r="DT517" s="707"/>
      <c r="DU517" s="707"/>
      <c r="DV517" s="707"/>
      <c r="DW517" s="707"/>
      <c r="DX517" s="707"/>
      <c r="DY517" s="707"/>
      <c r="DZ517" s="707"/>
      <c r="EA517" s="707"/>
      <c r="EB517" s="707"/>
      <c r="EC517" s="707"/>
      <c r="ED517" s="707"/>
      <c r="EE517" s="707"/>
      <c r="EF517" s="707"/>
      <c r="EG517" s="707"/>
      <c r="EH517" s="707"/>
      <c r="EI517" s="707"/>
      <c r="EJ517" s="707"/>
      <c r="EK517" s="707"/>
      <c r="EL517" s="707"/>
      <c r="EM517" s="707"/>
      <c r="EN517" s="707"/>
      <c r="EO517" s="707"/>
      <c r="EP517" s="707"/>
      <c r="EQ517" s="707"/>
      <c r="ER517" s="707"/>
      <c r="ES517" s="707"/>
      <c r="ET517" s="707"/>
      <c r="EU517" s="707"/>
      <c r="EV517" s="707"/>
      <c r="EW517" s="707"/>
      <c r="EX517" s="707"/>
      <c r="EY517" s="707"/>
      <c r="EZ517" s="707"/>
      <c r="FA517" s="707"/>
      <c r="FB517" s="707"/>
      <c r="FC517" s="707"/>
      <c r="FD517" s="707"/>
      <c r="FE517" s="707"/>
      <c r="FF517" s="707"/>
      <c r="FG517" s="707"/>
      <c r="FH517" s="707"/>
      <c r="FI517" s="707"/>
      <c r="FJ517" s="707"/>
      <c r="FK517" s="707"/>
      <c r="FL517" s="707"/>
      <c r="FM517" s="707"/>
      <c r="FN517" s="707"/>
      <c r="FO517" s="707"/>
      <c r="FP517" s="707"/>
      <c r="FQ517" s="707"/>
      <c r="FR517" s="707"/>
      <c r="FS517" s="707"/>
      <c r="FT517" s="707"/>
      <c r="FU517" s="707"/>
      <c r="FV517" s="707"/>
      <c r="FW517" s="707"/>
      <c r="FX517" s="707"/>
      <c r="FY517" s="707"/>
      <c r="FZ517" s="707"/>
      <c r="GA517" s="707"/>
      <c r="GB517" s="707"/>
      <c r="GC517" s="707"/>
      <c r="GD517" s="707"/>
      <c r="GE517" s="707"/>
      <c r="GF517" s="707"/>
      <c r="GG517" s="707"/>
      <c r="GH517" s="707"/>
      <c r="GI517" s="707"/>
      <c r="GJ517" s="707"/>
      <c r="GK517" s="707"/>
      <c r="GL517" s="707"/>
      <c r="GM517" s="707"/>
      <c r="GN517" s="707"/>
      <c r="GO517" s="707"/>
      <c r="GP517" s="707"/>
      <c r="GQ517" s="707"/>
      <c r="GR517" s="707"/>
      <c r="GS517" s="707"/>
      <c r="GT517" s="707"/>
      <c r="GU517" s="707"/>
      <c r="GV517" s="707"/>
      <c r="GW517" s="707"/>
      <c r="GX517" s="707"/>
      <c r="GY517" s="707"/>
      <c r="GZ517" s="707"/>
      <c r="HA517" s="707"/>
      <c r="HB517" s="707"/>
      <c r="HC517" s="707"/>
      <c r="HD517" s="707"/>
      <c r="HE517" s="707"/>
      <c r="HF517" s="707"/>
      <c r="HG517" s="707"/>
      <c r="HH517" s="707"/>
      <c r="HI517" s="707"/>
      <c r="HJ517" s="707"/>
      <c r="HK517" s="707"/>
      <c r="HL517" s="707"/>
      <c r="HM517" s="707"/>
      <c r="HN517" s="707"/>
      <c r="HO517" s="707"/>
      <c r="HP517" s="707"/>
      <c r="HQ517" s="707"/>
      <c r="HR517" s="707"/>
      <c r="HS517" s="707"/>
      <c r="HT517" s="707"/>
      <c r="HU517" s="707"/>
      <c r="HV517" s="707"/>
      <c r="HW517" s="707"/>
      <c r="HX517" s="707"/>
      <c r="HY517" s="707"/>
      <c r="HZ517" s="707"/>
      <c r="IA517" s="707"/>
      <c r="IB517" s="707"/>
      <c r="IC517" s="707"/>
      <c r="ID517" s="707"/>
      <c r="IE517" s="707"/>
      <c r="IF517" s="707"/>
      <c r="IG517" s="707"/>
      <c r="IH517" s="707"/>
      <c r="II517" s="707"/>
      <c r="IJ517" s="707"/>
      <c r="IK517" s="707"/>
      <c r="IL517" s="707"/>
      <c r="IM517" s="707"/>
      <c r="IN517" s="707"/>
      <c r="IO517" s="707"/>
      <c r="IP517" s="707"/>
      <c r="IQ517" s="707"/>
      <c r="IR517" s="707"/>
      <c r="IS517" s="707"/>
      <c r="IT517" s="707"/>
      <c r="IU517" s="707"/>
      <c r="IV517" s="707"/>
      <c r="IW517" s="707"/>
    </row>
    <row r="518" customFormat="false" ht="12.75" hidden="false" customHeight="false" outlineLevel="0" collapsed="false">
      <c r="A518" s="724"/>
      <c r="B518" s="725"/>
      <c r="C518" s="725"/>
      <c r="D518" s="725"/>
      <c r="E518" s="713"/>
      <c r="F518" s="713"/>
      <c r="G518" s="713"/>
      <c r="H518" s="713"/>
      <c r="I518" s="713"/>
      <c r="J518" s="713"/>
      <c r="K518" s="713"/>
      <c r="L518" s="713"/>
      <c r="M518" s="713"/>
      <c r="N518" s="713"/>
      <c r="O518" s="713"/>
      <c r="P518" s="713"/>
      <c r="Q518" s="713"/>
      <c r="R518" s="713"/>
      <c r="S518" s="713"/>
      <c r="T518" s="713"/>
      <c r="U518" s="713"/>
      <c r="V518" s="713"/>
      <c r="W518" s="713"/>
      <c r="X518" s="713"/>
      <c r="Y518" s="713"/>
      <c r="Z518" s="713"/>
      <c r="AA518" s="722"/>
      <c r="AB518" s="722"/>
      <c r="AC518" s="722"/>
      <c r="AD518" s="722"/>
      <c r="AE518" s="722"/>
      <c r="AF518" s="722"/>
      <c r="AG518" s="722"/>
      <c r="AH518" s="722"/>
      <c r="AI518" s="722"/>
      <c r="AJ518" s="722"/>
      <c r="AK518" s="722"/>
      <c r="AL518" s="722"/>
      <c r="AM518" s="722"/>
      <c r="AN518" s="722"/>
      <c r="AO518" s="722"/>
      <c r="AP518" s="722"/>
      <c r="AQ518" s="722"/>
      <c r="AR518" s="722"/>
      <c r="AS518" s="722"/>
      <c r="AT518" s="722"/>
      <c r="AU518" s="722"/>
      <c r="AV518" s="722"/>
      <c r="AW518" s="722"/>
      <c r="AX518" s="722"/>
      <c r="AY518" s="722"/>
      <c r="AZ518" s="722"/>
      <c r="BA518" s="722"/>
      <c r="BB518" s="722"/>
      <c r="BC518" s="722"/>
      <c r="BD518" s="722"/>
      <c r="BE518" s="722"/>
      <c r="BF518" s="722"/>
      <c r="BG518" s="722"/>
      <c r="BH518" s="722"/>
      <c r="BI518" s="722"/>
      <c r="BJ518" s="722"/>
      <c r="BK518" s="722"/>
      <c r="BL518" s="722"/>
      <c r="BM518" s="722"/>
      <c r="BN518" s="722"/>
      <c r="BO518" s="722"/>
      <c r="BP518" s="722"/>
      <c r="BQ518" s="722"/>
      <c r="BR518" s="722"/>
      <c r="BS518" s="722"/>
      <c r="BT518" s="722"/>
      <c r="BU518" s="722"/>
      <c r="BV518" s="722"/>
      <c r="BW518" s="722"/>
      <c r="BX518" s="722"/>
      <c r="BY518" s="722"/>
      <c r="BZ518" s="722"/>
      <c r="CA518" s="722"/>
      <c r="CB518" s="722"/>
      <c r="CC518" s="722"/>
      <c r="CD518" s="722"/>
      <c r="CE518" s="722"/>
      <c r="CF518" s="722"/>
      <c r="CG518" s="722"/>
      <c r="CH518" s="722"/>
      <c r="CI518" s="722"/>
      <c r="CJ518" s="722"/>
      <c r="CK518" s="722"/>
      <c r="CL518" s="722"/>
      <c r="CM518" s="722"/>
      <c r="CN518" s="722"/>
      <c r="CO518" s="722"/>
      <c r="CP518" s="722"/>
      <c r="CQ518" s="722"/>
      <c r="CR518" s="722"/>
      <c r="CS518" s="722"/>
      <c r="CT518" s="722"/>
      <c r="CU518" s="722"/>
      <c r="CV518" s="722"/>
      <c r="CW518" s="722"/>
      <c r="CX518" s="722"/>
      <c r="CY518" s="722"/>
      <c r="CZ518" s="722"/>
      <c r="DA518" s="722"/>
      <c r="DB518" s="722"/>
      <c r="DC518" s="722"/>
      <c r="DD518" s="722"/>
      <c r="DE518" s="722"/>
      <c r="DF518" s="722"/>
      <c r="DG518" s="722"/>
      <c r="DH518" s="722"/>
      <c r="DI518" s="722"/>
      <c r="DJ518" s="722"/>
      <c r="DK518" s="722"/>
      <c r="DL518" s="722"/>
      <c r="DM518" s="722"/>
      <c r="DN518" s="722"/>
      <c r="DO518" s="722"/>
      <c r="DP518" s="722"/>
      <c r="DQ518" s="722"/>
      <c r="DR518" s="722"/>
      <c r="DS518" s="722"/>
      <c r="DT518" s="722"/>
      <c r="DU518" s="722"/>
      <c r="DV518" s="722"/>
      <c r="DW518" s="722"/>
      <c r="DX518" s="722"/>
      <c r="DY518" s="722"/>
      <c r="DZ518" s="722"/>
      <c r="EA518" s="722"/>
      <c r="EB518" s="722"/>
      <c r="EC518" s="722"/>
      <c r="ED518" s="722"/>
      <c r="EE518" s="722"/>
      <c r="EF518" s="722"/>
      <c r="EG518" s="722"/>
      <c r="EH518" s="722"/>
      <c r="EI518" s="722"/>
      <c r="EJ518" s="722"/>
      <c r="EK518" s="722"/>
      <c r="EL518" s="722"/>
      <c r="EM518" s="722"/>
      <c r="EN518" s="722"/>
      <c r="EO518" s="722"/>
      <c r="EP518" s="722"/>
      <c r="EQ518" s="722"/>
      <c r="ER518" s="722"/>
      <c r="ES518" s="722"/>
      <c r="ET518" s="722"/>
      <c r="EU518" s="722"/>
      <c r="EV518" s="722"/>
      <c r="EW518" s="722"/>
      <c r="EX518" s="722"/>
      <c r="EY518" s="722"/>
      <c r="EZ518" s="722"/>
      <c r="FA518" s="722"/>
      <c r="FB518" s="722"/>
      <c r="FC518" s="722"/>
      <c r="FD518" s="722"/>
      <c r="FE518" s="722"/>
      <c r="FF518" s="722"/>
      <c r="FG518" s="722"/>
      <c r="FH518" s="722"/>
      <c r="FI518" s="722"/>
      <c r="FJ518" s="722"/>
      <c r="FK518" s="722"/>
      <c r="FL518" s="722"/>
      <c r="FM518" s="722"/>
      <c r="FN518" s="722"/>
      <c r="FO518" s="722"/>
      <c r="FP518" s="722"/>
      <c r="FQ518" s="722"/>
      <c r="FR518" s="722"/>
      <c r="FS518" s="722"/>
      <c r="FT518" s="722"/>
      <c r="FU518" s="722"/>
      <c r="FV518" s="722"/>
      <c r="FW518" s="722"/>
      <c r="FX518" s="722"/>
      <c r="FY518" s="722"/>
      <c r="FZ518" s="722"/>
      <c r="GA518" s="722"/>
      <c r="GB518" s="722"/>
      <c r="GC518" s="722"/>
      <c r="GD518" s="722"/>
      <c r="GE518" s="722"/>
      <c r="GF518" s="722"/>
      <c r="GG518" s="722"/>
      <c r="GH518" s="722"/>
      <c r="GI518" s="722"/>
      <c r="GJ518" s="722"/>
      <c r="GK518" s="722"/>
      <c r="GL518" s="722"/>
      <c r="GM518" s="722"/>
      <c r="GN518" s="722"/>
      <c r="GO518" s="722"/>
      <c r="GP518" s="722"/>
      <c r="GQ518" s="722"/>
      <c r="GR518" s="722"/>
      <c r="GS518" s="722"/>
      <c r="GT518" s="722"/>
      <c r="GU518" s="722"/>
      <c r="GV518" s="722"/>
      <c r="GW518" s="722"/>
      <c r="GX518" s="722"/>
      <c r="GY518" s="722"/>
      <c r="GZ518" s="722"/>
      <c r="HA518" s="722"/>
      <c r="HB518" s="722"/>
      <c r="HC518" s="722"/>
      <c r="HD518" s="722"/>
      <c r="HE518" s="722"/>
      <c r="HF518" s="722"/>
      <c r="HG518" s="722"/>
      <c r="HH518" s="722"/>
      <c r="HI518" s="722"/>
      <c r="HJ518" s="722"/>
      <c r="HK518" s="722"/>
      <c r="HL518" s="722"/>
      <c r="HM518" s="722"/>
      <c r="HN518" s="722"/>
      <c r="HO518" s="722"/>
      <c r="HP518" s="722"/>
      <c r="HQ518" s="722"/>
      <c r="HR518" s="722"/>
      <c r="HS518" s="722"/>
      <c r="HT518" s="722"/>
      <c r="HU518" s="722"/>
      <c r="HV518" s="722"/>
      <c r="HW518" s="722"/>
      <c r="HX518" s="722"/>
      <c r="HY518" s="722"/>
      <c r="HZ518" s="722"/>
      <c r="IA518" s="722"/>
      <c r="IB518" s="722"/>
      <c r="IC518" s="722"/>
      <c r="ID518" s="722"/>
      <c r="IE518" s="722"/>
      <c r="IF518" s="722"/>
      <c r="IG518" s="722"/>
      <c r="IH518" s="722"/>
      <c r="II518" s="722"/>
      <c r="IJ518" s="722"/>
      <c r="IK518" s="722"/>
      <c r="IL518" s="722"/>
      <c r="IM518" s="722"/>
      <c r="IN518" s="722"/>
      <c r="IO518" s="722"/>
      <c r="IP518" s="722"/>
      <c r="IQ518" s="722"/>
      <c r="IR518" s="722"/>
      <c r="IS518" s="722"/>
      <c r="IT518" s="722"/>
      <c r="IU518" s="722"/>
      <c r="IV518" s="722"/>
      <c r="IW518" s="722"/>
    </row>
    <row r="519" customFormat="false" ht="12.75" hidden="false" customHeight="false" outlineLevel="0" collapsed="false">
      <c r="A519" s="388"/>
      <c r="B519" s="719"/>
      <c r="C519" s="719"/>
      <c r="D519" s="719"/>
      <c r="E519" s="713"/>
      <c r="F519" s="713"/>
      <c r="G519" s="713"/>
      <c r="H519" s="713"/>
      <c r="I519" s="713"/>
      <c r="J519" s="713"/>
      <c r="K519" s="713"/>
      <c r="L519" s="713"/>
      <c r="M519" s="713"/>
      <c r="N519" s="713"/>
      <c r="O519" s="713"/>
      <c r="P519" s="713"/>
      <c r="Q519" s="713"/>
      <c r="R519" s="713"/>
      <c r="S519" s="713"/>
      <c r="T519" s="713"/>
      <c r="U519" s="713"/>
      <c r="V519" s="713"/>
      <c r="W519" s="713"/>
      <c r="X519" s="713"/>
      <c r="Y519" s="713"/>
      <c r="Z519" s="713"/>
      <c r="AA519" s="707"/>
      <c r="AB519" s="707"/>
      <c r="AC519" s="707"/>
      <c r="AD519" s="707"/>
      <c r="AE519" s="707"/>
      <c r="AF519" s="707"/>
      <c r="AG519" s="707"/>
      <c r="AH519" s="707"/>
      <c r="AI519" s="707"/>
      <c r="AJ519" s="707"/>
      <c r="AK519" s="707"/>
      <c r="AL519" s="707"/>
      <c r="AM519" s="707"/>
      <c r="AN519" s="707"/>
      <c r="AO519" s="707"/>
      <c r="AP519" s="707"/>
      <c r="AQ519" s="707"/>
      <c r="AR519" s="707"/>
      <c r="AS519" s="707"/>
      <c r="AT519" s="707"/>
      <c r="AU519" s="707"/>
      <c r="AV519" s="707"/>
      <c r="AW519" s="707"/>
      <c r="AX519" s="707"/>
      <c r="AY519" s="707"/>
      <c r="AZ519" s="707"/>
      <c r="BA519" s="707"/>
      <c r="BB519" s="707"/>
      <c r="BC519" s="707"/>
      <c r="BD519" s="707"/>
      <c r="BE519" s="707"/>
      <c r="BF519" s="707"/>
      <c r="BG519" s="707"/>
      <c r="BH519" s="707"/>
      <c r="BI519" s="707"/>
      <c r="BJ519" s="707"/>
      <c r="BK519" s="707"/>
      <c r="BL519" s="707"/>
      <c r="BM519" s="707"/>
      <c r="BN519" s="707"/>
      <c r="BO519" s="707"/>
      <c r="BP519" s="707"/>
      <c r="BQ519" s="707"/>
      <c r="BR519" s="707"/>
      <c r="BS519" s="707"/>
      <c r="BT519" s="707"/>
      <c r="BU519" s="707"/>
      <c r="BV519" s="707"/>
      <c r="BW519" s="707"/>
      <c r="BX519" s="707"/>
      <c r="BY519" s="707"/>
      <c r="BZ519" s="707"/>
      <c r="CA519" s="707"/>
      <c r="CB519" s="707"/>
      <c r="CC519" s="707"/>
      <c r="CD519" s="707"/>
      <c r="CE519" s="707"/>
      <c r="CF519" s="707"/>
      <c r="CG519" s="707"/>
      <c r="CH519" s="707"/>
      <c r="CI519" s="707"/>
      <c r="CJ519" s="707"/>
      <c r="CK519" s="707"/>
      <c r="CL519" s="707"/>
      <c r="CM519" s="707"/>
      <c r="CN519" s="707"/>
      <c r="CO519" s="707"/>
      <c r="CP519" s="707"/>
      <c r="CQ519" s="707"/>
      <c r="CR519" s="707"/>
      <c r="CS519" s="707"/>
      <c r="CT519" s="707"/>
      <c r="CU519" s="707"/>
      <c r="CV519" s="707"/>
      <c r="CW519" s="707"/>
      <c r="CX519" s="707"/>
      <c r="CY519" s="707"/>
      <c r="CZ519" s="707"/>
      <c r="DA519" s="707"/>
      <c r="DB519" s="707"/>
      <c r="DC519" s="707"/>
      <c r="DD519" s="707"/>
      <c r="DE519" s="707"/>
      <c r="DF519" s="707"/>
      <c r="DG519" s="707"/>
      <c r="DH519" s="707"/>
      <c r="DI519" s="707"/>
      <c r="DJ519" s="707"/>
      <c r="DK519" s="707"/>
      <c r="DL519" s="707"/>
      <c r="DM519" s="707"/>
      <c r="DN519" s="707"/>
      <c r="DO519" s="707"/>
      <c r="DP519" s="707"/>
      <c r="DQ519" s="707"/>
      <c r="DR519" s="707"/>
      <c r="DS519" s="707"/>
      <c r="DT519" s="707"/>
      <c r="DU519" s="707"/>
      <c r="DV519" s="707"/>
      <c r="DW519" s="707"/>
      <c r="DX519" s="707"/>
      <c r="DY519" s="707"/>
      <c r="DZ519" s="707"/>
      <c r="EA519" s="707"/>
      <c r="EB519" s="707"/>
      <c r="EC519" s="707"/>
      <c r="ED519" s="707"/>
      <c r="EE519" s="707"/>
      <c r="EF519" s="707"/>
      <c r="EG519" s="707"/>
      <c r="EH519" s="707"/>
      <c r="EI519" s="707"/>
      <c r="EJ519" s="707"/>
      <c r="EK519" s="707"/>
      <c r="EL519" s="707"/>
      <c r="EM519" s="707"/>
      <c r="EN519" s="707"/>
      <c r="EO519" s="707"/>
      <c r="EP519" s="707"/>
      <c r="EQ519" s="707"/>
      <c r="ER519" s="707"/>
      <c r="ES519" s="707"/>
      <c r="ET519" s="707"/>
      <c r="EU519" s="707"/>
      <c r="EV519" s="707"/>
      <c r="EW519" s="707"/>
      <c r="EX519" s="707"/>
      <c r="EY519" s="707"/>
      <c r="EZ519" s="707"/>
      <c r="FA519" s="707"/>
      <c r="FB519" s="707"/>
      <c r="FC519" s="707"/>
      <c r="FD519" s="707"/>
      <c r="FE519" s="707"/>
      <c r="FF519" s="707"/>
      <c r="FG519" s="707"/>
      <c r="FH519" s="707"/>
      <c r="FI519" s="707"/>
      <c r="FJ519" s="707"/>
      <c r="FK519" s="707"/>
      <c r="FL519" s="707"/>
      <c r="FM519" s="707"/>
      <c r="FN519" s="707"/>
      <c r="FO519" s="707"/>
      <c r="FP519" s="707"/>
      <c r="FQ519" s="707"/>
      <c r="FR519" s="707"/>
      <c r="FS519" s="707"/>
      <c r="FT519" s="707"/>
      <c r="FU519" s="707"/>
      <c r="FV519" s="707"/>
      <c r="FW519" s="707"/>
      <c r="FX519" s="707"/>
      <c r="FY519" s="707"/>
      <c r="FZ519" s="707"/>
      <c r="GA519" s="707"/>
      <c r="GB519" s="707"/>
      <c r="GC519" s="707"/>
      <c r="GD519" s="707"/>
      <c r="GE519" s="707"/>
      <c r="GF519" s="707"/>
      <c r="GG519" s="707"/>
      <c r="GH519" s="707"/>
      <c r="GI519" s="707"/>
      <c r="GJ519" s="707"/>
      <c r="GK519" s="707"/>
      <c r="GL519" s="707"/>
      <c r="GM519" s="707"/>
      <c r="GN519" s="707"/>
      <c r="GO519" s="707"/>
      <c r="GP519" s="707"/>
      <c r="GQ519" s="707"/>
      <c r="GR519" s="707"/>
      <c r="GS519" s="707"/>
      <c r="GT519" s="707"/>
      <c r="GU519" s="707"/>
      <c r="GV519" s="707"/>
      <c r="GW519" s="707"/>
      <c r="GX519" s="707"/>
      <c r="GY519" s="707"/>
      <c r="GZ519" s="707"/>
      <c r="HA519" s="707"/>
      <c r="HB519" s="707"/>
      <c r="HC519" s="707"/>
      <c r="HD519" s="707"/>
      <c r="HE519" s="707"/>
      <c r="HF519" s="707"/>
      <c r="HG519" s="707"/>
      <c r="HH519" s="707"/>
      <c r="HI519" s="707"/>
      <c r="HJ519" s="707"/>
      <c r="HK519" s="707"/>
      <c r="HL519" s="707"/>
      <c r="HM519" s="707"/>
      <c r="HN519" s="707"/>
      <c r="HO519" s="707"/>
      <c r="HP519" s="707"/>
      <c r="HQ519" s="707"/>
      <c r="HR519" s="707"/>
      <c r="HS519" s="707"/>
      <c r="HT519" s="707"/>
      <c r="HU519" s="707"/>
      <c r="HV519" s="707"/>
      <c r="HW519" s="707"/>
      <c r="HX519" s="707"/>
      <c r="HY519" s="707"/>
      <c r="HZ519" s="707"/>
      <c r="IA519" s="707"/>
      <c r="IB519" s="707"/>
      <c r="IC519" s="707"/>
      <c r="ID519" s="707"/>
      <c r="IE519" s="707"/>
      <c r="IF519" s="707"/>
      <c r="IG519" s="707"/>
      <c r="IH519" s="707"/>
      <c r="II519" s="707"/>
      <c r="IJ519" s="707"/>
      <c r="IK519" s="707"/>
      <c r="IL519" s="707"/>
      <c r="IM519" s="707"/>
      <c r="IN519" s="707"/>
      <c r="IO519" s="707"/>
      <c r="IP519" s="707"/>
      <c r="IQ519" s="707"/>
      <c r="IR519" s="707"/>
      <c r="IS519" s="707"/>
      <c r="IT519" s="707"/>
      <c r="IU519" s="707"/>
      <c r="IV519" s="707"/>
      <c r="IW519" s="707"/>
    </row>
    <row r="520" customFormat="false" ht="12.75" hidden="false" customHeight="false" outlineLevel="0" collapsed="false">
      <c r="A520" s="388"/>
      <c r="B520" s="719"/>
      <c r="C520" s="719"/>
      <c r="D520" s="719"/>
      <c r="E520" s="713"/>
      <c r="F520" s="713"/>
      <c r="G520" s="713"/>
      <c r="H520" s="713"/>
      <c r="I520" s="713"/>
      <c r="J520" s="713"/>
      <c r="K520" s="713"/>
      <c r="L520" s="713"/>
      <c r="M520" s="713"/>
      <c r="N520" s="713"/>
      <c r="O520" s="713"/>
      <c r="P520" s="713"/>
      <c r="Q520" s="713"/>
      <c r="R520" s="713"/>
      <c r="S520" s="713"/>
      <c r="T520" s="713"/>
      <c r="U520" s="713"/>
      <c r="V520" s="713"/>
      <c r="W520" s="713"/>
      <c r="X520" s="713"/>
      <c r="Y520" s="713"/>
      <c r="Z520" s="713"/>
      <c r="AA520" s="707"/>
      <c r="AB520" s="707"/>
      <c r="AC520" s="707"/>
      <c r="AD520" s="707"/>
      <c r="AE520" s="707"/>
      <c r="AF520" s="707"/>
      <c r="AG520" s="707"/>
      <c r="AH520" s="707"/>
      <c r="AI520" s="707"/>
      <c r="AJ520" s="707"/>
      <c r="AK520" s="707"/>
      <c r="AL520" s="707"/>
      <c r="AM520" s="707"/>
      <c r="AN520" s="707"/>
      <c r="AO520" s="707"/>
      <c r="AP520" s="707"/>
      <c r="AQ520" s="707"/>
      <c r="AR520" s="707"/>
      <c r="AS520" s="707"/>
      <c r="AT520" s="707"/>
      <c r="AU520" s="707"/>
      <c r="AV520" s="707"/>
      <c r="AW520" s="707"/>
      <c r="AX520" s="707"/>
      <c r="AY520" s="707"/>
      <c r="AZ520" s="707"/>
      <c r="BA520" s="707"/>
      <c r="BB520" s="707"/>
      <c r="BC520" s="707"/>
      <c r="BD520" s="707"/>
      <c r="BE520" s="707"/>
      <c r="BF520" s="707"/>
      <c r="BG520" s="707"/>
      <c r="BH520" s="707"/>
      <c r="BI520" s="707"/>
      <c r="BJ520" s="707"/>
      <c r="BK520" s="707"/>
      <c r="BL520" s="707"/>
      <c r="BM520" s="707"/>
      <c r="BN520" s="707"/>
      <c r="BO520" s="707"/>
      <c r="BP520" s="707"/>
      <c r="BQ520" s="707"/>
      <c r="BR520" s="707"/>
      <c r="BS520" s="707"/>
      <c r="BT520" s="707"/>
      <c r="BU520" s="707"/>
      <c r="BV520" s="707"/>
      <c r="BW520" s="707"/>
      <c r="BX520" s="707"/>
      <c r="BY520" s="707"/>
      <c r="BZ520" s="707"/>
      <c r="CA520" s="707"/>
      <c r="CB520" s="707"/>
      <c r="CC520" s="707"/>
      <c r="CD520" s="707"/>
      <c r="CE520" s="707"/>
      <c r="CF520" s="707"/>
      <c r="CG520" s="707"/>
      <c r="CH520" s="707"/>
      <c r="CI520" s="707"/>
      <c r="CJ520" s="707"/>
      <c r="CK520" s="707"/>
      <c r="CL520" s="707"/>
      <c r="CM520" s="707"/>
      <c r="CN520" s="707"/>
      <c r="CO520" s="707"/>
      <c r="CP520" s="707"/>
      <c r="CQ520" s="707"/>
      <c r="CR520" s="707"/>
      <c r="CS520" s="707"/>
      <c r="CT520" s="707"/>
      <c r="CU520" s="707"/>
      <c r="CV520" s="707"/>
      <c r="CW520" s="707"/>
      <c r="CX520" s="707"/>
      <c r="CY520" s="707"/>
      <c r="CZ520" s="707"/>
      <c r="DA520" s="707"/>
      <c r="DB520" s="707"/>
      <c r="DC520" s="707"/>
      <c r="DD520" s="707"/>
      <c r="DE520" s="707"/>
      <c r="DF520" s="707"/>
      <c r="DG520" s="707"/>
      <c r="DH520" s="707"/>
      <c r="DI520" s="707"/>
      <c r="DJ520" s="707"/>
      <c r="DK520" s="707"/>
      <c r="DL520" s="707"/>
      <c r="DM520" s="707"/>
      <c r="DN520" s="707"/>
      <c r="DO520" s="707"/>
      <c r="DP520" s="707"/>
      <c r="DQ520" s="707"/>
      <c r="DR520" s="707"/>
      <c r="DS520" s="707"/>
      <c r="DT520" s="707"/>
      <c r="DU520" s="707"/>
      <c r="DV520" s="707"/>
      <c r="DW520" s="707"/>
      <c r="DX520" s="707"/>
      <c r="DY520" s="707"/>
      <c r="DZ520" s="707"/>
      <c r="EA520" s="707"/>
      <c r="EB520" s="707"/>
      <c r="EC520" s="707"/>
      <c r="ED520" s="707"/>
      <c r="EE520" s="707"/>
      <c r="EF520" s="707"/>
      <c r="EG520" s="707"/>
      <c r="EH520" s="707"/>
      <c r="EI520" s="707"/>
      <c r="EJ520" s="707"/>
      <c r="EK520" s="707"/>
      <c r="EL520" s="707"/>
      <c r="EM520" s="707"/>
      <c r="EN520" s="707"/>
      <c r="EO520" s="707"/>
      <c r="EP520" s="707"/>
      <c r="EQ520" s="707"/>
      <c r="ER520" s="707"/>
      <c r="ES520" s="707"/>
      <c r="ET520" s="707"/>
      <c r="EU520" s="707"/>
      <c r="EV520" s="707"/>
      <c r="EW520" s="707"/>
      <c r="EX520" s="707"/>
      <c r="EY520" s="707"/>
      <c r="EZ520" s="707"/>
      <c r="FA520" s="707"/>
      <c r="FB520" s="707"/>
      <c r="FC520" s="707"/>
      <c r="FD520" s="707"/>
      <c r="FE520" s="707"/>
      <c r="FF520" s="707"/>
      <c r="FG520" s="707"/>
      <c r="FH520" s="707"/>
      <c r="FI520" s="707"/>
      <c r="FJ520" s="707"/>
      <c r="FK520" s="707"/>
      <c r="FL520" s="707"/>
      <c r="FM520" s="707"/>
      <c r="FN520" s="707"/>
      <c r="FO520" s="707"/>
      <c r="FP520" s="707"/>
      <c r="FQ520" s="707"/>
      <c r="FR520" s="707"/>
      <c r="FS520" s="707"/>
      <c r="FT520" s="707"/>
      <c r="FU520" s="707"/>
      <c r="FV520" s="707"/>
      <c r="FW520" s="707"/>
      <c r="FX520" s="707"/>
      <c r="FY520" s="707"/>
      <c r="FZ520" s="707"/>
      <c r="GA520" s="707"/>
      <c r="GB520" s="707"/>
      <c r="GC520" s="707"/>
      <c r="GD520" s="707"/>
      <c r="GE520" s="707"/>
      <c r="GF520" s="707"/>
      <c r="GG520" s="707"/>
      <c r="GH520" s="707"/>
      <c r="GI520" s="707"/>
      <c r="GJ520" s="707"/>
      <c r="GK520" s="707"/>
      <c r="GL520" s="707"/>
      <c r="GM520" s="707"/>
      <c r="GN520" s="707"/>
      <c r="GO520" s="707"/>
      <c r="GP520" s="707"/>
      <c r="GQ520" s="707"/>
      <c r="GR520" s="707"/>
      <c r="GS520" s="707"/>
      <c r="GT520" s="707"/>
      <c r="GU520" s="707"/>
      <c r="GV520" s="707"/>
      <c r="GW520" s="707"/>
      <c r="GX520" s="707"/>
      <c r="GY520" s="707"/>
      <c r="GZ520" s="707"/>
      <c r="HA520" s="707"/>
      <c r="HB520" s="707"/>
      <c r="HC520" s="707"/>
      <c r="HD520" s="707"/>
      <c r="HE520" s="707"/>
      <c r="HF520" s="707"/>
      <c r="HG520" s="707"/>
      <c r="HH520" s="707"/>
      <c r="HI520" s="707"/>
      <c r="HJ520" s="707"/>
      <c r="HK520" s="707"/>
      <c r="HL520" s="707"/>
      <c r="HM520" s="707"/>
      <c r="HN520" s="707"/>
      <c r="HO520" s="707"/>
      <c r="HP520" s="707"/>
      <c r="HQ520" s="707"/>
      <c r="HR520" s="707"/>
      <c r="HS520" s="707"/>
      <c r="HT520" s="707"/>
      <c r="HU520" s="707"/>
      <c r="HV520" s="707"/>
      <c r="HW520" s="707"/>
      <c r="HX520" s="707"/>
      <c r="HY520" s="707"/>
      <c r="HZ520" s="707"/>
      <c r="IA520" s="707"/>
      <c r="IB520" s="707"/>
      <c r="IC520" s="707"/>
      <c r="ID520" s="707"/>
      <c r="IE520" s="707"/>
      <c r="IF520" s="707"/>
      <c r="IG520" s="707"/>
      <c r="IH520" s="707"/>
      <c r="II520" s="707"/>
      <c r="IJ520" s="707"/>
      <c r="IK520" s="707"/>
      <c r="IL520" s="707"/>
      <c r="IM520" s="707"/>
      <c r="IN520" s="707"/>
      <c r="IO520" s="707"/>
      <c r="IP520" s="707"/>
      <c r="IQ520" s="707"/>
      <c r="IR520" s="707"/>
      <c r="IS520" s="707"/>
      <c r="IT520" s="707"/>
      <c r="IU520" s="707"/>
      <c r="IV520" s="707"/>
      <c r="IW520" s="707"/>
    </row>
    <row r="521" customFormat="false" ht="12.75" hidden="false" customHeight="false" outlineLevel="0" collapsed="false">
      <c r="A521" s="388"/>
      <c r="B521" s="719"/>
      <c r="C521" s="719"/>
      <c r="D521" s="719"/>
      <c r="E521" s="713"/>
      <c r="F521" s="713"/>
      <c r="G521" s="713"/>
      <c r="H521" s="713"/>
      <c r="I521" s="713"/>
      <c r="J521" s="713"/>
      <c r="K521" s="713"/>
      <c r="L521" s="713"/>
      <c r="M521" s="713"/>
      <c r="N521" s="713"/>
      <c r="O521" s="713"/>
      <c r="P521" s="713"/>
      <c r="Q521" s="713"/>
      <c r="R521" s="713"/>
      <c r="S521" s="713"/>
      <c r="T521" s="713"/>
      <c r="U521" s="713"/>
      <c r="V521" s="713"/>
      <c r="W521" s="713"/>
      <c r="X521" s="713"/>
      <c r="Y521" s="713"/>
      <c r="Z521" s="713"/>
      <c r="AA521" s="707"/>
      <c r="AB521" s="707"/>
      <c r="AC521" s="707"/>
      <c r="AD521" s="707"/>
      <c r="AE521" s="707"/>
      <c r="AF521" s="707"/>
      <c r="AG521" s="707"/>
      <c r="AH521" s="707"/>
      <c r="AI521" s="707"/>
      <c r="AJ521" s="707"/>
      <c r="AK521" s="707"/>
      <c r="AL521" s="707"/>
      <c r="AM521" s="707"/>
      <c r="AN521" s="707"/>
      <c r="AO521" s="707"/>
      <c r="AP521" s="707"/>
      <c r="AQ521" s="707"/>
      <c r="AR521" s="707"/>
      <c r="AS521" s="707"/>
      <c r="AT521" s="707"/>
      <c r="AU521" s="707"/>
      <c r="AV521" s="707"/>
      <c r="AW521" s="707"/>
      <c r="AX521" s="707"/>
      <c r="AY521" s="707"/>
      <c r="AZ521" s="707"/>
      <c r="BA521" s="707"/>
      <c r="BB521" s="707"/>
      <c r="BC521" s="707"/>
      <c r="BD521" s="707"/>
      <c r="BE521" s="707"/>
      <c r="BF521" s="707"/>
      <c r="BG521" s="707"/>
      <c r="BH521" s="707"/>
      <c r="BI521" s="707"/>
      <c r="BJ521" s="707"/>
      <c r="BK521" s="707"/>
      <c r="BL521" s="707"/>
      <c r="BM521" s="707"/>
      <c r="BN521" s="707"/>
      <c r="BO521" s="707"/>
      <c r="BP521" s="707"/>
      <c r="BQ521" s="707"/>
      <c r="BR521" s="707"/>
      <c r="BS521" s="707"/>
      <c r="BT521" s="707"/>
      <c r="BU521" s="707"/>
      <c r="BV521" s="707"/>
      <c r="BW521" s="707"/>
      <c r="BX521" s="707"/>
      <c r="BY521" s="707"/>
      <c r="BZ521" s="707"/>
      <c r="CA521" s="707"/>
      <c r="CB521" s="707"/>
      <c r="CC521" s="707"/>
      <c r="CD521" s="707"/>
      <c r="CE521" s="707"/>
      <c r="CF521" s="707"/>
      <c r="CG521" s="707"/>
      <c r="CH521" s="707"/>
      <c r="CI521" s="707"/>
      <c r="CJ521" s="707"/>
      <c r="CK521" s="707"/>
      <c r="CL521" s="707"/>
      <c r="CM521" s="707"/>
      <c r="CN521" s="707"/>
      <c r="CO521" s="707"/>
      <c r="CP521" s="707"/>
      <c r="CQ521" s="707"/>
      <c r="CR521" s="707"/>
      <c r="CS521" s="707"/>
      <c r="CT521" s="707"/>
      <c r="CU521" s="707"/>
      <c r="CV521" s="707"/>
      <c r="CW521" s="707"/>
      <c r="CX521" s="707"/>
      <c r="CY521" s="707"/>
      <c r="CZ521" s="707"/>
      <c r="DA521" s="707"/>
      <c r="DB521" s="707"/>
      <c r="DC521" s="707"/>
      <c r="DD521" s="707"/>
      <c r="DE521" s="707"/>
      <c r="DF521" s="707"/>
      <c r="DG521" s="707"/>
      <c r="DH521" s="707"/>
      <c r="DI521" s="707"/>
      <c r="DJ521" s="707"/>
      <c r="DK521" s="707"/>
      <c r="DL521" s="707"/>
      <c r="DM521" s="707"/>
      <c r="DN521" s="707"/>
      <c r="DO521" s="707"/>
      <c r="DP521" s="707"/>
      <c r="DQ521" s="707"/>
      <c r="DR521" s="707"/>
      <c r="DS521" s="707"/>
      <c r="DT521" s="707"/>
      <c r="DU521" s="707"/>
      <c r="DV521" s="707"/>
      <c r="DW521" s="707"/>
      <c r="DX521" s="707"/>
      <c r="DY521" s="707"/>
      <c r="DZ521" s="707"/>
      <c r="EA521" s="707"/>
      <c r="EB521" s="707"/>
      <c r="EC521" s="707"/>
      <c r="ED521" s="707"/>
      <c r="EE521" s="707"/>
      <c r="EF521" s="707"/>
      <c r="EG521" s="707"/>
      <c r="EH521" s="707"/>
      <c r="EI521" s="707"/>
      <c r="EJ521" s="707"/>
      <c r="EK521" s="707"/>
      <c r="EL521" s="707"/>
      <c r="EM521" s="707"/>
      <c r="EN521" s="707"/>
      <c r="EO521" s="707"/>
      <c r="EP521" s="707"/>
      <c r="EQ521" s="707"/>
      <c r="ER521" s="707"/>
      <c r="ES521" s="707"/>
      <c r="ET521" s="707"/>
      <c r="EU521" s="707"/>
      <c r="EV521" s="707"/>
      <c r="EW521" s="707"/>
      <c r="EX521" s="707"/>
      <c r="EY521" s="707"/>
      <c r="EZ521" s="707"/>
      <c r="FA521" s="707"/>
      <c r="FB521" s="707"/>
      <c r="FC521" s="707"/>
      <c r="FD521" s="707"/>
      <c r="FE521" s="707"/>
      <c r="FF521" s="707"/>
      <c r="FG521" s="707"/>
      <c r="FH521" s="707"/>
      <c r="FI521" s="707"/>
      <c r="FJ521" s="707"/>
      <c r="FK521" s="707"/>
      <c r="FL521" s="707"/>
      <c r="FM521" s="707"/>
      <c r="FN521" s="707"/>
      <c r="FO521" s="707"/>
      <c r="FP521" s="707"/>
      <c r="FQ521" s="707"/>
      <c r="FR521" s="707"/>
      <c r="FS521" s="707"/>
      <c r="FT521" s="707"/>
      <c r="FU521" s="707"/>
      <c r="FV521" s="707"/>
      <c r="FW521" s="707"/>
      <c r="FX521" s="707"/>
      <c r="FY521" s="707"/>
      <c r="FZ521" s="707"/>
      <c r="GA521" s="707"/>
      <c r="GB521" s="707"/>
      <c r="GC521" s="707"/>
      <c r="GD521" s="707"/>
      <c r="GE521" s="707"/>
      <c r="GF521" s="707"/>
      <c r="GG521" s="707"/>
      <c r="GH521" s="707"/>
      <c r="GI521" s="707"/>
      <c r="GJ521" s="707"/>
      <c r="GK521" s="707"/>
      <c r="GL521" s="707"/>
      <c r="GM521" s="707"/>
      <c r="GN521" s="707"/>
      <c r="GO521" s="707"/>
      <c r="GP521" s="707"/>
      <c r="GQ521" s="707"/>
      <c r="GR521" s="707"/>
      <c r="GS521" s="707"/>
      <c r="GT521" s="707"/>
      <c r="GU521" s="707"/>
      <c r="GV521" s="707"/>
      <c r="GW521" s="707"/>
      <c r="GX521" s="707"/>
      <c r="GY521" s="707"/>
      <c r="GZ521" s="707"/>
      <c r="HA521" s="707"/>
      <c r="HB521" s="707"/>
      <c r="HC521" s="707"/>
      <c r="HD521" s="707"/>
      <c r="HE521" s="707"/>
      <c r="HF521" s="707"/>
      <c r="HG521" s="707"/>
      <c r="HH521" s="707"/>
      <c r="HI521" s="707"/>
      <c r="HJ521" s="707"/>
      <c r="HK521" s="707"/>
      <c r="HL521" s="707"/>
      <c r="HM521" s="707"/>
      <c r="HN521" s="707"/>
      <c r="HO521" s="707"/>
      <c r="HP521" s="707"/>
      <c r="HQ521" s="707"/>
      <c r="HR521" s="707"/>
      <c r="HS521" s="707"/>
      <c r="HT521" s="707"/>
      <c r="HU521" s="707"/>
      <c r="HV521" s="707"/>
      <c r="HW521" s="707"/>
      <c r="HX521" s="707"/>
      <c r="HY521" s="707"/>
      <c r="HZ521" s="707"/>
      <c r="IA521" s="707"/>
      <c r="IB521" s="707"/>
      <c r="IC521" s="707"/>
      <c r="ID521" s="707"/>
      <c r="IE521" s="707"/>
      <c r="IF521" s="707"/>
      <c r="IG521" s="707"/>
      <c r="IH521" s="707"/>
      <c r="II521" s="707"/>
      <c r="IJ521" s="707"/>
      <c r="IK521" s="707"/>
      <c r="IL521" s="707"/>
      <c r="IM521" s="707"/>
      <c r="IN521" s="707"/>
      <c r="IO521" s="707"/>
      <c r="IP521" s="707"/>
      <c r="IQ521" s="707"/>
      <c r="IR521" s="707"/>
      <c r="IS521" s="707"/>
      <c r="IT521" s="707"/>
      <c r="IU521" s="707"/>
      <c r="IV521" s="707"/>
      <c r="IW521" s="707"/>
    </row>
    <row r="522" customFormat="false" ht="12.75" hidden="false" customHeight="false" outlineLevel="0" collapsed="false">
      <c r="A522" s="70"/>
      <c r="B522" s="70"/>
      <c r="C522" s="70"/>
      <c r="D522" s="70"/>
      <c r="E522" s="70"/>
      <c r="F522" s="70"/>
      <c r="G522" s="70"/>
      <c r="H522" s="70"/>
      <c r="I522" s="70"/>
      <c r="J522" s="70"/>
      <c r="K522" s="70"/>
      <c r="L522" s="70"/>
      <c r="M522" s="70"/>
      <c r="N522" s="70"/>
      <c r="O522" s="70"/>
      <c r="P522" s="70"/>
      <c r="Q522" s="70"/>
      <c r="R522" s="70"/>
      <c r="S522" s="70"/>
      <c r="T522" s="70"/>
      <c r="U522" s="70"/>
      <c r="V522" s="70"/>
      <c r="W522" s="70"/>
      <c r="X522" s="70"/>
      <c r="Y522" s="70"/>
      <c r="Z522" s="70"/>
    </row>
    <row r="523" customFormat="false" ht="12.75" hidden="false" customHeight="false" outlineLevel="0" collapsed="false">
      <c r="A523" s="70"/>
      <c r="B523" s="70"/>
      <c r="C523" s="70"/>
      <c r="D523" s="70"/>
      <c r="E523" s="70"/>
      <c r="F523" s="70"/>
      <c r="G523" s="70"/>
      <c r="H523" s="70"/>
      <c r="I523" s="70"/>
      <c r="J523" s="70"/>
      <c r="K523" s="70"/>
      <c r="L523" s="70"/>
      <c r="M523" s="70"/>
      <c r="N523" s="70"/>
      <c r="O523" s="70"/>
      <c r="P523" s="70"/>
      <c r="Q523" s="70"/>
      <c r="R523" s="70"/>
      <c r="S523" s="70"/>
      <c r="T523" s="70"/>
      <c r="U523" s="70"/>
      <c r="V523" s="70"/>
      <c r="W523" s="70"/>
      <c r="X523" s="70"/>
      <c r="Y523" s="70"/>
      <c r="Z523" s="70"/>
    </row>
    <row r="524" customFormat="false" ht="12.75" hidden="false" customHeight="false" outlineLevel="0" collapsed="false">
      <c r="A524" s="70"/>
      <c r="B524" s="70"/>
      <c r="C524" s="70"/>
      <c r="D524" s="70"/>
      <c r="E524" s="70"/>
      <c r="F524" s="70"/>
      <c r="G524" s="70"/>
      <c r="H524" s="70"/>
      <c r="I524" s="70"/>
      <c r="J524" s="70"/>
      <c r="K524" s="70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  <c r="Y524" s="70"/>
      <c r="Z524" s="70"/>
    </row>
    <row r="525" customFormat="false" ht="18.75" hidden="false" customHeight="false" outlineLevel="0" collapsed="false">
      <c r="A525" s="683"/>
      <c r="B525" s="70"/>
      <c r="C525" s="70"/>
      <c r="D525" s="70"/>
      <c r="E525" s="70"/>
      <c r="F525" s="70"/>
      <c r="G525" s="70"/>
      <c r="H525" s="70"/>
      <c r="I525" s="70"/>
      <c r="J525" s="70"/>
      <c r="K525" s="70"/>
      <c r="L525" s="70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  <c r="Y525" s="70"/>
      <c r="Z525" s="70"/>
    </row>
    <row r="526" customFormat="false" ht="12.75" hidden="false" customHeight="false" outlineLevel="0" collapsed="false">
      <c r="A526" s="395"/>
      <c r="B526" s="70"/>
      <c r="C526" s="70"/>
      <c r="D526" s="70"/>
      <c r="E526" s="70"/>
      <c r="F526" s="70"/>
      <c r="G526" s="70"/>
      <c r="H526" s="70"/>
      <c r="I526" s="70"/>
      <c r="J526" s="70"/>
      <c r="K526" s="70"/>
      <c r="L526" s="70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  <c r="Y526" s="70"/>
      <c r="Z526" s="70"/>
    </row>
    <row r="527" customFormat="false" ht="12.75" hidden="false" customHeight="false" outlineLevel="0" collapsed="false">
      <c r="A527" s="727"/>
      <c r="B527" s="70"/>
      <c r="C527" s="70"/>
      <c r="D527" s="70"/>
      <c r="E527" s="70"/>
      <c r="F527" s="692"/>
      <c r="G527" s="692"/>
      <c r="H527" s="692"/>
      <c r="I527" s="692"/>
      <c r="J527" s="692"/>
      <c r="K527" s="692"/>
      <c r="L527" s="692"/>
      <c r="M527" s="692"/>
      <c r="N527" s="692"/>
      <c r="O527" s="692"/>
      <c r="P527" s="692"/>
      <c r="Q527" s="692"/>
      <c r="R527" s="70"/>
      <c r="S527" s="70"/>
      <c r="T527" s="70"/>
      <c r="U527" s="70"/>
      <c r="V527" s="70"/>
      <c r="W527" s="70"/>
      <c r="X527" s="70"/>
      <c r="Y527" s="70"/>
      <c r="Z527" s="70"/>
    </row>
    <row r="528" customFormat="false" ht="12.75" hidden="false" customHeight="false" outlineLevel="0" collapsed="false">
      <c r="A528" s="70"/>
      <c r="B528" s="70"/>
      <c r="C528" s="70"/>
      <c r="D528" s="70"/>
      <c r="E528" s="70"/>
      <c r="F528" s="70"/>
      <c r="G528" s="70"/>
      <c r="H528" s="70"/>
      <c r="I528" s="70"/>
      <c r="J528" s="70"/>
      <c r="K528" s="70"/>
      <c r="L528" s="70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  <c r="Y528" s="70"/>
      <c r="Z528" s="70"/>
    </row>
    <row r="529" customFormat="false" ht="12.75" hidden="false" customHeight="false" outlineLevel="0" collapsed="false">
      <c r="A529" s="322"/>
      <c r="B529" s="322"/>
      <c r="C529" s="322"/>
      <c r="D529" s="322"/>
      <c r="E529" s="321"/>
      <c r="F529" s="321"/>
      <c r="G529" s="321"/>
      <c r="H529" s="321"/>
      <c r="I529" s="321"/>
      <c r="J529" s="321"/>
      <c r="K529" s="321"/>
      <c r="L529" s="321"/>
      <c r="M529" s="321"/>
      <c r="N529" s="321"/>
      <c r="O529" s="321"/>
      <c r="P529" s="321"/>
      <c r="Q529" s="321"/>
      <c r="R529" s="70"/>
      <c r="S529" s="70"/>
      <c r="T529" s="70"/>
      <c r="U529" s="70"/>
      <c r="V529" s="70"/>
      <c r="W529" s="70"/>
      <c r="X529" s="70"/>
      <c r="Y529" s="70"/>
      <c r="Z529" s="70"/>
    </row>
    <row r="530" customFormat="false" ht="12.75" hidden="true" customHeight="false" outlineLevel="1" collapsed="false">
      <c r="A530" s="395"/>
      <c r="B530" s="70"/>
      <c r="C530" s="70"/>
      <c r="D530" s="70"/>
      <c r="E530" s="70"/>
      <c r="F530" s="70"/>
      <c r="G530" s="70"/>
      <c r="H530" s="70"/>
      <c r="I530" s="70"/>
      <c r="J530" s="70"/>
      <c r="K530" s="70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  <c r="Y530" s="70"/>
      <c r="Z530" s="70"/>
    </row>
    <row r="531" customFormat="false" ht="12.75" hidden="true" customHeight="false" outlineLevel="1" collapsed="false">
      <c r="A531" s="685"/>
      <c r="B531" s="70"/>
      <c r="C531" s="70"/>
      <c r="D531" s="70"/>
      <c r="E531" s="70"/>
      <c r="F531" s="686"/>
      <c r="G531" s="686"/>
      <c r="H531" s="686"/>
      <c r="I531" s="686"/>
      <c r="J531" s="686"/>
      <c r="K531" s="686"/>
      <c r="L531" s="686"/>
      <c r="M531" s="686"/>
      <c r="N531" s="686"/>
      <c r="O531" s="686"/>
      <c r="P531" s="686"/>
      <c r="Q531" s="686"/>
      <c r="R531" s="70"/>
      <c r="S531" s="70"/>
      <c r="T531" s="70"/>
      <c r="U531" s="70"/>
      <c r="V531" s="70"/>
      <c r="W531" s="70"/>
      <c r="X531" s="70"/>
      <c r="Y531" s="70"/>
      <c r="Z531" s="70"/>
    </row>
    <row r="532" customFormat="false" ht="12.75" hidden="true" customHeight="false" outlineLevel="1" collapsed="false">
      <c r="A532" s="685"/>
      <c r="B532" s="70"/>
      <c r="C532" s="70"/>
      <c r="D532" s="70"/>
      <c r="E532" s="70"/>
      <c r="F532" s="686"/>
      <c r="G532" s="686"/>
      <c r="H532" s="686"/>
      <c r="I532" s="686"/>
      <c r="J532" s="686"/>
      <c r="K532" s="686"/>
      <c r="L532" s="686"/>
      <c r="M532" s="686"/>
      <c r="N532" s="686"/>
      <c r="O532" s="686"/>
      <c r="P532" s="686"/>
      <c r="Q532" s="686"/>
      <c r="R532" s="70"/>
      <c r="S532" s="70"/>
      <c r="T532" s="70"/>
      <c r="U532" s="70"/>
      <c r="V532" s="70"/>
      <c r="W532" s="70"/>
      <c r="X532" s="70"/>
      <c r="Y532" s="70"/>
      <c r="Z532" s="70"/>
    </row>
    <row r="533" customFormat="false" ht="12.75" hidden="true" customHeight="false" outlineLevel="1" collapsed="false">
      <c r="A533" s="728"/>
      <c r="B533" s="70"/>
      <c r="C533" s="70"/>
      <c r="D533" s="70"/>
      <c r="E533" s="70"/>
      <c r="F533" s="686"/>
      <c r="G533" s="686"/>
      <c r="H533" s="686"/>
      <c r="I533" s="686"/>
      <c r="J533" s="686"/>
      <c r="K533" s="686"/>
      <c r="L533" s="686"/>
      <c r="M533" s="686"/>
      <c r="N533" s="686"/>
      <c r="O533" s="686"/>
      <c r="P533" s="686"/>
      <c r="Q533" s="686"/>
      <c r="R533" s="70"/>
      <c r="S533" s="70"/>
      <c r="T533" s="70"/>
      <c r="U533" s="70"/>
      <c r="V533" s="70"/>
      <c r="W533" s="70"/>
      <c r="X533" s="70"/>
      <c r="Y533" s="70"/>
      <c r="Z533" s="70"/>
    </row>
    <row r="534" customFormat="false" ht="12.75" hidden="true" customHeight="false" outlineLevel="1" collapsed="false">
      <c r="A534" s="685"/>
      <c r="B534" s="70"/>
      <c r="C534" s="70"/>
      <c r="D534" s="70"/>
      <c r="E534" s="70"/>
      <c r="F534" s="686"/>
      <c r="G534" s="686"/>
      <c r="H534" s="686"/>
      <c r="I534" s="686"/>
      <c r="J534" s="686"/>
      <c r="K534" s="686"/>
      <c r="L534" s="686"/>
      <c r="M534" s="686"/>
      <c r="N534" s="686"/>
      <c r="O534" s="686"/>
      <c r="P534" s="686"/>
      <c r="Q534" s="686"/>
      <c r="R534" s="70"/>
      <c r="S534" s="70"/>
      <c r="T534" s="70"/>
      <c r="U534" s="70"/>
      <c r="V534" s="70"/>
      <c r="W534" s="70"/>
      <c r="X534" s="70"/>
      <c r="Y534" s="70"/>
      <c r="Z534" s="70"/>
    </row>
    <row r="535" customFormat="false" ht="12.75" hidden="true" customHeight="false" outlineLevel="1" collapsed="false">
      <c r="A535" s="70"/>
      <c r="B535" s="70"/>
      <c r="C535" s="70"/>
      <c r="D535" s="70"/>
      <c r="E535" s="70"/>
      <c r="F535" s="686"/>
      <c r="G535" s="686"/>
      <c r="H535" s="686"/>
      <c r="I535" s="686"/>
      <c r="J535" s="686"/>
      <c r="K535" s="686"/>
      <c r="L535" s="686"/>
      <c r="M535" s="686"/>
      <c r="N535" s="686"/>
      <c r="O535" s="686"/>
      <c r="P535" s="686"/>
      <c r="Q535" s="686"/>
      <c r="R535" s="70"/>
      <c r="S535" s="70"/>
      <c r="T535" s="70"/>
      <c r="U535" s="70"/>
      <c r="V535" s="70"/>
      <c r="W535" s="70"/>
      <c r="X535" s="70"/>
      <c r="Y535" s="70"/>
      <c r="Z535" s="70"/>
    </row>
    <row r="536" customFormat="false" ht="12.75" hidden="true" customHeight="false" outlineLevel="1" collapsed="false">
      <c r="A536" s="395"/>
      <c r="B536" s="70"/>
      <c r="C536" s="70"/>
      <c r="D536" s="70"/>
      <c r="E536" s="70"/>
      <c r="F536" s="686"/>
      <c r="G536" s="686"/>
      <c r="H536" s="686"/>
      <c r="I536" s="686"/>
      <c r="J536" s="686"/>
      <c r="K536" s="686"/>
      <c r="L536" s="686"/>
      <c r="M536" s="686"/>
      <c r="N536" s="686"/>
      <c r="O536" s="686"/>
      <c r="P536" s="686"/>
      <c r="Q536" s="686"/>
      <c r="R536" s="70"/>
      <c r="S536" s="70"/>
      <c r="T536" s="70"/>
      <c r="U536" s="70"/>
      <c r="V536" s="70"/>
      <c r="W536" s="70"/>
      <c r="X536" s="70"/>
      <c r="Y536" s="70"/>
      <c r="Z536" s="70"/>
    </row>
    <row r="537" customFormat="false" ht="12.75" hidden="true" customHeight="false" outlineLevel="1" collapsed="false">
      <c r="A537" s="685"/>
      <c r="B537" s="70"/>
      <c r="C537" s="70"/>
      <c r="D537" s="70"/>
      <c r="E537" s="70"/>
      <c r="F537" s="686"/>
      <c r="G537" s="686"/>
      <c r="H537" s="686"/>
      <c r="I537" s="686"/>
      <c r="J537" s="686"/>
      <c r="K537" s="686"/>
      <c r="L537" s="686"/>
      <c r="M537" s="686"/>
      <c r="N537" s="686"/>
      <c r="O537" s="686"/>
      <c r="P537" s="686"/>
      <c r="Q537" s="686"/>
      <c r="R537" s="70"/>
      <c r="S537" s="70"/>
      <c r="T537" s="70"/>
      <c r="U537" s="70"/>
      <c r="V537" s="70"/>
      <c r="W537" s="70"/>
      <c r="X537" s="70"/>
      <c r="Y537" s="70"/>
      <c r="Z537" s="70"/>
    </row>
    <row r="538" customFormat="false" ht="12.75" hidden="true" customHeight="false" outlineLevel="1" collapsed="false">
      <c r="A538" s="685"/>
      <c r="B538" s="70"/>
      <c r="C538" s="70"/>
      <c r="D538" s="70"/>
      <c r="E538" s="70"/>
      <c r="F538" s="686"/>
      <c r="G538" s="686"/>
      <c r="H538" s="686"/>
      <c r="I538" s="686"/>
      <c r="J538" s="686"/>
      <c r="K538" s="686"/>
      <c r="L538" s="686"/>
      <c r="M538" s="686"/>
      <c r="N538" s="686"/>
      <c r="O538" s="686"/>
      <c r="P538" s="686"/>
      <c r="Q538" s="686"/>
      <c r="R538" s="70"/>
      <c r="S538" s="70"/>
      <c r="T538" s="70"/>
      <c r="U538" s="70"/>
      <c r="V538" s="70"/>
      <c r="W538" s="70"/>
      <c r="X538" s="70"/>
      <c r="Y538" s="70"/>
      <c r="Z538" s="70"/>
    </row>
    <row r="539" customFormat="false" ht="12.75" hidden="true" customHeight="false" outlineLevel="1" collapsed="false">
      <c r="A539" s="685"/>
      <c r="B539" s="70"/>
      <c r="C539" s="70"/>
      <c r="D539" s="70"/>
      <c r="E539" s="70"/>
      <c r="F539" s="686"/>
      <c r="G539" s="686"/>
      <c r="H539" s="686"/>
      <c r="I539" s="686"/>
      <c r="J539" s="686"/>
      <c r="K539" s="686"/>
      <c r="L539" s="686"/>
      <c r="M539" s="686"/>
      <c r="N539" s="686"/>
      <c r="O539" s="686"/>
      <c r="P539" s="686"/>
      <c r="Q539" s="686"/>
      <c r="R539" s="70"/>
      <c r="S539" s="70"/>
      <c r="T539" s="70"/>
      <c r="U539" s="70"/>
      <c r="V539" s="70"/>
      <c r="W539" s="70"/>
      <c r="X539" s="70"/>
      <c r="Y539" s="70"/>
      <c r="Z539" s="70"/>
    </row>
    <row r="540" customFormat="false" ht="12.75" hidden="true" customHeight="false" outlineLevel="1" collapsed="false">
      <c r="A540" s="685"/>
      <c r="B540" s="70"/>
      <c r="C540" s="70"/>
      <c r="D540" s="70"/>
      <c r="E540" s="70"/>
      <c r="F540" s="686"/>
      <c r="G540" s="686"/>
      <c r="H540" s="686"/>
      <c r="I540" s="686"/>
      <c r="J540" s="686"/>
      <c r="K540" s="686"/>
      <c r="L540" s="686"/>
      <c r="M540" s="686"/>
      <c r="N540" s="686"/>
      <c r="O540" s="686"/>
      <c r="P540" s="686"/>
      <c r="Q540" s="686"/>
      <c r="R540" s="70"/>
      <c r="S540" s="70"/>
      <c r="T540" s="70"/>
      <c r="U540" s="70"/>
      <c r="V540" s="70"/>
      <c r="W540" s="70"/>
      <c r="X540" s="70"/>
      <c r="Y540" s="70"/>
      <c r="Z540" s="70"/>
    </row>
    <row r="541" customFormat="false" ht="12.75" hidden="true" customHeight="false" outlineLevel="1" collapsed="false">
      <c r="A541" s="685"/>
      <c r="B541" s="70"/>
      <c r="C541" s="70"/>
      <c r="D541" s="70"/>
      <c r="E541" s="70"/>
      <c r="F541" s="686"/>
      <c r="G541" s="686"/>
      <c r="H541" s="686"/>
      <c r="I541" s="686"/>
      <c r="J541" s="686"/>
      <c r="K541" s="686"/>
      <c r="L541" s="686"/>
      <c r="M541" s="686"/>
      <c r="N541" s="686"/>
      <c r="O541" s="686"/>
      <c r="P541" s="686"/>
      <c r="Q541" s="686"/>
      <c r="R541" s="70"/>
      <c r="S541" s="70"/>
      <c r="T541" s="70"/>
      <c r="U541" s="70"/>
      <c r="V541" s="70"/>
      <c r="W541" s="70"/>
      <c r="X541" s="70"/>
      <c r="Y541" s="70"/>
      <c r="Z541" s="70"/>
    </row>
    <row r="542" customFormat="false" ht="12.75" hidden="true" customHeight="false" outlineLevel="1" collapsed="false">
      <c r="A542" s="685"/>
      <c r="B542" s="70"/>
      <c r="C542" s="70"/>
      <c r="D542" s="70"/>
      <c r="E542" s="70"/>
      <c r="F542" s="686"/>
      <c r="G542" s="686"/>
      <c r="H542" s="686"/>
      <c r="I542" s="686"/>
      <c r="J542" s="686"/>
      <c r="K542" s="686"/>
      <c r="L542" s="686"/>
      <c r="M542" s="686"/>
      <c r="N542" s="686"/>
      <c r="O542" s="686"/>
      <c r="P542" s="686"/>
      <c r="Q542" s="686"/>
      <c r="R542" s="70"/>
      <c r="S542" s="70"/>
      <c r="T542" s="70"/>
      <c r="U542" s="70"/>
      <c r="V542" s="70"/>
      <c r="W542" s="70"/>
      <c r="X542" s="70"/>
      <c r="Y542" s="70"/>
      <c r="Z542" s="70"/>
    </row>
    <row r="543" customFormat="false" ht="12.75" hidden="true" customHeight="false" outlineLevel="1" collapsed="false">
      <c r="A543" s="685"/>
      <c r="B543" s="70"/>
      <c r="C543" s="70"/>
      <c r="D543" s="70"/>
      <c r="E543" s="70"/>
      <c r="F543" s="686"/>
      <c r="G543" s="686"/>
      <c r="H543" s="686"/>
      <c r="I543" s="686"/>
      <c r="J543" s="686"/>
      <c r="K543" s="686"/>
      <c r="L543" s="686"/>
      <c r="M543" s="686"/>
      <c r="N543" s="686"/>
      <c r="O543" s="686"/>
      <c r="P543" s="686"/>
      <c r="Q543" s="686"/>
      <c r="R543" s="70"/>
      <c r="S543" s="70"/>
      <c r="T543" s="70"/>
      <c r="U543" s="70"/>
      <c r="V543" s="70"/>
      <c r="W543" s="70"/>
      <c r="X543" s="70"/>
      <c r="Y543" s="70"/>
      <c r="Z543" s="70"/>
    </row>
    <row r="544" customFormat="false" ht="12.75" hidden="true" customHeight="false" outlineLevel="1" collapsed="false">
      <c r="A544" s="685"/>
      <c r="B544" s="70"/>
      <c r="C544" s="70"/>
      <c r="D544" s="70"/>
      <c r="E544" s="70"/>
      <c r="F544" s="686"/>
      <c r="G544" s="686"/>
      <c r="H544" s="686"/>
      <c r="I544" s="686"/>
      <c r="J544" s="686"/>
      <c r="K544" s="686"/>
      <c r="L544" s="686"/>
      <c r="M544" s="686"/>
      <c r="N544" s="686"/>
      <c r="O544" s="686"/>
      <c r="P544" s="686"/>
      <c r="Q544" s="686"/>
      <c r="R544" s="70"/>
      <c r="S544" s="70"/>
      <c r="T544" s="70"/>
      <c r="U544" s="70"/>
      <c r="V544" s="70"/>
      <c r="W544" s="70"/>
      <c r="X544" s="70"/>
      <c r="Y544" s="70"/>
      <c r="Z544" s="70"/>
    </row>
    <row r="545" customFormat="false" ht="12.75" hidden="true" customHeight="false" outlineLevel="1" collapsed="false">
      <c r="A545" s="685"/>
      <c r="B545" s="70"/>
      <c r="C545" s="70"/>
      <c r="D545" s="70"/>
      <c r="E545" s="70"/>
      <c r="F545" s="686"/>
      <c r="G545" s="686"/>
      <c r="H545" s="686"/>
      <c r="I545" s="686"/>
      <c r="J545" s="686"/>
      <c r="K545" s="686"/>
      <c r="L545" s="686"/>
      <c r="M545" s="686"/>
      <c r="N545" s="686"/>
      <c r="O545" s="686"/>
      <c r="P545" s="686"/>
      <c r="Q545" s="686"/>
      <c r="R545" s="70"/>
      <c r="S545" s="70"/>
      <c r="T545" s="70"/>
      <c r="U545" s="70"/>
      <c r="V545" s="70"/>
      <c r="W545" s="70"/>
      <c r="X545" s="70"/>
      <c r="Y545" s="70"/>
      <c r="Z545" s="70"/>
    </row>
    <row r="546" customFormat="false" ht="12.75" hidden="true" customHeight="false" outlineLevel="1" collapsed="false">
      <c r="A546" s="685"/>
      <c r="B546" s="70"/>
      <c r="C546" s="70"/>
      <c r="D546" s="70"/>
      <c r="E546" s="70"/>
      <c r="F546" s="686"/>
      <c r="G546" s="686"/>
      <c r="H546" s="686"/>
      <c r="I546" s="686"/>
      <c r="J546" s="686"/>
      <c r="K546" s="686"/>
      <c r="L546" s="686"/>
      <c r="M546" s="686"/>
      <c r="N546" s="686"/>
      <c r="O546" s="686"/>
      <c r="P546" s="686"/>
      <c r="Q546" s="686"/>
      <c r="R546" s="70"/>
      <c r="S546" s="70"/>
      <c r="T546" s="70"/>
      <c r="U546" s="70"/>
      <c r="V546" s="70"/>
      <c r="W546" s="70"/>
      <c r="X546" s="70"/>
      <c r="Y546" s="70"/>
      <c r="Z546" s="70"/>
    </row>
    <row r="547" customFormat="false" ht="12.75" hidden="true" customHeight="false" outlineLevel="1" collapsed="false">
      <c r="A547" s="70"/>
      <c r="B547" s="70"/>
      <c r="C547" s="70"/>
      <c r="D547" s="70"/>
      <c r="E547" s="70"/>
      <c r="F547" s="686"/>
      <c r="G547" s="686"/>
      <c r="H547" s="686"/>
      <c r="I547" s="686"/>
      <c r="J547" s="686"/>
      <c r="K547" s="686"/>
      <c r="L547" s="686"/>
      <c r="M547" s="686"/>
      <c r="N547" s="686"/>
      <c r="O547" s="686"/>
      <c r="P547" s="686"/>
      <c r="Q547" s="686"/>
      <c r="R547" s="70"/>
      <c r="S547" s="70"/>
      <c r="T547" s="70"/>
      <c r="U547" s="70"/>
      <c r="V547" s="70"/>
      <c r="W547" s="70"/>
      <c r="X547" s="70"/>
      <c r="Y547" s="70"/>
      <c r="Z547" s="70"/>
    </row>
    <row r="548" customFormat="false" ht="12.75" hidden="true" customHeight="false" outlineLevel="1" collapsed="false">
      <c r="A548" s="70"/>
      <c r="B548" s="70"/>
      <c r="C548" s="70"/>
      <c r="D548" s="70"/>
      <c r="E548" s="70"/>
      <c r="F548" s="686"/>
      <c r="G548" s="686"/>
      <c r="H548" s="686"/>
      <c r="I548" s="686"/>
      <c r="J548" s="686"/>
      <c r="K548" s="686"/>
      <c r="L548" s="686"/>
      <c r="M548" s="686"/>
      <c r="N548" s="686"/>
      <c r="O548" s="686"/>
      <c r="P548" s="686"/>
      <c r="Q548" s="686"/>
      <c r="R548" s="70"/>
      <c r="S548" s="70"/>
      <c r="T548" s="70"/>
      <c r="U548" s="70"/>
      <c r="V548" s="70"/>
      <c r="W548" s="70"/>
      <c r="X548" s="70"/>
      <c r="Y548" s="70"/>
      <c r="Z548" s="70"/>
    </row>
    <row r="549" customFormat="false" ht="12.75" hidden="true" customHeight="false" outlineLevel="1" collapsed="false">
      <c r="A549" s="70"/>
      <c r="B549" s="70"/>
      <c r="C549" s="70"/>
      <c r="D549" s="70"/>
      <c r="E549" s="70"/>
      <c r="F549" s="686"/>
      <c r="G549" s="686"/>
      <c r="H549" s="686"/>
      <c r="I549" s="686"/>
      <c r="J549" s="686"/>
      <c r="K549" s="686"/>
      <c r="L549" s="686"/>
      <c r="M549" s="686"/>
      <c r="N549" s="686"/>
      <c r="O549" s="686"/>
      <c r="P549" s="686"/>
      <c r="Q549" s="686"/>
      <c r="R549" s="70"/>
      <c r="S549" s="70"/>
      <c r="T549" s="70"/>
      <c r="U549" s="70"/>
      <c r="V549" s="70"/>
      <c r="W549" s="70"/>
      <c r="X549" s="70"/>
      <c r="Y549" s="70"/>
      <c r="Z549" s="70"/>
    </row>
    <row r="550" customFormat="false" ht="12.75" hidden="true" customHeight="false" outlineLevel="1" collapsed="false">
      <c r="A550" s="685"/>
      <c r="B550" s="70"/>
      <c r="C550" s="70"/>
      <c r="D550" s="70"/>
      <c r="E550" s="70"/>
      <c r="F550" s="686"/>
      <c r="G550" s="686"/>
      <c r="H550" s="686"/>
      <c r="I550" s="686"/>
      <c r="J550" s="686"/>
      <c r="K550" s="686"/>
      <c r="L550" s="686"/>
      <c r="M550" s="686"/>
      <c r="N550" s="686"/>
      <c r="O550" s="686"/>
      <c r="P550" s="686"/>
      <c r="Q550" s="686"/>
      <c r="R550" s="70"/>
      <c r="S550" s="70"/>
      <c r="T550" s="70"/>
      <c r="U550" s="70"/>
      <c r="V550" s="70"/>
      <c r="W550" s="70"/>
      <c r="X550" s="70"/>
      <c r="Y550" s="70"/>
      <c r="Z550" s="70"/>
    </row>
    <row r="551" customFormat="false" ht="12.75" hidden="true" customHeight="false" outlineLevel="1" collapsed="false">
      <c r="A551" s="70"/>
      <c r="B551" s="70"/>
      <c r="C551" s="70"/>
      <c r="D551" s="70"/>
      <c r="E551" s="70"/>
      <c r="F551" s="686"/>
      <c r="G551" s="686"/>
      <c r="H551" s="686"/>
      <c r="I551" s="686"/>
      <c r="J551" s="686"/>
      <c r="K551" s="686"/>
      <c r="L551" s="686"/>
      <c r="M551" s="686"/>
      <c r="N551" s="686"/>
      <c r="O551" s="686"/>
      <c r="P551" s="686"/>
      <c r="Q551" s="686"/>
      <c r="R551" s="70"/>
      <c r="S551" s="70"/>
      <c r="T551" s="70"/>
      <c r="U551" s="70"/>
      <c r="V551" s="70"/>
      <c r="W551" s="70"/>
      <c r="X551" s="70"/>
      <c r="Y551" s="70"/>
      <c r="Z551" s="70"/>
    </row>
    <row r="552" customFormat="false" ht="12.75" hidden="true" customHeight="false" outlineLevel="1" collapsed="false">
      <c r="A552" s="70"/>
      <c r="B552" s="70"/>
      <c r="C552" s="70"/>
      <c r="D552" s="70"/>
      <c r="E552" s="70"/>
      <c r="F552" s="686"/>
      <c r="G552" s="686"/>
      <c r="H552" s="686"/>
      <c r="I552" s="686"/>
      <c r="J552" s="686"/>
      <c r="K552" s="686"/>
      <c r="L552" s="686"/>
      <c r="M552" s="686"/>
      <c r="N552" s="686"/>
      <c r="O552" s="686"/>
      <c r="P552" s="686"/>
      <c r="Q552" s="686"/>
      <c r="R552" s="70"/>
      <c r="S552" s="70"/>
      <c r="T552" s="70"/>
      <c r="U552" s="70"/>
      <c r="V552" s="70"/>
      <c r="W552" s="70"/>
      <c r="X552" s="70"/>
      <c r="Y552" s="70"/>
      <c r="Z552" s="70"/>
    </row>
    <row r="553" customFormat="false" ht="12.75" hidden="true" customHeight="false" outlineLevel="1" collapsed="false">
      <c r="A553" s="395"/>
      <c r="B553" s="70"/>
      <c r="C553" s="70"/>
      <c r="D553" s="70"/>
      <c r="E553" s="70"/>
      <c r="F553" s="686"/>
      <c r="G553" s="686"/>
      <c r="H553" s="686"/>
      <c r="I553" s="686"/>
      <c r="J553" s="686"/>
      <c r="K553" s="686"/>
      <c r="L553" s="686"/>
      <c r="M553" s="686"/>
      <c r="N553" s="686"/>
      <c r="O553" s="686"/>
      <c r="P553" s="686"/>
      <c r="Q553" s="686"/>
      <c r="R553" s="70"/>
      <c r="S553" s="70"/>
      <c r="T553" s="70"/>
      <c r="U553" s="70"/>
      <c r="V553" s="70"/>
      <c r="W553" s="70"/>
      <c r="X553" s="70"/>
      <c r="Y553" s="70"/>
      <c r="Z553" s="70"/>
    </row>
    <row r="554" customFormat="false" ht="12.75" hidden="true" customHeight="false" outlineLevel="1" collapsed="false">
      <c r="A554" s="685"/>
      <c r="B554" s="70"/>
      <c r="C554" s="70"/>
      <c r="D554" s="70"/>
      <c r="E554" s="70"/>
      <c r="F554" s="686"/>
      <c r="G554" s="686"/>
      <c r="H554" s="686"/>
      <c r="I554" s="686"/>
      <c r="J554" s="686"/>
      <c r="K554" s="686"/>
      <c r="L554" s="686"/>
      <c r="M554" s="686"/>
      <c r="N554" s="686"/>
      <c r="O554" s="686"/>
      <c r="P554" s="686"/>
      <c r="Q554" s="686"/>
      <c r="R554" s="70"/>
      <c r="S554" s="70"/>
      <c r="T554" s="70"/>
      <c r="U554" s="70"/>
      <c r="V554" s="70"/>
      <c r="W554" s="70"/>
      <c r="X554" s="70"/>
      <c r="Y554" s="70"/>
      <c r="Z554" s="70"/>
    </row>
    <row r="555" customFormat="false" ht="12.75" hidden="false" customHeight="false" outlineLevel="0" collapsed="false">
      <c r="A555" s="395"/>
      <c r="B555" s="70"/>
      <c r="C555" s="70"/>
      <c r="D555" s="70"/>
      <c r="E555" s="70"/>
      <c r="F555" s="686"/>
      <c r="G555" s="686"/>
      <c r="H555" s="686"/>
      <c r="I555" s="686"/>
      <c r="J555" s="686"/>
      <c r="K555" s="686"/>
      <c r="L555" s="686"/>
      <c r="M555" s="686"/>
      <c r="N555" s="686"/>
      <c r="O555" s="686"/>
      <c r="P555" s="686"/>
      <c r="Q555" s="686"/>
      <c r="R555" s="70"/>
      <c r="S555" s="70"/>
      <c r="T555" s="70"/>
      <c r="U555" s="70"/>
      <c r="V555" s="70"/>
      <c r="W555" s="70"/>
      <c r="X555" s="70"/>
      <c r="Y555" s="70"/>
      <c r="Z555" s="70"/>
    </row>
    <row r="556" customFormat="false" ht="12.75" hidden="false" customHeight="false" outlineLevel="0" collapsed="false">
      <c r="A556" s="395"/>
      <c r="B556" s="70"/>
      <c r="C556" s="70"/>
      <c r="D556" s="70"/>
      <c r="E556" s="70"/>
      <c r="F556" s="686"/>
      <c r="G556" s="686"/>
      <c r="H556" s="686"/>
      <c r="I556" s="686"/>
      <c r="J556" s="686"/>
      <c r="K556" s="686"/>
      <c r="L556" s="686"/>
      <c r="M556" s="686"/>
      <c r="N556" s="686"/>
      <c r="O556" s="686"/>
      <c r="P556" s="686"/>
      <c r="Q556" s="686"/>
      <c r="R556" s="70"/>
      <c r="S556" s="70"/>
      <c r="T556" s="70"/>
      <c r="U556" s="70"/>
      <c r="V556" s="70"/>
      <c r="W556" s="70"/>
      <c r="X556" s="70"/>
      <c r="Y556" s="70"/>
      <c r="Z556" s="70"/>
    </row>
    <row r="557" customFormat="false" ht="12.75" hidden="false" customHeight="false" outlineLevel="0" collapsed="false">
      <c r="A557" s="395"/>
      <c r="B557" s="70"/>
      <c r="C557" s="70"/>
      <c r="D557" s="70"/>
      <c r="E557" s="70"/>
      <c r="F557" s="686"/>
      <c r="G557" s="686"/>
      <c r="H557" s="686"/>
      <c r="I557" s="686"/>
      <c r="J557" s="686"/>
      <c r="K557" s="686"/>
      <c r="L557" s="686"/>
      <c r="M557" s="686"/>
      <c r="N557" s="686"/>
      <c r="O557" s="686"/>
      <c r="P557" s="686"/>
      <c r="Q557" s="686"/>
      <c r="R557" s="70"/>
      <c r="S557" s="70"/>
      <c r="T557" s="70"/>
      <c r="U557" s="70"/>
      <c r="V557" s="70"/>
      <c r="W557" s="70"/>
      <c r="X557" s="70"/>
      <c r="Y557" s="70"/>
      <c r="Z557" s="70"/>
    </row>
    <row r="558" customFormat="false" ht="12.75" hidden="false" customHeight="false" outlineLevel="0" collapsed="false">
      <c r="A558" s="70"/>
      <c r="B558" s="70"/>
      <c r="C558" s="70"/>
      <c r="D558" s="70"/>
      <c r="E558" s="70"/>
      <c r="F558" s="686"/>
      <c r="G558" s="686"/>
      <c r="H558" s="686"/>
      <c r="I558" s="686"/>
      <c r="J558" s="686"/>
      <c r="K558" s="686"/>
      <c r="L558" s="686"/>
      <c r="M558" s="686"/>
      <c r="N558" s="686"/>
      <c r="O558" s="686"/>
      <c r="P558" s="686"/>
      <c r="Q558" s="686"/>
      <c r="R558" s="70"/>
      <c r="S558" s="70"/>
      <c r="T558" s="70"/>
      <c r="U558" s="70"/>
      <c r="V558" s="70"/>
      <c r="W558" s="70"/>
      <c r="X558" s="70"/>
      <c r="Y558" s="70"/>
      <c r="Z558" s="70"/>
    </row>
    <row r="559" customFormat="false" ht="12.75" hidden="false" customHeight="false" outlineLevel="0" collapsed="false">
      <c r="A559" s="70"/>
      <c r="B559" s="70"/>
      <c r="C559" s="70"/>
      <c r="D559" s="70"/>
      <c r="E559" s="70"/>
      <c r="F559" s="686"/>
      <c r="G559" s="686"/>
      <c r="H559" s="686"/>
      <c r="I559" s="686"/>
      <c r="J559" s="686"/>
      <c r="K559" s="686"/>
      <c r="L559" s="686"/>
      <c r="M559" s="686"/>
      <c r="N559" s="686"/>
      <c r="O559" s="686"/>
      <c r="P559" s="686"/>
      <c r="Q559" s="686"/>
      <c r="R559" s="70"/>
      <c r="S559" s="70"/>
      <c r="T559" s="70"/>
      <c r="U559" s="70"/>
      <c r="V559" s="70"/>
      <c r="W559" s="70"/>
      <c r="X559" s="70"/>
      <c r="Y559" s="70"/>
      <c r="Z559" s="70"/>
    </row>
    <row r="560" customFormat="false" ht="12.75" hidden="false" customHeight="false" outlineLevel="0" collapsed="false">
      <c r="A560" s="395"/>
      <c r="B560" s="70"/>
      <c r="C560" s="70"/>
      <c r="D560" s="70"/>
      <c r="E560" s="70"/>
      <c r="F560" s="686"/>
      <c r="G560" s="686"/>
      <c r="H560" s="686"/>
      <c r="I560" s="686"/>
      <c r="J560" s="686"/>
      <c r="K560" s="686"/>
      <c r="L560" s="686"/>
      <c r="M560" s="686"/>
      <c r="N560" s="686"/>
      <c r="O560" s="686"/>
      <c r="P560" s="686"/>
      <c r="Q560" s="686"/>
      <c r="R560" s="70"/>
      <c r="S560" s="70"/>
      <c r="T560" s="70"/>
      <c r="U560" s="70"/>
      <c r="V560" s="70"/>
      <c r="W560" s="70"/>
      <c r="X560" s="70"/>
      <c r="Y560" s="70"/>
      <c r="Z560" s="70"/>
    </row>
    <row r="561" customFormat="false" ht="12.75" hidden="false" customHeight="false" outlineLevel="0" collapsed="false">
      <c r="A561" s="395"/>
      <c r="B561" s="70"/>
      <c r="C561" s="70"/>
      <c r="D561" s="70"/>
      <c r="E561" s="70"/>
      <c r="F561" s="686"/>
      <c r="G561" s="686"/>
      <c r="H561" s="686"/>
      <c r="I561" s="686"/>
      <c r="J561" s="686"/>
      <c r="K561" s="686"/>
      <c r="L561" s="686"/>
      <c r="M561" s="686"/>
      <c r="N561" s="686"/>
      <c r="O561" s="686"/>
      <c r="P561" s="686"/>
      <c r="Q561" s="686"/>
      <c r="R561" s="70"/>
      <c r="S561" s="70"/>
      <c r="T561" s="70"/>
      <c r="U561" s="70"/>
      <c r="V561" s="70"/>
      <c r="W561" s="70"/>
      <c r="X561" s="70"/>
      <c r="Y561" s="70"/>
      <c r="Z561" s="70"/>
    </row>
    <row r="562" customFormat="false" ht="12.75" hidden="false" customHeight="false" outlineLevel="0" collapsed="false">
      <c r="A562" s="395"/>
      <c r="B562" s="70"/>
      <c r="C562" s="70"/>
      <c r="D562" s="70"/>
      <c r="E562" s="70"/>
      <c r="F562" s="686"/>
      <c r="G562" s="686"/>
      <c r="H562" s="686"/>
      <c r="I562" s="686"/>
      <c r="J562" s="686"/>
      <c r="K562" s="686"/>
      <c r="L562" s="686"/>
      <c r="M562" s="686"/>
      <c r="N562" s="686"/>
      <c r="O562" s="686"/>
      <c r="P562" s="686"/>
      <c r="Q562" s="686"/>
      <c r="R562" s="70"/>
      <c r="S562" s="70"/>
      <c r="T562" s="70"/>
      <c r="U562" s="70"/>
      <c r="V562" s="70"/>
      <c r="W562" s="70"/>
      <c r="X562" s="70"/>
      <c r="Y562" s="70"/>
      <c r="Z562" s="70"/>
    </row>
    <row r="563" customFormat="false" ht="12.75" hidden="false" customHeight="false" outlineLevel="0" collapsed="false">
      <c r="A563" s="395"/>
      <c r="B563" s="70"/>
      <c r="C563" s="70"/>
      <c r="D563" s="70"/>
      <c r="E563" s="70"/>
      <c r="F563" s="686"/>
      <c r="G563" s="686"/>
      <c r="H563" s="686"/>
      <c r="I563" s="686"/>
      <c r="J563" s="686"/>
      <c r="K563" s="686"/>
      <c r="L563" s="686"/>
      <c r="M563" s="686"/>
      <c r="N563" s="686"/>
      <c r="O563" s="686"/>
      <c r="P563" s="686"/>
      <c r="Q563" s="686"/>
      <c r="R563" s="70"/>
      <c r="S563" s="70"/>
      <c r="T563" s="70"/>
      <c r="U563" s="70"/>
      <c r="V563" s="70"/>
      <c r="W563" s="70"/>
      <c r="X563" s="70"/>
      <c r="Y563" s="70"/>
      <c r="Z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  <c r="F564" s="70"/>
      <c r="G564" s="70"/>
      <c r="H564" s="70"/>
      <c r="I564" s="686"/>
      <c r="J564" s="686"/>
      <c r="K564" s="686"/>
      <c r="L564" s="686"/>
      <c r="M564" s="686"/>
      <c r="N564" s="686"/>
      <c r="O564" s="686"/>
      <c r="P564" s="686"/>
      <c r="Q564" s="686"/>
      <c r="R564" s="70"/>
      <c r="S564" s="70"/>
      <c r="T564" s="70"/>
      <c r="U564" s="70"/>
      <c r="V564" s="70"/>
      <c r="W564" s="70"/>
      <c r="X564" s="70"/>
      <c r="Y564" s="70"/>
      <c r="Z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  <c r="F565" s="70"/>
      <c r="G565" s="70"/>
      <c r="H565" s="70"/>
      <c r="I565" s="686"/>
      <c r="J565" s="686"/>
      <c r="K565" s="686"/>
      <c r="L565" s="686"/>
      <c r="M565" s="686"/>
      <c r="N565" s="686"/>
      <c r="O565" s="686"/>
      <c r="P565" s="686"/>
      <c r="Q565" s="686"/>
      <c r="R565" s="70"/>
      <c r="S565" s="70"/>
      <c r="T565" s="70"/>
      <c r="U565" s="70"/>
      <c r="V565" s="70"/>
      <c r="W565" s="70"/>
      <c r="X565" s="70"/>
      <c r="Y565" s="70"/>
      <c r="Z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  <c r="F566" s="70"/>
      <c r="G566" s="70"/>
      <c r="H566" s="70"/>
      <c r="I566" s="686"/>
      <c r="J566" s="686"/>
      <c r="K566" s="686"/>
      <c r="L566" s="686"/>
      <c r="M566" s="686"/>
      <c r="N566" s="686"/>
      <c r="O566" s="686"/>
      <c r="P566" s="686"/>
      <c r="Q566" s="686"/>
      <c r="R566" s="70"/>
      <c r="S566" s="70"/>
      <c r="T566" s="70"/>
      <c r="U566" s="70"/>
      <c r="V566" s="70"/>
      <c r="W566" s="70"/>
      <c r="X566" s="70"/>
      <c r="Y566" s="70"/>
      <c r="Z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  <c r="F567" s="70"/>
      <c r="G567" s="70"/>
      <c r="H567" s="70"/>
      <c r="I567" s="686"/>
      <c r="J567" s="686"/>
      <c r="K567" s="686"/>
      <c r="L567" s="686"/>
      <c r="M567" s="686"/>
      <c r="N567" s="686"/>
      <c r="O567" s="686"/>
      <c r="P567" s="686"/>
      <c r="Q567" s="686"/>
      <c r="R567" s="70"/>
      <c r="S567" s="70"/>
      <c r="T567" s="70"/>
      <c r="U567" s="70"/>
      <c r="V567" s="70"/>
      <c r="W567" s="70"/>
      <c r="X567" s="70"/>
      <c r="Y567" s="70"/>
      <c r="Z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  <c r="F568" s="70"/>
      <c r="G568" s="70"/>
      <c r="H568" s="70"/>
      <c r="I568" s="686"/>
      <c r="J568" s="686"/>
      <c r="K568" s="686"/>
      <c r="L568" s="686"/>
      <c r="M568" s="686"/>
      <c r="N568" s="686"/>
      <c r="O568" s="686"/>
      <c r="P568" s="686"/>
      <c r="Q568" s="686"/>
      <c r="R568" s="70"/>
      <c r="S568" s="70"/>
      <c r="T568" s="70"/>
      <c r="U568" s="70"/>
      <c r="V568" s="70"/>
      <c r="W568" s="70"/>
      <c r="X568" s="70"/>
      <c r="Y568" s="70"/>
      <c r="Z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  <c r="F569" s="70"/>
      <c r="G569" s="70"/>
      <c r="H569" s="70"/>
      <c r="I569" s="70"/>
      <c r="J569" s="70"/>
      <c r="K569" s="70"/>
      <c r="L569" s="70"/>
      <c r="M569" s="70"/>
      <c r="N569" s="70"/>
      <c r="O569" s="70"/>
      <c r="P569" s="70"/>
      <c r="Q569" s="70"/>
      <c r="R569" s="70"/>
      <c r="S569" s="70"/>
      <c r="T569" s="70"/>
      <c r="U569" s="70"/>
      <c r="V569" s="70"/>
      <c r="W569" s="70"/>
      <c r="X569" s="70"/>
      <c r="Y569" s="70"/>
      <c r="Z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  <c r="F570" s="70"/>
      <c r="G570" s="70"/>
      <c r="H570" s="70"/>
      <c r="I570" s="70"/>
      <c r="J570" s="70"/>
      <c r="K570" s="70"/>
      <c r="L570" s="70"/>
      <c r="M570" s="70"/>
      <c r="N570" s="70"/>
      <c r="O570" s="70"/>
      <c r="P570" s="70"/>
      <c r="Q570" s="70"/>
      <c r="R570" s="70"/>
      <c r="S570" s="70"/>
      <c r="T570" s="70"/>
      <c r="U570" s="70"/>
      <c r="V570" s="70"/>
      <c r="W570" s="70"/>
      <c r="X570" s="70"/>
      <c r="Y570" s="70"/>
      <c r="Z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  <c r="F571" s="70"/>
      <c r="G571" s="70"/>
      <c r="H571" s="70"/>
      <c r="I571" s="70"/>
      <c r="J571" s="70"/>
      <c r="K571" s="70"/>
      <c r="L571" s="70"/>
      <c r="M571" s="70"/>
      <c r="N571" s="70"/>
      <c r="O571" s="70"/>
      <c r="P571" s="70"/>
      <c r="Q571" s="70"/>
      <c r="R571" s="70"/>
      <c r="S571" s="70"/>
      <c r="T571" s="70"/>
      <c r="U571" s="70"/>
      <c r="V571" s="70"/>
      <c r="W571" s="70"/>
      <c r="X571" s="70"/>
      <c r="Y571" s="70"/>
      <c r="Z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  <c r="F572" s="70"/>
      <c r="G572" s="70"/>
      <c r="H572" s="70"/>
      <c r="I572" s="70"/>
      <c r="J572" s="70"/>
      <c r="K572" s="70"/>
      <c r="L572" s="70"/>
      <c r="M572" s="70"/>
      <c r="N572" s="70"/>
      <c r="O572" s="70"/>
      <c r="P572" s="70"/>
      <c r="Q572" s="70"/>
      <c r="R572" s="70"/>
      <c r="S572" s="70"/>
      <c r="T572" s="70"/>
      <c r="U572" s="70"/>
      <c r="V572" s="70"/>
      <c r="W572" s="70"/>
      <c r="X572" s="70"/>
      <c r="Y572" s="70"/>
      <c r="Z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  <c r="F573" s="70"/>
      <c r="G573" s="70"/>
      <c r="H573" s="70"/>
      <c r="I573" s="70"/>
      <c r="J573" s="70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  <c r="Z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  <c r="F574" s="70"/>
      <c r="G574" s="70"/>
      <c r="H574" s="70"/>
      <c r="I574" s="70"/>
      <c r="J574" s="70"/>
      <c r="K574" s="70"/>
      <c r="L574" s="70"/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70"/>
      <c r="X574" s="70"/>
      <c r="Y574" s="70"/>
      <c r="Z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  <c r="F575" s="70"/>
      <c r="G575" s="70"/>
      <c r="H575" s="70"/>
      <c r="I575" s="70"/>
      <c r="J575" s="70"/>
      <c r="K575" s="70"/>
      <c r="L575" s="70"/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70"/>
      <c r="X575" s="70"/>
      <c r="Y575" s="70"/>
      <c r="Z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  <c r="F576" s="70"/>
      <c r="G576" s="70"/>
      <c r="H576" s="70"/>
      <c r="I576" s="70"/>
      <c r="J576" s="70"/>
      <c r="K576" s="70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  <c r="Y576" s="70"/>
      <c r="Z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  <c r="F577" s="70"/>
      <c r="G577" s="70"/>
      <c r="H577" s="70"/>
      <c r="I577" s="70"/>
      <c r="J577" s="70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  <c r="Y577" s="70"/>
      <c r="Z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  <c r="F578" s="70"/>
      <c r="G578" s="70"/>
      <c r="H578" s="70"/>
      <c r="I578" s="70"/>
      <c r="J578" s="70"/>
      <c r="K578" s="70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  <c r="Y578" s="70"/>
      <c r="Z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  <c r="F579" s="70"/>
      <c r="G579" s="70"/>
      <c r="H579" s="70"/>
      <c r="I579" s="70"/>
      <c r="J579" s="70"/>
      <c r="K579" s="70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  <c r="Y579" s="70"/>
      <c r="Z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  <c r="F580" s="70"/>
      <c r="G580" s="70"/>
      <c r="H580" s="70"/>
      <c r="I580" s="70"/>
      <c r="J580" s="70"/>
      <c r="K580" s="70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  <c r="Y580" s="70"/>
      <c r="Z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  <c r="F581" s="70"/>
      <c r="G581" s="70"/>
      <c r="H581" s="70"/>
      <c r="I581" s="70"/>
      <c r="J581" s="70"/>
      <c r="K581" s="70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  <c r="Y581" s="70"/>
      <c r="Z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  <c r="F582" s="70"/>
      <c r="G582" s="70"/>
      <c r="H582" s="70"/>
      <c r="I582" s="70"/>
      <c r="J582" s="70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  <c r="Z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  <c r="F583" s="70"/>
      <c r="G583" s="70"/>
      <c r="H583" s="70"/>
      <c r="I583" s="70"/>
      <c r="J583" s="70"/>
      <c r="K583" s="70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  <c r="Y583" s="70"/>
      <c r="Z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  <c r="F584" s="70"/>
      <c r="G584" s="70"/>
      <c r="H584" s="70"/>
      <c r="I584" s="70"/>
      <c r="J584" s="70"/>
      <c r="K584" s="70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  <c r="Y584" s="70"/>
      <c r="Z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  <c r="F585" s="70"/>
      <c r="G585" s="70"/>
      <c r="H585" s="70"/>
      <c r="I585" s="70"/>
      <c r="J585" s="70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  <c r="Y585" s="70"/>
      <c r="Z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  <c r="F586" s="70"/>
      <c r="G586" s="70"/>
      <c r="H586" s="70"/>
      <c r="I586" s="70"/>
      <c r="J586" s="70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  <c r="Y586" s="70"/>
      <c r="Z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  <c r="F587" s="70"/>
      <c r="G587" s="70"/>
      <c r="H587" s="70"/>
      <c r="I587" s="70"/>
      <c r="J587" s="70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  <c r="Y587" s="70"/>
      <c r="Z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  <c r="F588" s="70"/>
      <c r="G588" s="70"/>
      <c r="H588" s="70"/>
      <c r="I588" s="70"/>
      <c r="J588" s="70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  <c r="Z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  <c r="F589" s="70"/>
      <c r="G589" s="70"/>
      <c r="H589" s="70"/>
      <c r="I589" s="70"/>
      <c r="J589" s="70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  <c r="Z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  <c r="F590" s="70"/>
      <c r="G590" s="70"/>
      <c r="H590" s="70"/>
      <c r="I590" s="70"/>
      <c r="J590" s="70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  <c r="Z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  <c r="F591" s="70"/>
      <c r="G591" s="70"/>
      <c r="H591" s="70"/>
      <c r="I591" s="70"/>
      <c r="J591" s="70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  <c r="Z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  <c r="F592" s="70"/>
      <c r="G592" s="70"/>
      <c r="H592" s="70"/>
      <c r="I592" s="70"/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  <c r="Y592" s="70"/>
      <c r="Z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  <c r="F593" s="70"/>
      <c r="G593" s="70"/>
      <c r="H593" s="70"/>
      <c r="I593" s="70"/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70"/>
      <c r="Y593" s="70"/>
      <c r="Z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  <c r="F594" s="70"/>
      <c r="G594" s="70"/>
      <c r="H594" s="70"/>
      <c r="I594" s="70"/>
      <c r="J594" s="70"/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70"/>
      <c r="Y594" s="70"/>
      <c r="Z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  <c r="F595" s="70"/>
      <c r="G595" s="70"/>
      <c r="H595" s="70"/>
      <c r="I595" s="70"/>
      <c r="J595" s="70"/>
      <c r="K595" s="70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  <c r="Y595" s="70"/>
      <c r="Z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  <c r="F596" s="70"/>
      <c r="G596" s="70"/>
      <c r="H596" s="70"/>
      <c r="I596" s="70"/>
      <c r="J596" s="70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  <c r="Z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  <c r="F597" s="70"/>
      <c r="G597" s="70"/>
      <c r="H597" s="70"/>
      <c r="I597" s="70"/>
      <c r="J597" s="70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  <c r="Z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  <c r="F598" s="70"/>
      <c r="G598" s="70"/>
      <c r="H598" s="70"/>
      <c r="I598" s="70"/>
      <c r="J598" s="70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  <c r="Z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  <c r="F599" s="70"/>
      <c r="G599" s="70"/>
      <c r="H599" s="70"/>
      <c r="I599" s="70"/>
      <c r="J599" s="70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  <c r="Z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  <c r="F600" s="70"/>
      <c r="G600" s="70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  <c r="Z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  <c r="F601" s="70"/>
      <c r="G601" s="70"/>
      <c r="H601" s="70"/>
      <c r="I601" s="70"/>
      <c r="J601" s="70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  <c r="Z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  <c r="F602" s="70"/>
      <c r="G602" s="70"/>
      <c r="H602" s="70"/>
      <c r="I602" s="70"/>
      <c r="J602" s="70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  <c r="Z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  <c r="F603" s="70"/>
      <c r="G603" s="70"/>
      <c r="H603" s="70"/>
      <c r="I603" s="70"/>
      <c r="J603" s="70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  <c r="Z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  <c r="F604" s="70"/>
      <c r="G604" s="70"/>
      <c r="H604" s="70"/>
      <c r="I604" s="70"/>
      <c r="J604" s="70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  <c r="Z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  <c r="F605" s="70"/>
      <c r="G605" s="70"/>
      <c r="H605" s="70"/>
      <c r="I605" s="70"/>
      <c r="J605" s="70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  <c r="Z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  <c r="F606" s="70"/>
      <c r="G606" s="70"/>
      <c r="H606" s="70"/>
      <c r="I606" s="70"/>
      <c r="J606" s="70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  <c r="Z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  <c r="F607" s="70"/>
      <c r="G607" s="70"/>
      <c r="H607" s="70"/>
      <c r="I607" s="70"/>
      <c r="J607" s="70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  <c r="Z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  <c r="F608" s="70"/>
      <c r="G608" s="70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  <c r="Z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  <c r="F609" s="70"/>
      <c r="G609" s="70"/>
      <c r="H609" s="70"/>
      <c r="I609" s="70"/>
      <c r="J609" s="70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  <c r="Z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  <c r="F610" s="70"/>
      <c r="G610" s="70"/>
      <c r="H610" s="70"/>
      <c r="I610" s="70"/>
      <c r="J610" s="70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  <c r="Z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  <c r="F611" s="70"/>
      <c r="G611" s="70"/>
      <c r="H611" s="70"/>
      <c r="I611" s="70"/>
      <c r="J611" s="70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  <c r="Z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  <c r="F612" s="70"/>
      <c r="G612" s="70"/>
      <c r="H612" s="70"/>
      <c r="I612" s="70"/>
      <c r="J612" s="70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  <c r="Z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  <c r="F613" s="70"/>
      <c r="G613" s="70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  <c r="Z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  <c r="F614" s="70"/>
      <c r="G614" s="70"/>
      <c r="H614" s="70"/>
      <c r="I614" s="70"/>
      <c r="J614" s="70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  <c r="Z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  <c r="F615" s="70"/>
      <c r="G615" s="70"/>
      <c r="H615" s="70"/>
      <c r="I615" s="70"/>
      <c r="J615" s="70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  <c r="Z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  <c r="F616" s="70"/>
      <c r="G616" s="70"/>
      <c r="H616" s="70"/>
      <c r="I616" s="70"/>
      <c r="J616" s="70"/>
      <c r="K616" s="70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  <c r="Y616" s="70"/>
      <c r="Z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  <c r="F617" s="70"/>
      <c r="G617" s="70"/>
      <c r="H617" s="70"/>
      <c r="I617" s="70"/>
      <c r="J617" s="70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  <c r="Z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  <c r="F618" s="70"/>
      <c r="G618" s="70"/>
      <c r="H618" s="70"/>
      <c r="I618" s="70"/>
      <c r="J618" s="70"/>
      <c r="K618" s="70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  <c r="Y618" s="70"/>
      <c r="Z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  <c r="F619" s="70"/>
      <c r="G619" s="70"/>
      <c r="H619" s="70"/>
      <c r="I619" s="70"/>
      <c r="J619" s="70"/>
      <c r="K619" s="70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  <c r="Y619" s="70"/>
      <c r="Z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  <c r="F620" s="70"/>
      <c r="G620" s="70"/>
      <c r="H620" s="70"/>
      <c r="I620" s="70"/>
      <c r="J620" s="70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  <c r="Y620" s="70"/>
      <c r="Z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  <c r="F621" s="70"/>
      <c r="G621" s="70"/>
      <c r="H621" s="70"/>
      <c r="I621" s="70"/>
      <c r="J621" s="70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  <c r="Z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  <c r="F622" s="70"/>
      <c r="G622" s="70"/>
      <c r="H622" s="70"/>
      <c r="I622" s="70"/>
      <c r="J622" s="70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  <c r="Z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  <c r="F623" s="70"/>
      <c r="G623" s="70"/>
      <c r="H623" s="70"/>
      <c r="I623" s="70"/>
      <c r="J623" s="70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  <c r="Z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  <c r="F624" s="70"/>
      <c r="G624" s="70"/>
      <c r="H624" s="70"/>
      <c r="I624" s="70"/>
      <c r="J624" s="70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  <c r="Z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  <c r="F625" s="70"/>
      <c r="G625" s="70"/>
      <c r="H625" s="70"/>
      <c r="I625" s="70"/>
      <c r="J625" s="70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  <c r="Z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  <c r="F626" s="70"/>
      <c r="G626" s="70"/>
      <c r="H626" s="70"/>
      <c r="I626" s="70"/>
      <c r="J626" s="70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  <c r="Z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  <c r="F627" s="70"/>
      <c r="G627" s="70"/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  <c r="Z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  <c r="F628" s="70"/>
      <c r="G628" s="70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  <c r="Z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  <c r="F629" s="70"/>
      <c r="G629" s="70"/>
      <c r="H629" s="70"/>
      <c r="I629" s="70"/>
      <c r="J629" s="70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  <c r="Z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  <c r="F630" s="70"/>
      <c r="G630" s="70"/>
      <c r="H630" s="70"/>
      <c r="I630" s="70"/>
      <c r="J630" s="70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  <c r="Z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  <c r="F631" s="70"/>
      <c r="G631" s="70"/>
      <c r="H631" s="70"/>
      <c r="I631" s="70"/>
      <c r="J631" s="70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  <c r="Z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  <c r="F632" s="70"/>
      <c r="G632" s="70"/>
      <c r="H632" s="70"/>
      <c r="I632" s="70"/>
      <c r="J632" s="70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  <c r="Z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  <c r="F633" s="70"/>
      <c r="G633" s="70"/>
      <c r="H633" s="70"/>
      <c r="I633" s="70"/>
      <c r="J633" s="70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  <c r="Z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  <c r="F634" s="70"/>
      <c r="G634" s="70"/>
      <c r="H634" s="70"/>
      <c r="I634" s="70"/>
      <c r="J634" s="70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  <c r="Z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  <c r="F635" s="70"/>
      <c r="G635" s="70"/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  <c r="Z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  <c r="F636" s="70"/>
      <c r="G636" s="70"/>
      <c r="H636" s="70"/>
      <c r="I636" s="70"/>
      <c r="J636" s="70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  <c r="Z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  <c r="F637" s="70"/>
      <c r="G637" s="70"/>
      <c r="H637" s="70"/>
      <c r="I637" s="70"/>
      <c r="J637" s="70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  <c r="Z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  <c r="F638" s="70"/>
      <c r="G638" s="70"/>
      <c r="H638" s="70"/>
      <c r="I638" s="70"/>
      <c r="J638" s="70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  <c r="Z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  <c r="F639" s="70"/>
      <c r="G639" s="70"/>
      <c r="H639" s="70"/>
      <c r="I639" s="70"/>
      <c r="J639" s="70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  <c r="Z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  <c r="F640" s="70"/>
      <c r="G640" s="70"/>
      <c r="H640" s="70"/>
      <c r="I640" s="70"/>
      <c r="J640" s="70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  <c r="Z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  <c r="F641" s="70"/>
      <c r="G641" s="70"/>
      <c r="H641" s="70"/>
      <c r="I641" s="70"/>
      <c r="J641" s="70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  <c r="Y641" s="70"/>
      <c r="Z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  <c r="F642" s="70"/>
      <c r="G642" s="70"/>
      <c r="H642" s="70"/>
      <c r="I642" s="70"/>
      <c r="J642" s="70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  <c r="Y642" s="70"/>
      <c r="Z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  <c r="F643" s="70"/>
      <c r="G643" s="70"/>
      <c r="H643" s="70"/>
      <c r="I643" s="70"/>
      <c r="J643" s="70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  <c r="Y643" s="70"/>
      <c r="Z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  <c r="F644" s="70"/>
      <c r="G644" s="70"/>
      <c r="H644" s="70"/>
      <c r="I644" s="70"/>
      <c r="J644" s="70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  <c r="Y644" s="70"/>
      <c r="Z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  <c r="F645" s="70"/>
      <c r="G645" s="70"/>
      <c r="H645" s="70"/>
      <c r="I645" s="70"/>
      <c r="J645" s="70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  <c r="Y645" s="70"/>
      <c r="Z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  <c r="F646" s="70"/>
      <c r="G646" s="70"/>
      <c r="H646" s="70"/>
      <c r="I646" s="70"/>
      <c r="J646" s="70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  <c r="Y646" s="70"/>
      <c r="Z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  <c r="F647" s="70"/>
      <c r="G647" s="70"/>
      <c r="H647" s="70"/>
      <c r="I647" s="70"/>
      <c r="J647" s="70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  <c r="Y647" s="70"/>
      <c r="Z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  <c r="F648" s="70"/>
      <c r="G648" s="70"/>
      <c r="H648" s="70"/>
      <c r="I648" s="70"/>
      <c r="J648" s="70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  <c r="Y648" s="70"/>
      <c r="Z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  <c r="F649" s="70"/>
      <c r="G649" s="70"/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  <c r="Y649" s="70"/>
      <c r="Z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  <c r="F650" s="70"/>
      <c r="G650" s="70"/>
      <c r="H650" s="70"/>
      <c r="I650" s="70"/>
      <c r="J650" s="70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  <c r="Y650" s="70"/>
      <c r="Z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  <c r="F651" s="70"/>
      <c r="G651" s="70"/>
      <c r="H651" s="70"/>
      <c r="I651" s="70"/>
      <c r="J651" s="70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  <c r="Y651" s="70"/>
      <c r="Z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  <c r="Z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  <c r="Z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  <c r="Z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  <c r="F655" s="70"/>
      <c r="G655" s="70"/>
      <c r="H655" s="70"/>
      <c r="I655" s="70"/>
      <c r="J655" s="70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  <c r="Z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  <c r="Z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  <c r="Z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  <c r="Z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  <c r="Z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  <c r="F660" s="70"/>
      <c r="G660" s="70"/>
      <c r="H660" s="70"/>
      <c r="I660" s="70"/>
      <c r="J660" s="70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  <c r="Y660" s="70"/>
      <c r="Z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  <c r="F661" s="70"/>
      <c r="G661" s="70"/>
      <c r="H661" s="70"/>
      <c r="I661" s="70"/>
      <c r="J661" s="70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  <c r="Y661" s="70"/>
      <c r="Z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  <c r="F662" s="70"/>
      <c r="G662" s="70"/>
      <c r="H662" s="70"/>
      <c r="I662" s="70"/>
      <c r="J662" s="70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  <c r="Y662" s="70"/>
      <c r="Z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  <c r="F663" s="70"/>
      <c r="G663" s="70"/>
      <c r="H663" s="70"/>
      <c r="I663" s="70"/>
      <c r="J663" s="70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  <c r="Z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  <c r="F664" s="70"/>
      <c r="G664" s="70"/>
      <c r="H664" s="70"/>
      <c r="I664" s="70"/>
      <c r="J664" s="70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  <c r="Y664" s="70"/>
      <c r="Z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  <c r="F665" s="70"/>
      <c r="G665" s="70"/>
      <c r="H665" s="70"/>
      <c r="I665" s="70"/>
      <c r="J665" s="70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  <c r="Y665" s="70"/>
      <c r="Z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  <c r="F666" s="70"/>
      <c r="G666" s="70"/>
      <c r="H666" s="70"/>
      <c r="I666" s="70"/>
      <c r="J666" s="70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  <c r="Y666" s="70"/>
      <c r="Z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  <c r="F667" s="70"/>
      <c r="G667" s="70"/>
      <c r="H667" s="70"/>
      <c r="I667" s="70"/>
      <c r="J667" s="70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  <c r="Y667" s="70"/>
      <c r="Z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  <c r="F668" s="70"/>
      <c r="G668" s="70"/>
      <c r="H668" s="70"/>
      <c r="I668" s="70"/>
      <c r="J668" s="70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  <c r="Y668" s="70"/>
      <c r="Z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  <c r="F669" s="70"/>
      <c r="G669" s="70"/>
      <c r="H669" s="70"/>
      <c r="I669" s="70"/>
      <c r="J669" s="70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  <c r="Y669" s="70"/>
      <c r="Z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  <c r="F670" s="70"/>
      <c r="G670" s="70"/>
      <c r="H670" s="70"/>
      <c r="I670" s="70"/>
      <c r="J670" s="70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  <c r="Y670" s="70"/>
      <c r="Z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  <c r="F671" s="70"/>
      <c r="G671" s="70"/>
      <c r="H671" s="70"/>
      <c r="I671" s="70"/>
      <c r="J671" s="70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  <c r="Y671" s="70"/>
      <c r="Z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  <c r="F672" s="70"/>
      <c r="G672" s="70"/>
      <c r="H672" s="70"/>
      <c r="I672" s="70"/>
      <c r="J672" s="70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  <c r="Y672" s="70"/>
      <c r="Z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  <c r="F673" s="70"/>
      <c r="G673" s="70"/>
      <c r="H673" s="70"/>
      <c r="I673" s="70"/>
      <c r="J673" s="70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  <c r="Y673" s="70"/>
      <c r="Z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  <c r="F674" s="70"/>
      <c r="G674" s="70"/>
      <c r="H674" s="70"/>
      <c r="I674" s="70"/>
      <c r="J674" s="70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  <c r="Y674" s="70"/>
      <c r="Z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  <c r="F675" s="70"/>
      <c r="G675" s="70"/>
      <c r="H675" s="70"/>
      <c r="I675" s="70"/>
      <c r="J675" s="70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  <c r="Y675" s="70"/>
      <c r="Z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  <c r="F676" s="70"/>
      <c r="G676" s="70"/>
      <c r="H676" s="70"/>
      <c r="I676" s="70"/>
      <c r="J676" s="70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  <c r="Y676" s="70"/>
      <c r="Z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  <c r="F677" s="70"/>
      <c r="G677" s="70"/>
      <c r="H677" s="70"/>
      <c r="I677" s="70"/>
      <c r="J677" s="70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  <c r="Y677" s="70"/>
      <c r="Z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  <c r="F678" s="70"/>
      <c r="G678" s="70"/>
      <c r="H678" s="70"/>
      <c r="I678" s="70"/>
      <c r="J678" s="70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  <c r="Y678" s="70"/>
      <c r="Z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  <c r="F679" s="70"/>
      <c r="G679" s="70"/>
      <c r="H679" s="70"/>
      <c r="I679" s="70"/>
      <c r="J679" s="70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  <c r="Y679" s="70"/>
      <c r="Z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  <c r="F680" s="70"/>
      <c r="G680" s="70"/>
      <c r="H680" s="70"/>
      <c r="I680" s="70"/>
      <c r="J680" s="70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  <c r="Y680" s="70"/>
      <c r="Z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  <c r="F681" s="70"/>
      <c r="G681" s="70"/>
      <c r="H681" s="70"/>
      <c r="I681" s="70"/>
      <c r="J681" s="70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  <c r="Y681" s="70"/>
      <c r="Z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  <c r="F682" s="70"/>
      <c r="G682" s="70"/>
      <c r="H682" s="70"/>
      <c r="I682" s="70"/>
      <c r="J682" s="70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  <c r="Y682" s="70"/>
      <c r="Z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  <c r="F683" s="70"/>
      <c r="G683" s="70"/>
      <c r="H683" s="70"/>
      <c r="I683" s="70"/>
      <c r="J683" s="70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  <c r="Y683" s="70"/>
      <c r="Z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  <c r="F684" s="70"/>
      <c r="G684" s="70"/>
      <c r="H684" s="70"/>
      <c r="I684" s="70"/>
      <c r="J684" s="70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  <c r="Y684" s="70"/>
      <c r="Z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  <c r="F685" s="70"/>
      <c r="G685" s="70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  <c r="Z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  <c r="F686" s="70"/>
      <c r="G686" s="70"/>
      <c r="H686" s="70"/>
      <c r="I686" s="70"/>
      <c r="J686" s="70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  <c r="Y686" s="70"/>
      <c r="Z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  <c r="F687" s="70"/>
      <c r="G687" s="70"/>
      <c r="H687" s="70"/>
      <c r="I687" s="70"/>
      <c r="J687" s="70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  <c r="Y687" s="70"/>
      <c r="Z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  <c r="F688" s="70"/>
      <c r="G688" s="70"/>
      <c r="H688" s="70"/>
      <c r="I688" s="70"/>
      <c r="J688" s="70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  <c r="Y688" s="70"/>
      <c r="Z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  <c r="F689" s="70"/>
      <c r="G689" s="70"/>
      <c r="H689" s="70"/>
      <c r="I689" s="70"/>
      <c r="J689" s="70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  <c r="Y689" s="70"/>
      <c r="Z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  <c r="F690" s="70"/>
      <c r="G690" s="70"/>
      <c r="H690" s="70"/>
      <c r="I690" s="70"/>
      <c r="J690" s="70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  <c r="Y690" s="70"/>
      <c r="Z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  <c r="F691" s="70"/>
      <c r="G691" s="70"/>
      <c r="H691" s="70"/>
      <c r="I691" s="70"/>
      <c r="J691" s="70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  <c r="Y691" s="70"/>
      <c r="Z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  <c r="F692" s="70"/>
      <c r="G692" s="70"/>
      <c r="H692" s="70"/>
      <c r="I692" s="70"/>
      <c r="J692" s="70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  <c r="Y692" s="70"/>
      <c r="Z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  <c r="F693" s="70"/>
      <c r="G693" s="70"/>
      <c r="H693" s="70"/>
      <c r="I693" s="70"/>
      <c r="J693" s="70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  <c r="Y693" s="70"/>
      <c r="Z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  <c r="F694" s="70"/>
      <c r="G694" s="70"/>
      <c r="H694" s="70"/>
      <c r="I694" s="70"/>
      <c r="J694" s="70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  <c r="Y694" s="70"/>
      <c r="Z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  <c r="F695" s="70"/>
      <c r="G695" s="70"/>
      <c r="H695" s="70"/>
      <c r="I695" s="70"/>
      <c r="J695" s="70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  <c r="Y695" s="70"/>
      <c r="Z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  <c r="F696" s="70"/>
      <c r="G696" s="70"/>
      <c r="H696" s="70"/>
      <c r="I696" s="70"/>
      <c r="J696" s="70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  <c r="Y696" s="70"/>
      <c r="Z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  <c r="F697" s="70"/>
      <c r="G697" s="70"/>
      <c r="H697" s="70"/>
      <c r="I697" s="70"/>
      <c r="J697" s="70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  <c r="Y697" s="70"/>
      <c r="Z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  <c r="F698" s="70"/>
      <c r="G698" s="70"/>
      <c r="H698" s="70"/>
      <c r="I698" s="70"/>
      <c r="J698" s="70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  <c r="Y698" s="70"/>
      <c r="Z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  <c r="F699" s="70"/>
      <c r="G699" s="70"/>
      <c r="H699" s="70"/>
      <c r="I699" s="70"/>
      <c r="J699" s="70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  <c r="Y699" s="70"/>
      <c r="Z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  <c r="F700" s="70"/>
      <c r="G700" s="70"/>
      <c r="H700" s="70"/>
      <c r="I700" s="70"/>
      <c r="J700" s="70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  <c r="Y700" s="70"/>
      <c r="Z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  <c r="F701" s="70"/>
      <c r="G701" s="70"/>
      <c r="H701" s="70"/>
      <c r="I701" s="70"/>
      <c r="J701" s="70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  <c r="Y701" s="70"/>
      <c r="Z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  <c r="F702" s="70"/>
      <c r="G702" s="70"/>
      <c r="H702" s="70"/>
      <c r="I702" s="70"/>
      <c r="J702" s="70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  <c r="Y702" s="70"/>
      <c r="Z702" s="70"/>
    </row>
    <row r="703" customFormat="false" ht="12.75" hidden="false" customHeight="false" outlineLevel="0" collapsed="false">
      <c r="A703" s="70"/>
      <c r="B703" s="70"/>
      <c r="C703" s="70"/>
      <c r="D703" s="70"/>
      <c r="E703" s="70"/>
      <c r="F703" s="70"/>
      <c r="G703" s="70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  <c r="Y703" s="70"/>
      <c r="Z703" s="70"/>
    </row>
    <row r="704" customFormat="false" ht="12.75" hidden="false" customHeight="false" outlineLevel="0" collapsed="false">
      <c r="A704" s="70"/>
      <c r="B704" s="70"/>
      <c r="C704" s="70"/>
      <c r="D704" s="70"/>
      <c r="E704" s="70"/>
      <c r="F704" s="70"/>
      <c r="G704" s="70"/>
      <c r="H704" s="70"/>
      <c r="I704" s="70"/>
      <c r="J704" s="70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  <c r="Y704" s="70"/>
      <c r="Z704" s="70"/>
    </row>
    <row r="705" customFormat="false" ht="12.75" hidden="false" customHeight="false" outlineLevel="0" collapsed="false">
      <c r="A705" s="70"/>
      <c r="B705" s="70"/>
      <c r="C705" s="70"/>
      <c r="D705" s="70"/>
      <c r="E705" s="70"/>
      <c r="F705" s="70"/>
      <c r="G705" s="70"/>
      <c r="H705" s="70"/>
      <c r="I705" s="70"/>
      <c r="J705" s="70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  <c r="Y705" s="70"/>
      <c r="Z705" s="70"/>
    </row>
    <row r="706" customFormat="false" ht="12.75" hidden="false" customHeight="false" outlineLevel="0" collapsed="false">
      <c r="A706" s="70"/>
      <c r="B706" s="70"/>
      <c r="C706" s="70"/>
      <c r="D706" s="70"/>
      <c r="E706" s="70"/>
      <c r="F706" s="70"/>
      <c r="G706" s="70"/>
      <c r="H706" s="70"/>
      <c r="I706" s="70"/>
      <c r="J706" s="70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  <c r="Y706" s="70"/>
      <c r="Z706" s="70"/>
    </row>
    <row r="707" customFormat="false" ht="12.75" hidden="false" customHeight="false" outlineLevel="0" collapsed="false">
      <c r="A707" s="70"/>
      <c r="B707" s="70"/>
      <c r="C707" s="70"/>
      <c r="D707" s="70"/>
      <c r="E707" s="70"/>
      <c r="F707" s="70"/>
      <c r="G707" s="70"/>
      <c r="H707" s="70"/>
      <c r="I707" s="70"/>
      <c r="J707" s="70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  <c r="Z707" s="70"/>
    </row>
    <row r="708" customFormat="false" ht="12.75" hidden="false" customHeight="false" outlineLevel="0" collapsed="false">
      <c r="A708" s="70"/>
      <c r="B708" s="70"/>
      <c r="C708" s="70"/>
      <c r="D708" s="70"/>
      <c r="E708" s="70"/>
      <c r="F708" s="70"/>
      <c r="G708" s="70"/>
      <c r="H708" s="70"/>
      <c r="I708" s="70"/>
      <c r="J708" s="70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  <c r="Y708" s="70"/>
      <c r="Z708" s="70"/>
    </row>
    <row r="709" customFormat="false" ht="12.75" hidden="false" customHeight="false" outlineLevel="0" collapsed="false">
      <c r="A709" s="70"/>
      <c r="B709" s="70"/>
      <c r="C709" s="70"/>
      <c r="D709" s="70"/>
      <c r="E709" s="70"/>
      <c r="F709" s="70"/>
      <c r="G709" s="70"/>
      <c r="H709" s="70"/>
      <c r="I709" s="70"/>
      <c r="J709" s="70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  <c r="Y709" s="70"/>
      <c r="Z709" s="70"/>
    </row>
    <row r="710" customFormat="false" ht="12.75" hidden="false" customHeight="false" outlineLevel="0" collapsed="false">
      <c r="A710" s="70"/>
      <c r="B710" s="70"/>
      <c r="C710" s="70"/>
      <c r="D710" s="70"/>
      <c r="E710" s="70"/>
      <c r="F710" s="70"/>
      <c r="G710" s="70"/>
      <c r="H710" s="70"/>
      <c r="I710" s="70"/>
      <c r="J710" s="70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  <c r="Y710" s="70"/>
      <c r="Z710" s="70"/>
    </row>
    <row r="711" customFormat="false" ht="12.75" hidden="false" customHeight="false" outlineLevel="0" collapsed="false">
      <c r="A711" s="70"/>
      <c r="B711" s="70"/>
      <c r="C711" s="70"/>
      <c r="D711" s="70"/>
      <c r="E711" s="70"/>
      <c r="F711" s="70"/>
      <c r="G711" s="70"/>
      <c r="H711" s="70"/>
      <c r="I711" s="70"/>
      <c r="J711" s="70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  <c r="Y711" s="70"/>
      <c r="Z711" s="70"/>
    </row>
    <row r="712" customFormat="false" ht="12.75" hidden="false" customHeight="false" outlineLevel="0" collapsed="false">
      <c r="A712" s="70"/>
      <c r="B712" s="70"/>
      <c r="C712" s="70"/>
      <c r="D712" s="70"/>
      <c r="E712" s="70"/>
      <c r="F712" s="70"/>
      <c r="G712" s="70"/>
      <c r="H712" s="70"/>
      <c r="I712" s="70"/>
      <c r="J712" s="70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  <c r="Y712" s="70"/>
      <c r="Z712" s="70"/>
    </row>
    <row r="713" customFormat="false" ht="12.75" hidden="false" customHeight="false" outlineLevel="0" collapsed="false">
      <c r="A713" s="70"/>
      <c r="B713" s="70"/>
      <c r="C713" s="70"/>
      <c r="D713" s="70"/>
      <c r="E713" s="70"/>
      <c r="F713" s="70"/>
      <c r="G713" s="70"/>
      <c r="H713" s="70"/>
      <c r="I713" s="70"/>
      <c r="J713" s="70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  <c r="Y713" s="70"/>
      <c r="Z713" s="70"/>
    </row>
    <row r="714" customFormat="false" ht="12.75" hidden="false" customHeight="false" outlineLevel="0" collapsed="false">
      <c r="A714" s="70"/>
      <c r="B714" s="70"/>
      <c r="C714" s="70"/>
      <c r="D714" s="70"/>
      <c r="E714" s="70"/>
      <c r="F714" s="70"/>
      <c r="G714" s="70"/>
      <c r="H714" s="70"/>
      <c r="I714" s="70"/>
      <c r="J714" s="70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  <c r="Y714" s="70"/>
      <c r="Z714" s="70"/>
    </row>
    <row r="715" customFormat="false" ht="12.75" hidden="false" customHeight="false" outlineLevel="0" collapsed="false">
      <c r="A715" s="70"/>
      <c r="B715" s="70"/>
      <c r="C715" s="70"/>
      <c r="D715" s="70"/>
      <c r="E715" s="70"/>
      <c r="F715" s="70"/>
      <c r="G715" s="70"/>
      <c r="H715" s="70"/>
      <c r="I715" s="70"/>
      <c r="J715" s="70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  <c r="Y715" s="70"/>
      <c r="Z715" s="70"/>
    </row>
    <row r="716" customFormat="false" ht="12.75" hidden="false" customHeight="false" outlineLevel="0" collapsed="false">
      <c r="A716" s="70"/>
      <c r="B716" s="70"/>
      <c r="C716" s="70"/>
      <c r="D716" s="70"/>
      <c r="E716" s="70"/>
      <c r="F716" s="70"/>
      <c r="G716" s="70"/>
      <c r="H716" s="70"/>
      <c r="I716" s="70"/>
      <c r="J716" s="70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  <c r="Y716" s="70"/>
      <c r="Z716" s="70"/>
    </row>
    <row r="717" customFormat="false" ht="12.75" hidden="false" customHeight="false" outlineLevel="0" collapsed="false">
      <c r="A717" s="70"/>
      <c r="B717" s="70"/>
      <c r="C717" s="70"/>
      <c r="D717" s="70"/>
      <c r="E717" s="70"/>
      <c r="F717" s="70"/>
      <c r="G717" s="70"/>
      <c r="H717" s="70"/>
      <c r="I717" s="70"/>
      <c r="J717" s="70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  <c r="Y717" s="70"/>
      <c r="Z717" s="70"/>
    </row>
    <row r="718" customFormat="false" ht="12.75" hidden="false" customHeight="false" outlineLevel="0" collapsed="false">
      <c r="A718" s="70"/>
      <c r="B718" s="70"/>
      <c r="C718" s="70"/>
      <c r="D718" s="70"/>
      <c r="E718" s="70"/>
      <c r="F718" s="70"/>
      <c r="G718" s="70"/>
      <c r="H718" s="70"/>
      <c r="I718" s="70"/>
      <c r="J718" s="70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  <c r="Y718" s="70"/>
      <c r="Z718" s="70"/>
    </row>
    <row r="719" customFormat="false" ht="12.75" hidden="false" customHeight="false" outlineLevel="0" collapsed="false">
      <c r="A719" s="70"/>
      <c r="B719" s="70"/>
      <c r="C719" s="70"/>
      <c r="D719" s="70"/>
      <c r="E719" s="70"/>
      <c r="F719" s="70"/>
      <c r="G719" s="70"/>
      <c r="H719" s="70"/>
      <c r="I719" s="70"/>
      <c r="J719" s="70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  <c r="Y719" s="70"/>
      <c r="Z719" s="70"/>
    </row>
    <row r="720" customFormat="false" ht="12.75" hidden="false" customHeight="false" outlineLevel="0" collapsed="false">
      <c r="A720" s="70"/>
      <c r="B720" s="70"/>
      <c r="C720" s="70"/>
      <c r="D720" s="70"/>
      <c r="E720" s="70"/>
      <c r="F720" s="70"/>
      <c r="G720" s="70"/>
      <c r="H720" s="70"/>
      <c r="I720" s="70"/>
      <c r="J720" s="70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  <c r="Y720" s="70"/>
      <c r="Z720" s="70"/>
    </row>
    <row r="721" customFormat="false" ht="12.75" hidden="false" customHeight="false" outlineLevel="0" collapsed="false">
      <c r="A721" s="70"/>
      <c r="B721" s="70"/>
      <c r="C721" s="70"/>
      <c r="D721" s="70"/>
      <c r="E721" s="70"/>
      <c r="F721" s="70"/>
      <c r="G721" s="70"/>
      <c r="H721" s="70"/>
      <c r="I721" s="70"/>
      <c r="J721" s="70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  <c r="Y721" s="70"/>
      <c r="Z721" s="70"/>
    </row>
    <row r="722" customFormat="false" ht="12.75" hidden="false" customHeight="false" outlineLevel="0" collapsed="false">
      <c r="A722" s="70"/>
      <c r="B722" s="70"/>
      <c r="C722" s="70"/>
      <c r="D722" s="70"/>
      <c r="E722" s="70"/>
      <c r="F722" s="70"/>
      <c r="G722" s="70"/>
      <c r="H722" s="70"/>
      <c r="I722" s="70"/>
      <c r="J722" s="70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  <c r="Y722" s="70"/>
      <c r="Z722" s="70"/>
    </row>
    <row r="723" customFormat="false" ht="12.75" hidden="false" customHeight="false" outlineLevel="0" collapsed="false">
      <c r="A723" s="70"/>
      <c r="B723" s="70"/>
      <c r="C723" s="70"/>
      <c r="D723" s="70"/>
      <c r="E723" s="70"/>
      <c r="F723" s="70"/>
      <c r="G723" s="70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  <c r="Y723" s="70"/>
      <c r="Z723" s="70"/>
    </row>
    <row r="724" customFormat="false" ht="12.75" hidden="false" customHeight="false" outlineLevel="0" collapsed="false">
      <c r="A724" s="70"/>
      <c r="B724" s="70"/>
      <c r="C724" s="70"/>
      <c r="D724" s="70"/>
      <c r="E724" s="70"/>
      <c r="F724" s="70"/>
      <c r="G724" s="70"/>
      <c r="H724" s="70"/>
      <c r="I724" s="70"/>
      <c r="J724" s="70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  <c r="Y724" s="70"/>
      <c r="Z724" s="70"/>
    </row>
    <row r="725" customFormat="false" ht="12.75" hidden="false" customHeight="false" outlineLevel="0" collapsed="false">
      <c r="A725" s="70"/>
      <c r="B725" s="70"/>
      <c r="C725" s="70"/>
      <c r="D725" s="70"/>
      <c r="E725" s="70"/>
      <c r="F725" s="70"/>
      <c r="G725" s="70"/>
      <c r="H725" s="70"/>
      <c r="I725" s="70"/>
      <c r="J725" s="70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  <c r="Y725" s="70"/>
      <c r="Z725" s="70"/>
    </row>
    <row r="726" customFormat="false" ht="12.75" hidden="false" customHeight="false" outlineLevel="0" collapsed="false">
      <c r="A726" s="70"/>
      <c r="B726" s="70"/>
      <c r="C726" s="70"/>
      <c r="D726" s="70"/>
      <c r="E726" s="70"/>
      <c r="F726" s="70"/>
      <c r="G726" s="70"/>
      <c r="H726" s="70"/>
      <c r="I726" s="70"/>
      <c r="J726" s="70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  <c r="Y726" s="70"/>
      <c r="Z726" s="70"/>
    </row>
    <row r="727" customFormat="false" ht="12.75" hidden="false" customHeight="false" outlineLevel="0" collapsed="false">
      <c r="A727" s="70"/>
      <c r="B727" s="70"/>
      <c r="C727" s="70"/>
      <c r="D727" s="70"/>
      <c r="E727" s="70"/>
      <c r="F727" s="70"/>
      <c r="G727" s="70"/>
      <c r="H727" s="70"/>
      <c r="I727" s="70"/>
      <c r="J727" s="70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  <c r="Y727" s="70"/>
      <c r="Z727" s="70"/>
    </row>
    <row r="728" customFormat="false" ht="12.75" hidden="false" customHeight="false" outlineLevel="0" collapsed="false">
      <c r="A728" s="70"/>
      <c r="B728" s="70"/>
      <c r="C728" s="70"/>
      <c r="D728" s="70"/>
      <c r="E728" s="70"/>
      <c r="F728" s="70"/>
      <c r="G728" s="70"/>
      <c r="H728" s="70"/>
      <c r="I728" s="70"/>
      <c r="J728" s="70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  <c r="Y728" s="70"/>
      <c r="Z728" s="70"/>
    </row>
    <row r="729" customFormat="false" ht="12.75" hidden="false" customHeight="false" outlineLevel="0" collapsed="false">
      <c r="A729" s="70"/>
      <c r="B729" s="70"/>
      <c r="C729" s="70"/>
      <c r="D729" s="70"/>
      <c r="E729" s="70"/>
      <c r="F729" s="70"/>
      <c r="G729" s="70"/>
      <c r="H729" s="70"/>
      <c r="I729" s="70"/>
      <c r="J729" s="70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  <c r="Z729" s="70"/>
    </row>
    <row r="730" customFormat="false" ht="12.75" hidden="false" customHeight="false" outlineLevel="0" collapsed="false">
      <c r="A730" s="70"/>
      <c r="B730" s="70"/>
      <c r="C730" s="70"/>
      <c r="D730" s="70"/>
      <c r="E730" s="70"/>
      <c r="F730" s="70"/>
      <c r="G730" s="70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  <c r="Y730" s="70"/>
      <c r="Z730" s="70"/>
    </row>
    <row r="731" customFormat="false" ht="12.75" hidden="false" customHeight="false" outlineLevel="0" collapsed="false">
      <c r="A731" s="70"/>
      <c r="B731" s="70"/>
      <c r="C731" s="70"/>
      <c r="D731" s="70"/>
      <c r="E731" s="70"/>
      <c r="F731" s="70"/>
      <c r="G731" s="70"/>
      <c r="H731" s="70"/>
      <c r="I731" s="70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  <c r="Z731" s="70"/>
    </row>
    <row r="732" customFormat="false" ht="12.75" hidden="false" customHeight="false" outlineLevel="0" collapsed="false">
      <c r="A732" s="70"/>
      <c r="B732" s="70"/>
      <c r="C732" s="70"/>
      <c r="D732" s="70"/>
      <c r="E732" s="70"/>
      <c r="F732" s="70"/>
      <c r="G732" s="70"/>
      <c r="H732" s="70"/>
      <c r="I732" s="70"/>
      <c r="J732" s="70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  <c r="Y732" s="70"/>
      <c r="Z732" s="70"/>
    </row>
    <row r="733" customFormat="false" ht="12.75" hidden="false" customHeight="false" outlineLevel="0" collapsed="false">
      <c r="A733" s="70"/>
      <c r="B733" s="70"/>
      <c r="C733" s="70"/>
      <c r="D733" s="70"/>
      <c r="E733" s="70"/>
      <c r="F733" s="70"/>
      <c r="G733" s="70"/>
      <c r="H733" s="70"/>
      <c r="I733" s="70"/>
      <c r="J733" s="70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  <c r="Y733" s="70"/>
      <c r="Z733" s="70"/>
    </row>
    <row r="734" customFormat="false" ht="12.75" hidden="false" customHeight="false" outlineLevel="0" collapsed="false">
      <c r="A734" s="70"/>
      <c r="B734" s="70"/>
      <c r="C734" s="70"/>
      <c r="D734" s="70"/>
      <c r="E734" s="70"/>
      <c r="F734" s="70"/>
      <c r="G734" s="70"/>
      <c r="H734" s="70"/>
      <c r="I734" s="70"/>
      <c r="J734" s="70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  <c r="Y734" s="70"/>
      <c r="Z734" s="70"/>
    </row>
    <row r="735" customFormat="false" ht="12.75" hidden="false" customHeight="false" outlineLevel="0" collapsed="false">
      <c r="A735" s="70"/>
      <c r="B735" s="70"/>
      <c r="C735" s="70"/>
      <c r="D735" s="70"/>
      <c r="E735" s="70"/>
      <c r="F735" s="70"/>
      <c r="G735" s="70"/>
      <c r="H735" s="70"/>
      <c r="I735" s="70"/>
      <c r="J735" s="70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  <c r="Y735" s="70"/>
      <c r="Z735" s="70"/>
    </row>
    <row r="736" customFormat="false" ht="12.75" hidden="false" customHeight="false" outlineLevel="0" collapsed="false">
      <c r="A736" s="70"/>
      <c r="B736" s="70"/>
      <c r="C736" s="70"/>
      <c r="D736" s="70"/>
      <c r="E736" s="70"/>
      <c r="F736" s="70"/>
      <c r="G736" s="70"/>
      <c r="H736" s="70"/>
      <c r="I736" s="70"/>
      <c r="J736" s="70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  <c r="Y736" s="70"/>
      <c r="Z736" s="70"/>
    </row>
    <row r="737" customFormat="false" ht="12.75" hidden="false" customHeight="false" outlineLevel="0" collapsed="false">
      <c r="A737" s="70"/>
      <c r="B737" s="70"/>
      <c r="C737" s="70"/>
      <c r="D737" s="70"/>
      <c r="E737" s="70"/>
      <c r="F737" s="70"/>
      <c r="G737" s="70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  <c r="Y737" s="70"/>
      <c r="Z737" s="70"/>
    </row>
    <row r="738" customFormat="false" ht="12.75" hidden="false" customHeight="false" outlineLevel="0" collapsed="false">
      <c r="A738" s="70"/>
      <c r="B738" s="70"/>
      <c r="C738" s="70"/>
      <c r="D738" s="70"/>
      <c r="E738" s="70"/>
      <c r="F738" s="70"/>
      <c r="G738" s="70"/>
      <c r="H738" s="70"/>
      <c r="I738" s="70"/>
      <c r="J738" s="70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  <c r="Y738" s="70"/>
      <c r="Z738" s="70"/>
    </row>
    <row r="739" customFormat="false" ht="12.75" hidden="false" customHeight="false" outlineLevel="0" collapsed="false">
      <c r="A739" s="70"/>
      <c r="B739" s="70"/>
      <c r="C739" s="70"/>
      <c r="D739" s="70"/>
      <c r="E739" s="70"/>
      <c r="F739" s="70"/>
      <c r="G739" s="70"/>
      <c r="H739" s="70"/>
      <c r="I739" s="70"/>
      <c r="J739" s="70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  <c r="Y739" s="70"/>
      <c r="Z739" s="70"/>
    </row>
    <row r="740" customFormat="false" ht="12.75" hidden="false" customHeight="false" outlineLevel="0" collapsed="false">
      <c r="A740" s="70"/>
      <c r="B740" s="70"/>
      <c r="C740" s="70"/>
      <c r="D740" s="70"/>
      <c r="E740" s="70"/>
      <c r="F740" s="70"/>
      <c r="G740" s="70"/>
      <c r="H740" s="70"/>
      <c r="I740" s="70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  <c r="Z740" s="70"/>
    </row>
    <row r="741" customFormat="false" ht="12.75" hidden="false" customHeight="false" outlineLevel="0" collapsed="false">
      <c r="A741" s="70"/>
      <c r="B741" s="70"/>
      <c r="C741" s="70"/>
      <c r="D741" s="70"/>
      <c r="E741" s="70"/>
      <c r="F741" s="70"/>
      <c r="G741" s="70"/>
      <c r="H741" s="70"/>
      <c r="I741" s="70"/>
      <c r="J741" s="70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  <c r="Y741" s="70"/>
      <c r="Z741" s="70"/>
    </row>
    <row r="742" customFormat="false" ht="12.75" hidden="false" customHeight="false" outlineLevel="0" collapsed="false">
      <c r="A742" s="70"/>
      <c r="B742" s="70"/>
      <c r="C742" s="70"/>
      <c r="D742" s="70"/>
      <c r="E742" s="70"/>
      <c r="F742" s="70"/>
      <c r="G742" s="70"/>
      <c r="H742" s="70"/>
      <c r="I742" s="70"/>
      <c r="J742" s="70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  <c r="Y742" s="70"/>
      <c r="Z742" s="70"/>
    </row>
    <row r="743" customFormat="false" ht="12.75" hidden="false" customHeight="false" outlineLevel="0" collapsed="false">
      <c r="A743" s="70"/>
      <c r="B743" s="70"/>
      <c r="C743" s="70"/>
      <c r="D743" s="70"/>
      <c r="E743" s="70"/>
      <c r="F743" s="70"/>
      <c r="G743" s="70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  <c r="Y743" s="70"/>
      <c r="Z743" s="70"/>
    </row>
    <row r="744" customFormat="false" ht="12.75" hidden="false" customHeight="false" outlineLevel="0" collapsed="false">
      <c r="A744" s="70"/>
      <c r="B744" s="70"/>
      <c r="C744" s="70"/>
      <c r="D744" s="70"/>
      <c r="E744" s="70"/>
      <c r="F744" s="70"/>
      <c r="G744" s="70"/>
      <c r="H744" s="70"/>
      <c r="I744" s="70"/>
      <c r="J744" s="70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  <c r="Y744" s="70"/>
      <c r="Z744" s="70"/>
    </row>
    <row r="745" customFormat="false" ht="12.75" hidden="false" customHeight="false" outlineLevel="0" collapsed="false">
      <c r="A745" s="70"/>
      <c r="B745" s="70"/>
      <c r="C745" s="70"/>
      <c r="D745" s="70"/>
      <c r="E745" s="70"/>
      <c r="F745" s="70"/>
      <c r="G745" s="70"/>
      <c r="H745" s="70"/>
      <c r="I745" s="70"/>
      <c r="J745" s="70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  <c r="Y745" s="70"/>
      <c r="Z745" s="70"/>
    </row>
    <row r="746" customFormat="false" ht="12.75" hidden="false" customHeight="false" outlineLevel="0" collapsed="false">
      <c r="A746" s="70"/>
      <c r="B746" s="70"/>
      <c r="C746" s="70"/>
      <c r="D746" s="70"/>
      <c r="E746" s="70"/>
      <c r="F746" s="70"/>
      <c r="G746" s="70"/>
      <c r="H746" s="70"/>
      <c r="I746" s="70"/>
      <c r="J746" s="70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  <c r="Y746" s="70"/>
      <c r="Z746" s="70"/>
    </row>
    <row r="747" customFormat="false" ht="12.75" hidden="false" customHeight="false" outlineLevel="0" collapsed="false">
      <c r="A747" s="70"/>
      <c r="B747" s="70"/>
      <c r="C747" s="70"/>
      <c r="D747" s="70"/>
      <c r="E747" s="70"/>
      <c r="F747" s="70"/>
      <c r="G747" s="70"/>
      <c r="H747" s="70"/>
      <c r="I747" s="70"/>
      <c r="J747" s="70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  <c r="Y747" s="70"/>
      <c r="Z747" s="70"/>
    </row>
    <row r="748" customFormat="false" ht="12.75" hidden="false" customHeight="false" outlineLevel="0" collapsed="false">
      <c r="A748" s="70"/>
      <c r="B748" s="70"/>
      <c r="C748" s="70"/>
      <c r="D748" s="70"/>
      <c r="E748" s="70"/>
      <c r="F748" s="70"/>
      <c r="G748" s="70"/>
      <c r="H748" s="70"/>
      <c r="I748" s="70"/>
      <c r="J748" s="70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  <c r="Y748" s="70"/>
      <c r="Z748" s="70"/>
    </row>
    <row r="749" customFormat="false" ht="12.75" hidden="false" customHeight="false" outlineLevel="0" collapsed="false">
      <c r="A749" s="70"/>
      <c r="B749" s="70"/>
      <c r="C749" s="70"/>
      <c r="D749" s="70"/>
      <c r="E749" s="70"/>
      <c r="F749" s="70"/>
      <c r="G749" s="70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  <c r="Y749" s="70"/>
      <c r="Z749" s="70"/>
    </row>
    <row r="750" customFormat="false" ht="12.75" hidden="false" customHeight="false" outlineLevel="0" collapsed="false">
      <c r="A750" s="70"/>
      <c r="B750" s="70"/>
      <c r="C750" s="70"/>
      <c r="D750" s="70"/>
      <c r="E750" s="70"/>
      <c r="F750" s="70"/>
      <c r="G750" s="70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  <c r="Y750" s="70"/>
      <c r="Z750" s="70"/>
    </row>
    <row r="751" customFormat="false" ht="12.75" hidden="false" customHeight="false" outlineLevel="0" collapsed="false">
      <c r="A751" s="70"/>
      <c r="B751" s="70"/>
      <c r="C751" s="70"/>
      <c r="D751" s="70"/>
      <c r="E751" s="70"/>
      <c r="F751" s="70"/>
      <c r="G751" s="70"/>
      <c r="H751" s="70"/>
      <c r="I751" s="70"/>
      <c r="J751" s="70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  <c r="Z751" s="70"/>
    </row>
    <row r="752" customFormat="false" ht="12.75" hidden="false" customHeight="false" outlineLevel="0" collapsed="false">
      <c r="A752" s="70"/>
      <c r="B752" s="70"/>
      <c r="C752" s="70"/>
      <c r="D752" s="70"/>
      <c r="E752" s="70"/>
      <c r="F752" s="70"/>
      <c r="G752" s="70"/>
      <c r="H752" s="70"/>
      <c r="I752" s="70"/>
      <c r="J752" s="70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  <c r="Y752" s="70"/>
      <c r="Z752" s="70"/>
    </row>
    <row r="753" customFormat="false" ht="12.75" hidden="false" customHeight="false" outlineLevel="0" collapsed="false">
      <c r="A753" s="70"/>
      <c r="B753" s="70"/>
      <c r="C753" s="70"/>
      <c r="D753" s="70"/>
      <c r="E753" s="70"/>
      <c r="F753" s="70"/>
      <c r="G753" s="70"/>
      <c r="H753" s="70"/>
      <c r="I753" s="70"/>
      <c r="J753" s="70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  <c r="Y753" s="70"/>
      <c r="Z753" s="70"/>
    </row>
    <row r="754" customFormat="false" ht="12.75" hidden="false" customHeight="false" outlineLevel="0" collapsed="false">
      <c r="A754" s="70"/>
      <c r="B754" s="70"/>
      <c r="C754" s="70"/>
      <c r="D754" s="70"/>
      <c r="E754" s="70"/>
      <c r="F754" s="70"/>
      <c r="G754" s="70"/>
      <c r="H754" s="70"/>
      <c r="I754" s="70"/>
      <c r="J754" s="70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  <c r="Y754" s="70"/>
      <c r="Z754" s="70"/>
    </row>
    <row r="755" customFormat="false" ht="12.75" hidden="false" customHeight="false" outlineLevel="0" collapsed="false">
      <c r="A755" s="70"/>
      <c r="B755" s="70"/>
      <c r="C755" s="70"/>
      <c r="D755" s="70"/>
      <c r="E755" s="70"/>
      <c r="F755" s="70"/>
      <c r="G755" s="70"/>
      <c r="H755" s="70"/>
      <c r="I755" s="70"/>
      <c r="J755" s="70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  <c r="Y755" s="70"/>
      <c r="Z755" s="70"/>
    </row>
    <row r="756" customFormat="false" ht="12.75" hidden="false" customHeight="false" outlineLevel="0" collapsed="false">
      <c r="A756" s="70"/>
      <c r="B756" s="70"/>
      <c r="C756" s="70"/>
      <c r="D756" s="70"/>
      <c r="E756" s="70"/>
      <c r="F756" s="70"/>
      <c r="G756" s="70"/>
      <c r="H756" s="70"/>
      <c r="I756" s="70"/>
      <c r="J756" s="70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  <c r="Y756" s="70"/>
      <c r="Z756" s="70"/>
    </row>
    <row r="757" customFormat="false" ht="12.75" hidden="false" customHeight="false" outlineLevel="0" collapsed="false">
      <c r="A757" s="70"/>
      <c r="B757" s="70"/>
      <c r="C757" s="70"/>
      <c r="D757" s="70"/>
      <c r="E757" s="70"/>
      <c r="F757" s="70"/>
      <c r="G757" s="70"/>
      <c r="H757" s="70"/>
      <c r="I757" s="70"/>
      <c r="J757" s="70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  <c r="Y757" s="70"/>
      <c r="Z757" s="70"/>
    </row>
    <row r="758" customFormat="false" ht="12.75" hidden="false" customHeight="false" outlineLevel="0" collapsed="false">
      <c r="A758" s="70"/>
      <c r="B758" s="70"/>
      <c r="C758" s="70"/>
      <c r="D758" s="70"/>
      <c r="E758" s="70"/>
      <c r="F758" s="70"/>
      <c r="G758" s="70"/>
      <c r="H758" s="70"/>
      <c r="I758" s="70"/>
      <c r="J758" s="70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  <c r="Y758" s="70"/>
      <c r="Z758" s="70"/>
    </row>
    <row r="759" customFormat="false" ht="12.75" hidden="false" customHeight="false" outlineLevel="0" collapsed="false">
      <c r="A759" s="70"/>
      <c r="B759" s="70"/>
      <c r="C759" s="70"/>
      <c r="D759" s="70"/>
      <c r="E759" s="70"/>
      <c r="F759" s="70"/>
      <c r="G759" s="70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  <c r="Y759" s="70"/>
      <c r="Z759" s="70"/>
    </row>
    <row r="760" customFormat="false" ht="12.75" hidden="false" customHeight="false" outlineLevel="0" collapsed="false">
      <c r="A760" s="70"/>
      <c r="B760" s="70"/>
      <c r="C760" s="70"/>
      <c r="D760" s="70"/>
      <c r="E760" s="70"/>
      <c r="F760" s="70"/>
      <c r="G760" s="70"/>
      <c r="H760" s="70"/>
      <c r="I760" s="70"/>
      <c r="J760" s="70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  <c r="Y760" s="70"/>
      <c r="Z760" s="70"/>
    </row>
    <row r="761" customFormat="false" ht="12.75" hidden="false" customHeight="false" outlineLevel="0" collapsed="false">
      <c r="A761" s="70"/>
      <c r="B761" s="70"/>
      <c r="C761" s="70"/>
      <c r="D761" s="70"/>
      <c r="E761" s="70"/>
      <c r="F761" s="70"/>
      <c r="G761" s="70"/>
      <c r="H761" s="70"/>
      <c r="I761" s="70"/>
      <c r="J761" s="70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  <c r="Y761" s="70"/>
      <c r="Z761" s="70"/>
    </row>
    <row r="762" customFormat="false" ht="12.75" hidden="false" customHeight="false" outlineLevel="0" collapsed="false">
      <c r="A762" s="70"/>
      <c r="B762" s="70"/>
      <c r="C762" s="70"/>
      <c r="D762" s="70"/>
      <c r="E762" s="70"/>
      <c r="F762" s="70"/>
      <c r="G762" s="70"/>
      <c r="H762" s="70"/>
      <c r="I762" s="70"/>
      <c r="J762" s="70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  <c r="Y762" s="70"/>
      <c r="Z762" s="70"/>
    </row>
    <row r="763" customFormat="false" ht="12.75" hidden="false" customHeight="false" outlineLevel="0" collapsed="false">
      <c r="A763" s="70"/>
      <c r="B763" s="70"/>
      <c r="C763" s="70"/>
      <c r="D763" s="70"/>
      <c r="E763" s="70"/>
      <c r="F763" s="70"/>
      <c r="G763" s="70"/>
      <c r="H763" s="70"/>
      <c r="I763" s="70"/>
      <c r="J763" s="70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  <c r="Y763" s="70"/>
      <c r="Z763" s="70"/>
    </row>
    <row r="764" customFormat="false" ht="12.75" hidden="false" customHeight="false" outlineLevel="0" collapsed="false">
      <c r="A764" s="70"/>
      <c r="B764" s="70"/>
      <c r="C764" s="70"/>
      <c r="D764" s="70"/>
      <c r="E764" s="70"/>
      <c r="F764" s="70"/>
      <c r="G764" s="70"/>
      <c r="H764" s="70"/>
      <c r="I764" s="70"/>
      <c r="J764" s="70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  <c r="Y764" s="70"/>
      <c r="Z764" s="70"/>
    </row>
    <row r="765" customFormat="false" ht="12.75" hidden="false" customHeight="false" outlineLevel="0" collapsed="false">
      <c r="A765" s="70"/>
      <c r="B765" s="70"/>
      <c r="C765" s="70"/>
      <c r="D765" s="70"/>
      <c r="E765" s="70"/>
      <c r="F765" s="70"/>
      <c r="G765" s="70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  <c r="Y765" s="70"/>
      <c r="Z765" s="70"/>
    </row>
    <row r="766" customFormat="false" ht="12.75" hidden="false" customHeight="false" outlineLevel="0" collapsed="false">
      <c r="A766" s="70"/>
      <c r="B766" s="70"/>
      <c r="C766" s="70"/>
      <c r="D766" s="70"/>
      <c r="E766" s="70"/>
      <c r="F766" s="70"/>
      <c r="G766" s="70"/>
      <c r="H766" s="70"/>
      <c r="I766" s="70"/>
      <c r="J766" s="70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  <c r="Y766" s="70"/>
      <c r="Z766" s="70"/>
    </row>
    <row r="767" customFormat="false" ht="12.75" hidden="false" customHeight="false" outlineLevel="0" collapsed="false">
      <c r="A767" s="70"/>
      <c r="B767" s="70"/>
      <c r="C767" s="70"/>
      <c r="D767" s="70"/>
      <c r="E767" s="70"/>
      <c r="F767" s="70"/>
      <c r="G767" s="70"/>
      <c r="H767" s="70"/>
      <c r="I767" s="70"/>
      <c r="J767" s="70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  <c r="Y767" s="70"/>
      <c r="Z767" s="70"/>
    </row>
    <row r="768" customFormat="false" ht="12.75" hidden="false" customHeight="false" outlineLevel="0" collapsed="false">
      <c r="A768" s="70"/>
      <c r="B768" s="70"/>
      <c r="C768" s="70"/>
      <c r="D768" s="70"/>
      <c r="E768" s="70"/>
      <c r="F768" s="70"/>
      <c r="G768" s="70"/>
      <c r="H768" s="70"/>
      <c r="I768" s="70"/>
      <c r="J768" s="70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  <c r="Y768" s="70"/>
      <c r="Z768" s="70"/>
    </row>
    <row r="769" customFormat="false" ht="12.75" hidden="false" customHeight="false" outlineLevel="0" collapsed="false">
      <c r="A769" s="70"/>
      <c r="B769" s="70"/>
      <c r="C769" s="70"/>
      <c r="D769" s="70"/>
      <c r="E769" s="70"/>
      <c r="F769" s="70"/>
      <c r="G769" s="70"/>
      <c r="H769" s="70"/>
      <c r="I769" s="70"/>
      <c r="J769" s="70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  <c r="Y769" s="70"/>
      <c r="Z769" s="70"/>
    </row>
    <row r="770" customFormat="false" ht="12.75" hidden="false" customHeight="false" outlineLevel="0" collapsed="false">
      <c r="A770" s="70"/>
      <c r="B770" s="70"/>
      <c r="C770" s="70"/>
      <c r="D770" s="70"/>
      <c r="E770" s="70"/>
      <c r="F770" s="70"/>
      <c r="G770" s="70"/>
      <c r="H770" s="70"/>
      <c r="I770" s="70"/>
      <c r="J770" s="70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  <c r="Y770" s="70"/>
      <c r="Z770" s="70"/>
    </row>
    <row r="771" customFormat="false" ht="12.75" hidden="false" customHeight="false" outlineLevel="0" collapsed="false">
      <c r="A771" s="70"/>
      <c r="B771" s="70"/>
      <c r="C771" s="70"/>
      <c r="D771" s="70"/>
      <c r="E771" s="70"/>
      <c r="F771" s="70"/>
      <c r="G771" s="70"/>
      <c r="H771" s="70"/>
      <c r="I771" s="70"/>
      <c r="J771" s="70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  <c r="Y771" s="70"/>
      <c r="Z771" s="70"/>
    </row>
    <row r="772" customFormat="false" ht="12.75" hidden="false" customHeight="false" outlineLevel="0" collapsed="false">
      <c r="A772" s="70"/>
      <c r="B772" s="70"/>
      <c r="C772" s="70"/>
      <c r="D772" s="70"/>
      <c r="E772" s="70"/>
      <c r="F772" s="70"/>
      <c r="G772" s="70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  <c r="Y772" s="70"/>
      <c r="Z772" s="70"/>
    </row>
    <row r="773" customFormat="false" ht="12.75" hidden="false" customHeight="false" outlineLevel="0" collapsed="false">
      <c r="A773" s="70"/>
      <c r="B773" s="70"/>
      <c r="C773" s="70"/>
      <c r="D773" s="70"/>
      <c r="E773" s="70"/>
      <c r="F773" s="70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  <c r="Z773" s="70"/>
    </row>
    <row r="774" customFormat="false" ht="12.75" hidden="false" customHeight="false" outlineLevel="0" collapsed="false">
      <c r="A774" s="70"/>
      <c r="B774" s="70"/>
      <c r="C774" s="70"/>
      <c r="D774" s="70"/>
      <c r="E774" s="70"/>
      <c r="F774" s="70"/>
      <c r="G774" s="70"/>
      <c r="H774" s="70"/>
      <c r="I774" s="70"/>
      <c r="J774" s="70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  <c r="Y774" s="70"/>
      <c r="Z774" s="70"/>
    </row>
    <row r="775" customFormat="false" ht="12.75" hidden="false" customHeight="false" outlineLevel="0" collapsed="false">
      <c r="A775" s="70"/>
      <c r="B775" s="70"/>
      <c r="C775" s="70"/>
      <c r="D775" s="70"/>
      <c r="E775" s="70"/>
      <c r="F775" s="70"/>
      <c r="G775" s="70"/>
      <c r="H775" s="70"/>
      <c r="I775" s="70"/>
      <c r="J775" s="70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  <c r="Y775" s="70"/>
      <c r="Z775" s="70"/>
    </row>
    <row r="776" customFormat="false" ht="12.75" hidden="false" customHeight="false" outlineLevel="0" collapsed="false">
      <c r="A776" s="70"/>
      <c r="B776" s="70"/>
      <c r="C776" s="70"/>
      <c r="D776" s="70"/>
      <c r="E776" s="70"/>
      <c r="F776" s="70"/>
      <c r="G776" s="70"/>
      <c r="H776" s="70"/>
      <c r="I776" s="70"/>
      <c r="J776" s="70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  <c r="Y776" s="70"/>
      <c r="Z776" s="70"/>
    </row>
    <row r="777" customFormat="false" ht="12.75" hidden="false" customHeight="false" outlineLevel="0" collapsed="false">
      <c r="A777" s="70"/>
      <c r="B777" s="70"/>
      <c r="C777" s="70"/>
      <c r="D777" s="70"/>
      <c r="E777" s="70"/>
      <c r="F777" s="70"/>
      <c r="G777" s="70"/>
      <c r="H777" s="70"/>
      <c r="I777" s="70"/>
      <c r="J777" s="70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  <c r="Y777" s="70"/>
      <c r="Z777" s="70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43" fitToWidth="1" fitToHeight="1" pageOrder="downThenOver" orientation="landscape" blackAndWhite="false" draft="false" cellComments="none" horizontalDpi="300" verticalDpi="300" copies="1"/>
  <headerFooter differentFirst="false" differentOddEven="false">
    <oddHeader>&amp;LEnron Generation Company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77"/>
  <sheetViews>
    <sheetView showFormulas="false" showGridLines="true" showRowColHeaders="true" showZeros="true" rightToLeft="false" tabSelected="false" showOutlineSymbols="true" defaultGridColor="true" view="normal" topLeftCell="A6" colorId="64" zoomScale="75" zoomScaleNormal="75" zoomScalePageLayoutView="100" workbookViewId="0">
      <selection pane="topLeft" activeCell="I21" activeCellId="0" sqref="I2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78" width="53.41"/>
    <col collapsed="false" customWidth="true" hidden="false" outlineLevel="0" max="4" min="2" style="78" width="8.41"/>
    <col collapsed="false" customWidth="true" hidden="false" outlineLevel="1" max="5" min="5" style="78" width="9.28"/>
    <col collapsed="false" customWidth="true" hidden="false" outlineLevel="1" max="6" min="6" style="78" width="10.13"/>
    <col collapsed="false" customWidth="true" hidden="false" outlineLevel="1" max="8" min="7" style="78" width="10.71"/>
    <col collapsed="false" customWidth="true" hidden="false" outlineLevel="0" max="26" min="9" style="78" width="10.71"/>
    <col collapsed="false" customWidth="false" hidden="false" outlineLevel="0" max="257" min="27" style="70" width="9.14"/>
  </cols>
  <sheetData>
    <row r="1" customFormat="false" ht="12.75" hidden="false" customHeight="false" outlineLevel="0" collapsed="false">
      <c r="F1" s="78" t="n">
        <v>12</v>
      </c>
    </row>
    <row r="2" customFormat="false" ht="18.75" hidden="false" customHeight="false" outlineLevel="0" collapsed="false">
      <c r="A2" s="317" t="s">
        <v>466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</row>
    <row r="3" customFormat="false" ht="12.75" hidden="false" customHeight="false" outlineLevel="0" collapsed="false">
      <c r="A3" s="323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</row>
    <row r="4" customFormat="false" ht="12.75" hidden="false" customHeight="false" outlineLevel="0" collapsed="false">
      <c r="A4" s="323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</row>
    <row r="5" customFormat="false" ht="13.5" hidden="false" customHeight="false" outlineLevel="0" collapsed="false">
      <c r="A5" s="319" t="s">
        <v>269</v>
      </c>
      <c r="B5" s="320"/>
      <c r="C5" s="320"/>
      <c r="D5" s="320"/>
      <c r="E5" s="320" t="n">
        <v>1999</v>
      </c>
      <c r="F5" s="320" t="n">
        <f aca="false">E5+1</f>
        <v>2000</v>
      </c>
      <c r="G5" s="320" t="n">
        <f aca="false">F5+1</f>
        <v>2001</v>
      </c>
      <c r="H5" s="320" t="n">
        <f aca="false">G5+1</f>
        <v>2002</v>
      </c>
      <c r="I5" s="320" t="n">
        <f aca="false">H5+1</f>
        <v>2003</v>
      </c>
      <c r="J5" s="320" t="n">
        <f aca="false">I5+1</f>
        <v>2004</v>
      </c>
      <c r="K5" s="320" t="n">
        <f aca="false">J5+1</f>
        <v>2005</v>
      </c>
      <c r="L5" s="320" t="n">
        <f aca="false">K5+1</f>
        <v>2006</v>
      </c>
      <c r="M5" s="320" t="n">
        <f aca="false">L5+1</f>
        <v>2007</v>
      </c>
      <c r="N5" s="320" t="n">
        <f aca="false">M5+1</f>
        <v>2008</v>
      </c>
      <c r="O5" s="320" t="n">
        <f aca="false">N5+1</f>
        <v>2009</v>
      </c>
      <c r="P5" s="320" t="n">
        <f aca="false">O5+1</f>
        <v>2010</v>
      </c>
      <c r="Q5" s="320" t="n">
        <f aca="false">P5+1</f>
        <v>2011</v>
      </c>
      <c r="R5" s="320" t="n">
        <f aca="false">Q5+1</f>
        <v>2012</v>
      </c>
      <c r="S5" s="320" t="n">
        <f aca="false">R5+1</f>
        <v>2013</v>
      </c>
      <c r="T5" s="320" t="n">
        <f aca="false">S5+1</f>
        <v>2014</v>
      </c>
      <c r="U5" s="320" t="n">
        <f aca="false">T5+1</f>
        <v>2015</v>
      </c>
      <c r="V5" s="320" t="n">
        <f aca="false">U5+1</f>
        <v>2016</v>
      </c>
      <c r="W5" s="320" t="n">
        <f aca="false">V5+1</f>
        <v>2017</v>
      </c>
      <c r="X5" s="320" t="n">
        <f aca="false">W5+1</f>
        <v>2018</v>
      </c>
      <c r="Y5" s="320" t="n">
        <f aca="false">X5+1</f>
        <v>2019</v>
      </c>
      <c r="Z5" s="320" t="n">
        <f aca="false">Y5+1</f>
        <v>2020</v>
      </c>
    </row>
    <row r="6" customFormat="false" ht="12.75" hidden="false" customHeight="false" outlineLevel="0" collapsed="false">
      <c r="A6" s="322"/>
      <c r="G6" s="321"/>
      <c r="H6" s="321"/>
      <c r="I6" s="321"/>
      <c r="J6" s="474"/>
      <c r="K6" s="474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</row>
    <row r="7" customFormat="false" ht="12.75" hidden="false" customHeight="false" outlineLevel="0" collapsed="false">
      <c r="A7" s="322"/>
      <c r="G7" s="321"/>
      <c r="H7" s="321"/>
      <c r="I7" s="321"/>
      <c r="J7" s="321"/>
      <c r="K7" s="321"/>
      <c r="L7" s="321"/>
      <c r="M7" s="321"/>
      <c r="N7" s="321"/>
      <c r="O7" s="321"/>
      <c r="P7" s="321"/>
      <c r="Q7" s="321"/>
      <c r="R7" s="321"/>
      <c r="S7" s="321"/>
      <c r="T7" s="321"/>
      <c r="U7" s="321"/>
      <c r="V7" s="321"/>
      <c r="W7" s="321"/>
      <c r="X7" s="321"/>
      <c r="Y7" s="321"/>
      <c r="Z7" s="321"/>
    </row>
    <row r="8" customFormat="false" ht="12.75" hidden="false" customHeight="false" outlineLevel="0" collapsed="false">
      <c r="A8" s="323" t="s">
        <v>270</v>
      </c>
      <c r="B8" s="321"/>
      <c r="C8" s="321"/>
      <c r="D8" s="650"/>
      <c r="E8" s="650"/>
      <c r="F8" s="650"/>
      <c r="G8" s="650"/>
      <c r="H8" s="650"/>
      <c r="I8" s="650"/>
      <c r="J8" s="650"/>
      <c r="K8" s="650"/>
      <c r="L8" s="650"/>
      <c r="M8" s="650"/>
      <c r="N8" s="650"/>
      <c r="O8" s="650"/>
      <c r="P8" s="650"/>
      <c r="Q8" s="650"/>
      <c r="R8" s="650"/>
      <c r="S8" s="650"/>
      <c r="T8" s="650"/>
      <c r="U8" s="650"/>
      <c r="V8" s="650"/>
      <c r="W8" s="650"/>
      <c r="X8" s="650"/>
      <c r="Y8" s="650"/>
      <c r="Z8" s="650"/>
      <c r="AA8" s="729"/>
      <c r="AB8" s="651"/>
      <c r="AC8" s="651"/>
      <c r="AD8" s="651"/>
    </row>
    <row r="9" customFormat="false" ht="12.75" hidden="false" customHeight="false" outlineLevel="0" collapsed="false">
      <c r="A9" s="326" t="s">
        <v>271</v>
      </c>
      <c r="B9" s="321"/>
      <c r="C9" s="321"/>
      <c r="D9" s="321"/>
      <c r="E9" s="321"/>
      <c r="F9" s="321"/>
      <c r="H9" s="70"/>
      <c r="AA9" s="729"/>
      <c r="AB9" s="651"/>
      <c r="AC9" s="651"/>
      <c r="AD9" s="651"/>
    </row>
    <row r="10" customFormat="false" ht="12.75" hidden="false" customHeight="false" outlineLevel="0" collapsed="false">
      <c r="A10" s="327" t="s">
        <v>272</v>
      </c>
      <c r="D10" s="0"/>
      <c r="E10" s="115" t="n">
        <f aca="false">(Assumptions!$M$29)*Assumptions!$M$53*'Power Price Assumption'!E23</f>
        <v>0</v>
      </c>
      <c r="F10" s="115" t="n">
        <f aca="false">Assumptions!$M$29*5*'Power Price Assumption'!F23+Assumptions!$M$30*7*'Power Price Assumption'!F23</f>
        <v>21636</v>
      </c>
      <c r="G10" s="115" t="n">
        <f aca="false">Assumptions!$M$30*12*'Power Price Assumption'!G23</f>
        <v>21936</v>
      </c>
      <c r="H10" s="115" t="n">
        <f aca="false">Assumptions!$M$30*12*'Power Price Assumption'!H23</f>
        <v>21936</v>
      </c>
      <c r="I10" s="115" t="n">
        <v>0</v>
      </c>
      <c r="J10" s="115" t="n">
        <f aca="false">Assumptions!$M$30*12*'Power Price Assumption'!J23</f>
        <v>0</v>
      </c>
      <c r="K10" s="115" t="n">
        <f aca="false">Assumptions!$M$30*12*'Power Price Assumption'!K23</f>
        <v>0</v>
      </c>
      <c r="L10" s="115" t="n">
        <f aca="false">Assumptions!$M$30*12*'Power Price Assumption'!L23</f>
        <v>0</v>
      </c>
      <c r="M10" s="115" t="n">
        <f aca="false">Assumptions!$M$30*12*'Power Price Assumption'!M23</f>
        <v>0</v>
      </c>
      <c r="N10" s="115" t="n">
        <f aca="false">Assumptions!$M$30*12*'Power Price Assumption'!N23</f>
        <v>0</v>
      </c>
      <c r="O10" s="115" t="n">
        <f aca="false">Assumptions!$M$30*12*'Power Price Assumption'!O23</f>
        <v>0</v>
      </c>
      <c r="P10" s="115" t="n">
        <f aca="false">Assumptions!$M$30*12*'Power Price Assumption'!P23</f>
        <v>0</v>
      </c>
      <c r="Q10" s="115" t="n">
        <f aca="false">Assumptions!$M$30*12*'Power Price Assumption'!Q23</f>
        <v>0</v>
      </c>
      <c r="R10" s="115" t="n">
        <f aca="false">Assumptions!$M$30*12*'Power Price Assumption'!R23</f>
        <v>0</v>
      </c>
      <c r="S10" s="115" t="n">
        <f aca="false">Assumptions!$M$30*12*'Power Price Assumption'!S23</f>
        <v>0</v>
      </c>
      <c r="T10" s="115" t="n">
        <f aca="false">Assumptions!$M$30*12*'Power Price Assumption'!T23</f>
        <v>0</v>
      </c>
      <c r="U10" s="115" t="n">
        <f aca="false">Assumptions!$M$30*12*'Power Price Assumption'!U23</f>
        <v>0</v>
      </c>
      <c r="V10" s="115" t="n">
        <f aca="false">Assumptions!$M$30*12*'Power Price Assumption'!V23</f>
        <v>0</v>
      </c>
      <c r="W10" s="115" t="n">
        <f aca="false">Assumptions!$M$30*12*'Power Price Assumption'!W23</f>
        <v>0</v>
      </c>
      <c r="X10" s="115" t="n">
        <f aca="false">Assumptions!$M$30*12*'Power Price Assumption'!X23</f>
        <v>0</v>
      </c>
      <c r="Y10" s="115" t="n">
        <f aca="false">Assumptions!$M$30*12*'Power Price Assumption'!Y23</f>
        <v>0</v>
      </c>
      <c r="Z10" s="115" t="n">
        <f aca="false">Assumptions!$M$30*12*'Power Price Assumption'!Z23</f>
        <v>0</v>
      </c>
      <c r="AD10" s="730"/>
    </row>
    <row r="11" customFormat="false" ht="12.75" hidden="false" customHeight="false" outlineLevel="0" collapsed="false">
      <c r="A11" s="327" t="s">
        <v>273</v>
      </c>
      <c r="D11" s="0"/>
      <c r="E11" s="115" t="n">
        <f aca="false">Assumptions!M26*Assumptions!M$29*Assumptions!M$14/1000*Assumptions!M$53/12</f>
        <v>0</v>
      </c>
      <c r="F11" s="115" t="n">
        <f aca="false">Assumptions!M26*Assumptions!M$29*Assumptions!M$14/1000*5/12*(1+Assumptions!$M$39)^(5/12)+Assumptions!M26*Assumptions!M$30*Assumptions!M$14/1000*7/12*(1+Assumptions!$M$39)^(Caledonia!F5-Caledonia!E5)</f>
        <v>492.446531631765</v>
      </c>
      <c r="G11" s="115" t="n">
        <f aca="false">Assumptions!M26*Assumptions!M$30*Assumptions!M$14/1000*(1+Assumptions!M52)^(Caledonia!G5-Caledonia!E5)</f>
        <v>517.870030217195</v>
      </c>
      <c r="H11" s="115" t="n">
        <f aca="false">G11*(1+Assumptions!$M$39)</f>
        <v>533.406131123711</v>
      </c>
      <c r="I11" s="115" t="n">
        <v>0</v>
      </c>
      <c r="J11" s="115" t="n">
        <v>0</v>
      </c>
      <c r="K11" s="115" t="n">
        <v>0</v>
      </c>
      <c r="L11" s="115" t="n">
        <v>0</v>
      </c>
      <c r="M11" s="115" t="n">
        <v>0</v>
      </c>
      <c r="N11" s="115" t="n">
        <v>0</v>
      </c>
      <c r="O11" s="115" t="n">
        <v>0</v>
      </c>
      <c r="P11" s="115" t="n">
        <v>0</v>
      </c>
      <c r="Q11" s="115" t="n">
        <v>0</v>
      </c>
      <c r="R11" s="115" t="n">
        <v>0</v>
      </c>
      <c r="S11" s="115" t="n">
        <v>0</v>
      </c>
      <c r="T11" s="115" t="n">
        <v>0</v>
      </c>
      <c r="U11" s="115" t="n">
        <v>0</v>
      </c>
      <c r="V11" s="115" t="n">
        <v>0</v>
      </c>
      <c r="W11" s="115" t="n">
        <v>0</v>
      </c>
      <c r="X11" s="115" t="n">
        <v>0</v>
      </c>
      <c r="Y11" s="115" t="n">
        <v>0</v>
      </c>
      <c r="Z11" s="115" t="n">
        <v>0</v>
      </c>
      <c r="AD11" s="730"/>
    </row>
    <row r="12" customFormat="false" ht="12.75" hidden="false" customHeight="false" outlineLevel="0" collapsed="false">
      <c r="A12" s="327" t="s">
        <v>274</v>
      </c>
      <c r="D12" s="0"/>
      <c r="E12" s="115" t="n">
        <f aca="false">VLOOKUP(Assumptions!$M$19,'EGC Start Charge Matrix'!$A$10:$S$35,15)*Assumptions!M$53/12</f>
        <v>0</v>
      </c>
      <c r="F12" s="115" t="n">
        <f aca="false">VLOOKUP(Assumptions!$M$19,'EGC Start Charge Matrix'!$A$10:$S$35,15)*(1+Assumptions!$M$39)*$F$1/12</f>
        <v>1389.7584</v>
      </c>
      <c r="G12" s="115" t="n">
        <f aca="false">F12*(1+Assumptions!$M$39)</f>
        <v>1431.451152</v>
      </c>
      <c r="H12" s="115" t="n">
        <f aca="false">G12*(1+Assumptions!$M$39)</f>
        <v>1474.39468656</v>
      </c>
      <c r="I12" s="115" t="n">
        <v>0</v>
      </c>
      <c r="J12" s="115" t="n">
        <v>0</v>
      </c>
      <c r="K12" s="115" t="n">
        <v>0</v>
      </c>
      <c r="L12" s="115" t="n">
        <v>0</v>
      </c>
      <c r="M12" s="115" t="n">
        <v>0</v>
      </c>
      <c r="N12" s="115" t="n">
        <v>0</v>
      </c>
      <c r="O12" s="115" t="n">
        <v>0</v>
      </c>
      <c r="P12" s="115" t="n">
        <v>0</v>
      </c>
      <c r="Q12" s="115" t="n">
        <v>0</v>
      </c>
      <c r="R12" s="115" t="n">
        <v>0</v>
      </c>
      <c r="S12" s="115" t="n">
        <v>0</v>
      </c>
      <c r="T12" s="115" t="n">
        <v>0</v>
      </c>
      <c r="U12" s="115" t="n">
        <v>0</v>
      </c>
      <c r="V12" s="115" t="n">
        <v>0</v>
      </c>
      <c r="W12" s="115" t="n">
        <v>0</v>
      </c>
      <c r="X12" s="115" t="n">
        <v>0</v>
      </c>
      <c r="Y12" s="115" t="n">
        <v>0</v>
      </c>
      <c r="Z12" s="115" t="n">
        <v>0</v>
      </c>
      <c r="AD12" s="730"/>
    </row>
    <row r="13" customFormat="false" ht="12.75" hidden="false" customHeight="false" outlineLevel="0" collapsed="false">
      <c r="A13" s="70"/>
      <c r="B13" s="70"/>
      <c r="C13" s="70"/>
      <c r="D13" s="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D13" s="730"/>
    </row>
    <row r="14" customFormat="false" ht="12.75" hidden="false" customHeight="false" outlineLevel="0" collapsed="false">
      <c r="A14" s="326" t="s">
        <v>275</v>
      </c>
      <c r="B14" s="654"/>
      <c r="C14" s="654"/>
      <c r="D14" s="0"/>
      <c r="E14" s="655"/>
      <c r="F14" s="656"/>
      <c r="G14" s="656"/>
      <c r="H14" s="656"/>
      <c r="I14" s="656"/>
      <c r="J14" s="656"/>
      <c r="K14" s="656"/>
      <c r="L14" s="656"/>
      <c r="M14" s="656"/>
      <c r="N14" s="656"/>
      <c r="O14" s="656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D14" s="730"/>
    </row>
    <row r="15" customFormat="false" ht="12.75" hidden="false" customHeight="false" outlineLevel="0" collapsed="false">
      <c r="A15" s="327" t="s">
        <v>467</v>
      </c>
      <c r="D15" s="0"/>
      <c r="E15" s="115" t="n">
        <v>0</v>
      </c>
      <c r="F15" s="115" t="n">
        <v>0</v>
      </c>
      <c r="G15" s="115" t="n">
        <v>0</v>
      </c>
      <c r="H15" s="115" t="n">
        <v>0</v>
      </c>
      <c r="I15" s="115" t="n">
        <f aca="false">IF(Assumptions!$M$19=120,Assumptions!$M$33*(1-Assumptions!$M$35)*'Power Price Assumption'!I25*(12),Assumptions!$M$33*(1-Assumptions!$M$35)*'Power Price Assumption'!I25*(12)-VLOOKUP(120,'EGC Start Charge Matrix'!$U$10:$AM$35,15)*(1+Assumptions!$M$39)^(Caledonia!I5-Caledonia!$E$5)*2/3)</f>
        <v>33080.8003310242</v>
      </c>
      <c r="J15" s="115" t="n">
        <f aca="false">IF(Assumptions!$M$19=120,Assumptions!$M$33*(1-Assumptions!$M$35)*'Power Price Assumption'!J25*(12),Assumptions!$M$33*(1-Assumptions!$M$35)*'Power Price Assumption'!J25*(12)-VLOOKUP(120,'EGC Start Charge Matrix'!$U$10:$AM$35,15)*(1+Assumptions!$M$39)^(Caledonia!J5-Caledonia!$E$5)*2/3)</f>
        <v>33495.7120639896</v>
      </c>
      <c r="K15" s="115" t="n">
        <f aca="false">IF(Assumptions!$M$19=120,Assumptions!$M$33*(1-Assumptions!$M$35)*'Power Price Assumption'!K25*(12),Assumptions!$M$33*(1-Assumptions!$M$35)*'Power Price Assumption'!K25*(12)-VLOOKUP(120,'EGC Start Charge Matrix'!$U$10:$AM$35,15)*(1+Assumptions!$M$39)^(Caledonia!K5-Caledonia!$E$5)*2/3)</f>
        <v>33905.7457806349</v>
      </c>
      <c r="L15" s="115" t="n">
        <f aca="false">IF(Assumptions!$M$19=120,Assumptions!$M$33*(1-Assumptions!$M$35)*'Power Price Assumption'!L25*(12),Assumptions!$M$33*(1-Assumptions!$M$35)*'Power Price Assumption'!L25*(12)-VLOOKUP(120,'EGC Start Charge Matrix'!$U$10:$AM$35,15)*(1+Assumptions!$M$39)^(Caledonia!L5-Caledonia!$E$5)*2/3)</f>
        <v>34310.2353794215</v>
      </c>
      <c r="M15" s="115" t="n">
        <f aca="false">IF(Assumptions!$M$19=120,Assumptions!$M$33*(1-Assumptions!$M$35)*'Power Price Assumption'!M25*(12),Assumptions!$M$33*(1-Assumptions!$M$35)*'Power Price Assumption'!M25*(12)-VLOOKUP(120,'EGC Start Charge Matrix'!$U$10:$AM$35,15)*(1+Assumptions!$M$39)^(Caledonia!M5-Caledonia!$E$5)*2/3)</f>
        <v>35339.5424408041</v>
      </c>
      <c r="N15" s="115" t="n">
        <f aca="false">IF(Assumptions!$M$19=120,Assumptions!$M$33*(1-Assumptions!$M$35)*'Power Price Assumption'!N25*(12),Assumptions!$M$33*(1-Assumptions!$M$35)*'Power Price Assumption'!N25*(12)-VLOOKUP(120,'EGC Start Charge Matrix'!$U$10:$AM$35,15)*(1+Assumptions!$M$39)^(Caledonia!N5-Caledonia!$E$5)*2/3)</f>
        <v>35749.7335584206</v>
      </c>
      <c r="O15" s="115" t="n">
        <f aca="false">IF(Assumptions!$M$19=120,Assumptions!$M$33*(1-Assumptions!$M$35)*'Power Price Assumption'!O25*(12),Assumptions!$M$33*(1-Assumptions!$M$35)*'Power Price Assumption'!O25*(12)-VLOOKUP(120,'EGC Start Charge Matrix'!$U$10:$AM$35,15)*(1+Assumptions!$M$39)^(Caledonia!O5-Caledonia!$E$5)*2/3)</f>
        <v>36822.2255651732</v>
      </c>
      <c r="P15" s="115" t="n">
        <f aca="false">IF(Assumptions!$M$19=120,Assumptions!$M$33*(1-Assumptions!$M$35)*'Power Price Assumption'!P25*(12),Assumptions!$M$33*(1-Assumptions!$M$35)*'Power Price Assumption'!P25*(12)-VLOOKUP(120,'EGC Start Charge Matrix'!$U$10:$AM$35,15)*(1+Assumptions!$M$39)^(Caledonia!P5-Caledonia!$E$5)*2/3)</f>
        <v>37237.3124715443</v>
      </c>
      <c r="Q15" s="115" t="n">
        <f aca="false">IF(Assumptions!$M$19=120,Assumptions!$M$33*(1-Assumptions!$M$35)*'Power Price Assumption'!Q25*(12),Assumptions!$M$33*(1-Assumptions!$M$35)*'Power Price Assumption'!Q25*(12)-VLOOKUP(120,'EGC Start Charge Matrix'!$U$10:$AM$35,15)*(1+Assumptions!$M$39)^(Caledonia!Q5-Caledonia!$E$5)*2/3)</f>
        <v>38354.4318456906</v>
      </c>
      <c r="R15" s="115" t="n">
        <f aca="false">IF(Assumptions!$M$19=120,Assumptions!$M$33*(1-Assumptions!$M$35)*'Power Price Assumption'!R25*(12),Assumptions!$M$33*(1-Assumptions!$M$35)*'Power Price Assumption'!R25*(12)-VLOOKUP(120,'EGC Start Charge Matrix'!$U$10:$AM$35,15)*(1+Assumptions!$M$39)^(Caledonia!R5-Caledonia!$E$5)*2/3)</f>
        <v>38773.4895269676</v>
      </c>
      <c r="S15" s="115" t="n">
        <f aca="false">IF(Assumptions!$M$19=120,Assumptions!$M$33*(1-Assumptions!$M$35)*'Power Price Assumption'!S25*(12),Assumptions!$M$33*(1-Assumptions!$M$35)*'Power Price Assumption'!S25*(12)-VLOOKUP(120,'EGC Start Charge Matrix'!$U$10:$AM$35,15)*(1+Assumptions!$M$39)^(Caledonia!S5-Caledonia!$E$5)*2/3)</f>
        <v>39183.1716804601</v>
      </c>
      <c r="T15" s="115" t="n">
        <f aca="false">IF(Assumptions!$M$19=120,Assumptions!$M$33*(1-Assumptions!$M$35)*'Power Price Assumption'!T25*(12),Assumptions!$M$33*(1-Assumptions!$M$35)*'Power Price Assumption'!T25*(12)-VLOOKUP(120,'EGC Start Charge Matrix'!$U$10:$AM$35,15)*(1+Assumptions!$M$39)^(Caledonia!T5-Caledonia!$E$5)*2/3)</f>
        <v>39582.5386225878</v>
      </c>
      <c r="U15" s="115" t="n">
        <f aca="false">IF(Assumptions!$M$19=120,Assumptions!$M$33*(1-Assumptions!$M$35)*'Power Price Assumption'!U25*(12),Assumptions!$M$33*(1-Assumptions!$M$35)*'Power Price Assumption'!U25*(12)-VLOOKUP(120,'EGC Start Charge Matrix'!$U$10:$AM$35,15)*(1+Assumptions!$M$39)^(Caledonia!U5-Caledonia!$E$5)*2/3)</f>
        <v>39970.6027267308</v>
      </c>
      <c r="V15" s="115" t="n">
        <f aca="false">IF(Assumptions!$M$19=120,Assumptions!$M$33*(1-Assumptions!$M$35)*'Power Price Assumption'!V25*(12),Assumptions!$M$33*(1-Assumptions!$M$35)*'Power Price Assumption'!V25*(12)-VLOOKUP(120,'EGC Start Charge Matrix'!$U$10:$AM$35,15)*(1+Assumptions!$M$39)^(Caledonia!V5-Caledonia!$E$5)*2/3)</f>
        <v>40346.3263923621</v>
      </c>
      <c r="W15" s="115" t="n">
        <f aca="false">IF(Assumptions!$M$19=120,Assumptions!$M$33*(1-Assumptions!$M$35)*'Power Price Assumption'!W25*(12),Assumptions!$M$33*(1-Assumptions!$M$35)*'Power Price Assumption'!W25*(12)-VLOOKUP(120,'EGC Start Charge Matrix'!$U$10:$AM$35,15)*(1+Assumptions!$M$39)^(Caledonia!W5-Caledonia!$E$5)*2/3)</f>
        <v>40708.6199354772</v>
      </c>
      <c r="X15" s="115" t="n">
        <f aca="false">IF(Assumptions!$M$19=120,Assumptions!$M$33*(1-Assumptions!$M$35)*'Power Price Assumption'!X25*(12),Assumptions!$M$33*(1-Assumptions!$M$35)*'Power Price Assumption'!X25*(12)-VLOOKUP(120,'EGC Start Charge Matrix'!$U$10:$AM$35,15)*(1+Assumptions!$M$39)^(Caledonia!X5-Caledonia!$E$5)*2/3)</f>
        <v>41056.3393974261</v>
      </c>
      <c r="Y15" s="115" t="n">
        <f aca="false">IF(Assumptions!$M$19=120,Assumptions!$M$33*(1-Assumptions!$M$35)*'Power Price Assumption'!Y25*(12),Assumptions!$M$33*(1-Assumptions!$M$35)*'Power Price Assumption'!Y25*(12)-VLOOKUP(120,'EGC Start Charge Matrix'!$U$10:$AM$35,15)*(1+Assumptions!$M$39)^(Caledonia!Y5-Caledonia!$E$5)*2/3)</f>
        <v>41388.2842691499</v>
      </c>
      <c r="Z15" s="115" t="n">
        <f aca="false">IF(Assumptions!$M$19=120,Assumptions!$M$33*(1-Assumptions!$M$35)*'Power Price Assumption'!Z25*(12),Assumptions!$M$33*(1-Assumptions!$M$35)*'Power Price Assumption'!Z25*(12)-VLOOKUP(120,'EGC Start Charge Matrix'!$U$10:$AM$35,15)*(1+Assumptions!$M$39)^(Caledonia!Z5-Caledonia!$E$5)*2/3)</f>
        <v>41703.1951277196</v>
      </c>
      <c r="AD15" s="730"/>
    </row>
    <row r="16" customFormat="false" ht="12.75" hidden="false" customHeight="false" outlineLevel="0" collapsed="false">
      <c r="A16" s="327" t="s">
        <v>276</v>
      </c>
      <c r="B16" s="654"/>
      <c r="C16" s="654"/>
      <c r="D16" s="0"/>
      <c r="E16" s="115" t="n">
        <v>0</v>
      </c>
      <c r="F16" s="115" t="n">
        <v>0</v>
      </c>
      <c r="G16" s="115" t="n">
        <v>0</v>
      </c>
      <c r="H16" s="115" t="n">
        <v>0</v>
      </c>
      <c r="I16" s="115" t="n">
        <f aca="false">(Assumptions!$M$26*Assumptions!$M$34/1000)*(1+Assumptions!$M$39)^(I5-$E$5)+$F$12*(1+Assumptions!$M$39)^(Caledonia!I5-Caledonia!$F$5)*1/3</f>
        <v>1099.5313520435</v>
      </c>
      <c r="J16" s="115" t="n">
        <f aca="false">(Assumptions!$M$26*Assumptions!$M$34/1000)*(1+Assumptions!$M$39)^(J5-$E$5)+$F$12*(1+Assumptions!$M$39)^(Caledonia!J5-Caledonia!$F$5)*1/3</f>
        <v>1132.5172926048</v>
      </c>
      <c r="K16" s="115" t="n">
        <f aca="false">(Assumptions!$M$26*Assumptions!$M$34/1000)*(1+Assumptions!$M$39)^(K5-$E$5)+$F$12*(1+Assumptions!$M$39)^(Caledonia!K5-Caledonia!$F$5)*1/3</f>
        <v>1166.49281138295</v>
      </c>
      <c r="L16" s="115" t="n">
        <f aca="false">(Assumptions!$M$26*Assumptions!$M$34/1000)*(1+Assumptions!$M$39)^(L5-$E$5)+$F$12*(1+Assumptions!$M$39)^(Caledonia!L5-Caledonia!$F$5)*1/3</f>
        <v>1201.48759572444</v>
      </c>
      <c r="M16" s="115" t="n">
        <f aca="false">(Assumptions!$M$26*Assumptions!$M$34/1000)*(1+Assumptions!$M$39)^(M5-$E$5)+$F$12*(1+Assumptions!$M$39)^(Caledonia!M5-Caledonia!$F$5)*1/3</f>
        <v>1237.53222359617</v>
      </c>
      <c r="N16" s="115" t="n">
        <f aca="false">(Assumptions!$M$26*Assumptions!$M$34/1000)*(1+Assumptions!$M$39)^(N5-$E$5)+$F$12*(1+Assumptions!$M$39)^(Caledonia!N5-Caledonia!$F$5)*1/3</f>
        <v>1274.65819030405</v>
      </c>
      <c r="O16" s="115" t="n">
        <f aca="false">(Assumptions!$M$26*Assumptions!$M$34/1000)*(1+Assumptions!$M$39)^(O5-$E$5)+$F$12*(1+Assumptions!$M$39)^(Caledonia!O5-Caledonia!$F$5)*1/3</f>
        <v>1312.89793601317</v>
      </c>
      <c r="P16" s="115" t="n">
        <f aca="false">(Assumptions!$M$26*Assumptions!$M$34/1000)*(1+Assumptions!$M$39)^(P5-$E$5)+$F$12*(1+Assumptions!$M$39)^(Caledonia!P5-Caledonia!$F$5)*1/3</f>
        <v>1352.28487409357</v>
      </c>
      <c r="Q16" s="115" t="n">
        <f aca="false">(Assumptions!$M$26*Assumptions!$M$34/1000)*(1+Assumptions!$M$39)^(Q5-$E$5)+$F$12*(1+Assumptions!$M$39)^(Caledonia!Q5-Caledonia!$F$5)*1/3</f>
        <v>1392.85342031638</v>
      </c>
      <c r="R16" s="115" t="n">
        <f aca="false">(Assumptions!$M$26*Assumptions!$M$34/1000)*(1+Assumptions!$M$39)^(R5-$E$5)+$F$12*(1+Assumptions!$M$39)^(Caledonia!R5-Caledonia!$F$5)*1/3</f>
        <v>1434.63902292587</v>
      </c>
      <c r="S16" s="115" t="n">
        <f aca="false">(Assumptions!$M$26*Assumptions!$M$34/1000)*(1+Assumptions!$M$39)^(S5-$E$5)+$F$12*(1+Assumptions!$M$39)^(Caledonia!S5-Caledonia!$F$5)*1/3</f>
        <v>1477.67819361365</v>
      </c>
      <c r="T16" s="115" t="n">
        <f aca="false">(Assumptions!$M$26*Assumptions!$M$34/1000)*(1+Assumptions!$M$39)^(T5-$E$5)+$F$12*(1+Assumptions!$M$39)^(Caledonia!T5-Caledonia!$F$5)*1/3</f>
        <v>1522.00853942205</v>
      </c>
      <c r="U16" s="115" t="n">
        <f aca="false">(Assumptions!$M$26*Assumptions!$M$34/1000)*(1+Assumptions!$M$39)^(U5-$E$5)+$F$12*(1+Assumptions!$M$39)^(Caledonia!U5-Caledonia!$F$5)*1/3</f>
        <v>1567.66879560472</v>
      </c>
      <c r="V16" s="115" t="n">
        <f aca="false">(Assumptions!$M$26*Assumptions!$M$34/1000)*(1+Assumptions!$M$39)^(V5-$E$5)+$F$12*(1+Assumptions!$M$39)^(Caledonia!V5-Caledonia!$F$5)*1/3</f>
        <v>1614.69885947286</v>
      </c>
      <c r="W16" s="115" t="n">
        <f aca="false">(Assumptions!$M$26*Assumptions!$M$34/1000)*(1+Assumptions!$M$39)^(W5-$E$5)+$F$12*(1+Assumptions!$M$39)^(Caledonia!W5-Caledonia!$F$5)*1/3</f>
        <v>1663.13982525704</v>
      </c>
      <c r="X16" s="115" t="n">
        <f aca="false">(Assumptions!$M$26*Assumptions!$M$34/1000)*(1+Assumptions!$M$39)^(X5-$E$5)+$F$12*(1+Assumptions!$M$39)^(Caledonia!X5-Caledonia!$F$5)*1/3</f>
        <v>1713.03402001475</v>
      </c>
      <c r="Y16" s="115" t="n">
        <f aca="false">(Assumptions!$M$26*Assumptions!$M$34/1000)*(1+Assumptions!$M$39)^(Y5-$E$5)+$F$12*(1+Assumptions!$M$39)^(Caledonia!Y5-Caledonia!$F$5)*1/3</f>
        <v>1764.4250406152</v>
      </c>
      <c r="Z16" s="115" t="n">
        <f aca="false">(Assumptions!$M$26*Assumptions!$M$34/1000)*(1+Assumptions!$M$39)^(Z5-$E$5)+$F$12*(1+Assumptions!$M$39)^(Caledonia!Z5-Caledonia!$F$5)*1/3</f>
        <v>1817.35779183365</v>
      </c>
      <c r="AD16" s="730"/>
    </row>
    <row r="17" customFormat="false" ht="12.75" hidden="false" customHeight="false" outlineLevel="0" collapsed="false">
      <c r="A17" s="327" t="s">
        <v>277</v>
      </c>
      <c r="D17" s="0"/>
      <c r="E17" s="115" t="n">
        <v>0</v>
      </c>
      <c r="F17" s="115" t="n">
        <v>0</v>
      </c>
      <c r="G17" s="115" t="n">
        <v>0</v>
      </c>
      <c r="H17" s="115" t="n">
        <v>0</v>
      </c>
      <c r="I17" s="115" t="n">
        <f aca="false">Assumptions!$M$33*Assumptions!$M$35*Assumptions!$M$36*Assumptions!$M$14/1000</f>
        <v>11.844672</v>
      </c>
      <c r="J17" s="115" t="n">
        <f aca="false">Assumptions!$M$33*Assumptions!$M$35*Assumptions!$M$36*Assumptions!$M$14/1000</f>
        <v>11.844672</v>
      </c>
      <c r="K17" s="115" t="n">
        <f aca="false">Assumptions!$M$33*Assumptions!$M$35*Assumptions!$M$36*Assumptions!$M$14/1000</f>
        <v>11.844672</v>
      </c>
      <c r="L17" s="115" t="n">
        <f aca="false">Assumptions!$M$33*Assumptions!$M$35*Assumptions!$M$36*Assumptions!$M$14/1000</f>
        <v>11.844672</v>
      </c>
      <c r="M17" s="115" t="n">
        <f aca="false">Assumptions!$M$33*Assumptions!$M$35*Assumptions!$M$36*Assumptions!$M$14/1000</f>
        <v>11.844672</v>
      </c>
      <c r="N17" s="115" t="n">
        <f aca="false">Assumptions!$M$33*Assumptions!$M$35*Assumptions!$M$36*Assumptions!$M$14/1000</f>
        <v>11.844672</v>
      </c>
      <c r="O17" s="115" t="n">
        <f aca="false">Assumptions!$M$33*Assumptions!$M$35*Assumptions!$M$36*Assumptions!$M$14/1000</f>
        <v>11.844672</v>
      </c>
      <c r="P17" s="115" t="n">
        <f aca="false">Assumptions!$M$33*Assumptions!$M$35*Assumptions!$M$36*Assumptions!$M$14/1000</f>
        <v>11.844672</v>
      </c>
      <c r="Q17" s="115" t="n">
        <f aca="false">Assumptions!$M$33*Assumptions!$M$35*Assumptions!$M$36*Assumptions!$M$14/1000</f>
        <v>11.844672</v>
      </c>
      <c r="R17" s="115" t="n">
        <f aca="false">Assumptions!$M$33*Assumptions!$M$35*Assumptions!$M$36*Assumptions!$M$14/1000</f>
        <v>11.844672</v>
      </c>
      <c r="S17" s="115" t="n">
        <f aca="false">Assumptions!$M$33*Assumptions!$M$35*Assumptions!$M$36*Assumptions!$M$14/1000</f>
        <v>11.844672</v>
      </c>
      <c r="T17" s="115" t="n">
        <f aca="false">Assumptions!$M$33*Assumptions!$M$35*Assumptions!$M$36*Assumptions!$M$14/1000</f>
        <v>11.844672</v>
      </c>
      <c r="U17" s="115" t="n">
        <f aca="false">Assumptions!$M$33*Assumptions!$M$35*Assumptions!$M$36*Assumptions!$M$14/1000</f>
        <v>11.844672</v>
      </c>
      <c r="V17" s="115" t="n">
        <f aca="false">Assumptions!$M$33*Assumptions!$M$35*Assumptions!$M$36*Assumptions!$M$14/1000</f>
        <v>11.844672</v>
      </c>
      <c r="W17" s="115" t="n">
        <f aca="false">Assumptions!$M$33*Assumptions!$M$35*Assumptions!$M$36*Assumptions!$M$14/1000</f>
        <v>11.844672</v>
      </c>
      <c r="X17" s="115" t="n">
        <f aca="false">Assumptions!$M$33*Assumptions!$M$35*Assumptions!$M$36*Assumptions!$M$14/1000</f>
        <v>11.844672</v>
      </c>
      <c r="Y17" s="115" t="n">
        <f aca="false">Assumptions!$M$33*Assumptions!$M$35*Assumptions!$M$36*Assumptions!$M$14/1000</f>
        <v>11.844672</v>
      </c>
      <c r="Z17" s="115" t="n">
        <f aca="false">Assumptions!$M$33*Assumptions!$M$35*Assumptions!$M$36*Assumptions!$M$14/1000</f>
        <v>11.844672</v>
      </c>
      <c r="AD17" s="730"/>
    </row>
    <row r="18" customFormat="false" ht="12.75" hidden="false" customHeight="false" outlineLevel="0" collapsed="false">
      <c r="A18" s="70"/>
      <c r="B18" s="321"/>
      <c r="C18" s="321"/>
      <c r="D18" s="321"/>
      <c r="E18" s="428"/>
      <c r="F18" s="321"/>
      <c r="H18" s="70"/>
      <c r="AA18" s="651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</row>
    <row r="19" customFormat="false" ht="12.75" hidden="false" customHeight="false" outlineLevel="0" collapsed="false">
      <c r="A19" s="327" t="s">
        <v>453</v>
      </c>
      <c r="D19" s="0"/>
      <c r="E19" s="375" t="n">
        <f aca="false">(SUM(E10:E17)-SUM(E25:E35))*Assumptions!$B$34/4*$F$1/12</f>
        <v>0</v>
      </c>
      <c r="F19" s="375" t="n">
        <f aca="false">(SUM(F10:F17)-SUM(F25:F35))*Assumptions!$B$34/4*$F$1/12</f>
        <v>234.929437817306</v>
      </c>
      <c r="G19" s="375" t="n">
        <f aca="false">(SUM(G10:G17)-SUM(G25:G35))*Assumptions!$B$34/4</f>
        <v>240.034590773777</v>
      </c>
      <c r="H19" s="375" t="n">
        <f aca="false">(SUM(H10:H17)-SUM(H25:H35))*Assumptions!$B$34/4</f>
        <v>239.47795466204</v>
      </c>
      <c r="I19" s="375" t="n">
        <f aca="false">(SUM(I10:I17)-SUM(I25:I35))*Assumptions!$B$34/4</f>
        <v>360.594202290785</v>
      </c>
      <c r="J19" s="375" t="n">
        <f aca="false">(SUM(J10:J17)-SUM(J25:J35))*Assumptions!$B$34/4</f>
        <v>364.623264654623</v>
      </c>
      <c r="K19" s="375" t="n">
        <f aca="false">(SUM(K10:K17)-SUM(K25:K35))*Assumptions!$B$34/4</f>
        <v>368.552538586281</v>
      </c>
      <c r="L19" s="375" t="n">
        <f aca="false">(SUM(L10:L17)-SUM(L25:L35))*Assumptions!$B$34/4</f>
        <v>372.440753406901</v>
      </c>
      <c r="M19" s="375" t="n">
        <f aca="false">(SUM(M10:M17)-SUM(M25:M35))*Assumptions!$B$34/4</f>
        <v>384.098009556195</v>
      </c>
      <c r="N19" s="375" t="n">
        <f aca="false">(SUM(N10:N17)-SUM(N25:N35))*Assumptions!$B$34/4</f>
        <v>387.973904146023</v>
      </c>
      <c r="O19" s="375" t="n">
        <f aca="false">(SUM(O10:O17)-SUM(O25:O35))*Assumptions!$B$34/4</f>
        <v>400.153095207015</v>
      </c>
      <c r="P19" s="375" t="n">
        <f aca="false">(SUM(P10:P17)-SUM(P25:P35))*Assumptions!$B$34/4</f>
        <v>394.706661397423</v>
      </c>
      <c r="Q19" s="375" t="n">
        <f aca="false">(SUM(Q10:Q17)-SUM(Q25:Q35))*Assumptions!$B$34/4</f>
        <v>408.242598233133</v>
      </c>
      <c r="R19" s="375" t="n">
        <f aca="false">(SUM(R10:R17)-SUM(R25:R35))*Assumptions!$B$34/4</f>
        <v>413.077470842189</v>
      </c>
      <c r="S19" s="375" t="n">
        <f aca="false">(SUM(S10:S17)-SUM(S25:S35))*Assumptions!$B$34/4</f>
        <v>417.800390863745</v>
      </c>
      <c r="T19" s="375" t="n">
        <f aca="false">(SUM(T10:T17)-SUM(T25:T35))*Assumptions!$B$34/4</f>
        <v>422.344199732778</v>
      </c>
      <c r="U19" s="375" t="n">
        <f aca="false">(SUM(U10:U17)-SUM(U25:U35))*Assumptions!$B$34/4</f>
        <v>427.071433719014</v>
      </c>
      <c r="V19" s="375" t="n">
        <f aca="false">(SUM(V10:V17)-SUM(V25:V35))*Assumptions!$B$34/4</f>
        <v>431.930919780335</v>
      </c>
      <c r="W19" s="375" t="n">
        <f aca="false">(SUM(W10:W17)-SUM(W25:W35))*Assumptions!$B$34/4</f>
        <v>436.652761235525</v>
      </c>
      <c r="X19" s="375" t="n">
        <f aca="false">(SUM(X10:X17)-SUM(X25:X35))*Assumptions!$B$34/4</f>
        <v>440.08073215163</v>
      </c>
      <c r="Y19" s="375" t="n">
        <f aca="false">(SUM(Y10:Y17)-SUM(Y25:Y35))*Assumptions!$B$34/4</f>
        <v>442.627787245277</v>
      </c>
      <c r="Z19" s="375" t="n">
        <f aca="false">(SUM(Z10:Z17)-SUM(Z25:Z35))*Assumptions!$B$34/4</f>
        <v>448.581244304675</v>
      </c>
    </row>
    <row r="20" customFormat="false" ht="12.75" hidden="false" customHeight="false" outlineLevel="0" collapsed="false">
      <c r="A20" s="327" t="s">
        <v>280</v>
      </c>
      <c r="D20" s="0"/>
      <c r="E20" s="115" t="n">
        <f aca="false">SUM(E10:E19)</f>
        <v>0</v>
      </c>
      <c r="F20" s="115" t="n">
        <f aca="false">SUM(F10:F19)</f>
        <v>23753.1343694491</v>
      </c>
      <c r="G20" s="115" t="n">
        <f aca="false">SUM(G10:G19)</f>
        <v>24125.355772991</v>
      </c>
      <c r="H20" s="115" t="n">
        <f aca="false">SUM(H10:H19)</f>
        <v>24183.2787723458</v>
      </c>
      <c r="I20" s="115" t="n">
        <f aca="false">SUM(I10:I19)</f>
        <v>34552.7705573584</v>
      </c>
      <c r="J20" s="115" t="n">
        <f aca="false">SUM(J10:J19)</f>
        <v>35004.697293249</v>
      </c>
      <c r="K20" s="115" t="n">
        <f aca="false">SUM(K10:K19)</f>
        <v>35452.6358026042</v>
      </c>
      <c r="L20" s="115" t="n">
        <f aca="false">SUM(L10:L19)</f>
        <v>35896.0084005528</v>
      </c>
      <c r="M20" s="115" t="n">
        <f aca="false">SUM(M10:M19)</f>
        <v>36973.0173459565</v>
      </c>
      <c r="N20" s="115" t="n">
        <f aca="false">SUM(N10:N19)</f>
        <v>37424.2103248707</v>
      </c>
      <c r="O20" s="115" t="n">
        <f aca="false">SUM(O10:O19)</f>
        <v>38547.1212683934</v>
      </c>
      <c r="P20" s="115" t="n">
        <f aca="false">SUM(P10:P19)</f>
        <v>38996.1486790353</v>
      </c>
      <c r="Q20" s="115" t="n">
        <f aca="false">SUM(Q10:Q19)</f>
        <v>40167.3725362401</v>
      </c>
      <c r="R20" s="115" t="n">
        <f aca="false">SUM(R10:R19)</f>
        <v>40633.0506927356</v>
      </c>
      <c r="S20" s="115" t="n">
        <f aca="false">SUM(S10:S19)</f>
        <v>41090.4949369374</v>
      </c>
      <c r="T20" s="115" t="n">
        <f aca="false">SUM(T10:T19)</f>
        <v>41538.7360337427</v>
      </c>
      <c r="U20" s="115" t="n">
        <f aca="false">SUM(U10:U19)</f>
        <v>41977.1876280546</v>
      </c>
      <c r="V20" s="115" t="n">
        <f aca="false">SUM(V10:V19)</f>
        <v>42404.8008436153</v>
      </c>
      <c r="W20" s="115" t="n">
        <f aca="false">SUM(W10:W19)</f>
        <v>42820.2571939698</v>
      </c>
      <c r="X20" s="115" t="n">
        <f aca="false">SUM(X10:X19)</f>
        <v>43221.2988215925</v>
      </c>
      <c r="Y20" s="115" t="n">
        <f aca="false">SUM(Y10:Y19)</f>
        <v>43607.1817690104</v>
      </c>
      <c r="Z20" s="115" t="n">
        <f aca="false">SUM(Z10:Z19)</f>
        <v>43980.9788358579</v>
      </c>
    </row>
    <row r="21" customFormat="false" ht="12.75" hidden="false" customHeight="false" outlineLevel="1" collapsed="false">
      <c r="A21" s="331"/>
      <c r="B21" s="654"/>
      <c r="C21" s="654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653"/>
      <c r="AB21" s="653"/>
      <c r="AC21" s="653"/>
      <c r="AD21" s="653"/>
      <c r="AE21" s="653"/>
      <c r="AF21" s="653"/>
      <c r="AG21" s="653"/>
      <c r="AH21" s="653"/>
      <c r="AI21" s="653"/>
      <c r="AJ21" s="653"/>
      <c r="AK21" s="653"/>
      <c r="AL21" s="653"/>
      <c r="AM21" s="653"/>
      <c r="AN21" s="653"/>
      <c r="AO21" s="653"/>
      <c r="AP21" s="653"/>
      <c r="AQ21" s="653"/>
      <c r="AR21" s="653"/>
      <c r="AS21" s="653"/>
      <c r="AT21" s="653"/>
      <c r="AU21" s="653"/>
      <c r="AV21" s="653"/>
      <c r="AW21" s="653"/>
      <c r="AX21" s="653"/>
      <c r="AY21" s="653"/>
      <c r="AZ21" s="653"/>
      <c r="BA21" s="653"/>
      <c r="BB21" s="653"/>
      <c r="BC21" s="653"/>
      <c r="BD21" s="653"/>
      <c r="BE21" s="653"/>
      <c r="BF21" s="653"/>
      <c r="BG21" s="653"/>
      <c r="BH21" s="653"/>
      <c r="BI21" s="653"/>
      <c r="BJ21" s="653"/>
      <c r="BK21" s="653"/>
      <c r="BL21" s="653"/>
      <c r="BM21" s="653"/>
      <c r="BN21" s="653"/>
      <c r="BO21" s="653"/>
      <c r="BP21" s="653"/>
      <c r="BQ21" s="653"/>
      <c r="BR21" s="653"/>
      <c r="BS21" s="653"/>
      <c r="BT21" s="653"/>
      <c r="BU21" s="653"/>
      <c r="BV21" s="653"/>
      <c r="BW21" s="653"/>
      <c r="BX21" s="653"/>
      <c r="BY21" s="653"/>
      <c r="BZ21" s="653"/>
      <c r="CA21" s="653"/>
      <c r="CB21" s="653"/>
      <c r="CC21" s="653"/>
      <c r="CD21" s="653"/>
      <c r="CE21" s="653"/>
      <c r="CF21" s="653"/>
      <c r="CG21" s="653"/>
      <c r="CH21" s="653"/>
      <c r="CI21" s="653"/>
      <c r="CJ21" s="653"/>
      <c r="CK21" s="653"/>
      <c r="CL21" s="653"/>
      <c r="CM21" s="653"/>
      <c r="CN21" s="653"/>
      <c r="CO21" s="653"/>
      <c r="CP21" s="653"/>
      <c r="CQ21" s="653"/>
      <c r="CR21" s="653"/>
      <c r="CS21" s="653"/>
      <c r="CT21" s="653"/>
      <c r="CU21" s="653"/>
      <c r="CV21" s="653"/>
      <c r="CW21" s="653"/>
      <c r="CX21" s="653"/>
      <c r="CY21" s="653"/>
      <c r="CZ21" s="653"/>
      <c r="DA21" s="653"/>
      <c r="DB21" s="653"/>
      <c r="DC21" s="653"/>
      <c r="DD21" s="653"/>
      <c r="DE21" s="653"/>
      <c r="DF21" s="653"/>
      <c r="DG21" s="653"/>
      <c r="DH21" s="653"/>
      <c r="DI21" s="653"/>
      <c r="DJ21" s="653"/>
      <c r="DK21" s="653"/>
      <c r="DL21" s="653"/>
      <c r="DM21" s="653"/>
      <c r="DN21" s="653"/>
      <c r="DO21" s="653"/>
      <c r="DP21" s="653"/>
      <c r="DQ21" s="653"/>
      <c r="DR21" s="653"/>
      <c r="DS21" s="653"/>
      <c r="DT21" s="653"/>
      <c r="DU21" s="653"/>
      <c r="DV21" s="653"/>
      <c r="DW21" s="653"/>
      <c r="DX21" s="653"/>
      <c r="DY21" s="653"/>
      <c r="DZ21" s="653"/>
      <c r="EA21" s="653"/>
      <c r="EB21" s="653"/>
      <c r="EC21" s="653"/>
      <c r="ED21" s="653"/>
      <c r="EE21" s="653"/>
      <c r="EF21" s="653"/>
      <c r="EG21" s="653"/>
      <c r="EH21" s="653"/>
      <c r="EI21" s="653"/>
      <c r="EJ21" s="653"/>
      <c r="EK21" s="653"/>
      <c r="EL21" s="653"/>
      <c r="EM21" s="653"/>
      <c r="EN21" s="653"/>
      <c r="EO21" s="653"/>
      <c r="EP21" s="653"/>
      <c r="EQ21" s="653"/>
      <c r="ER21" s="653"/>
      <c r="ES21" s="653"/>
      <c r="ET21" s="653"/>
      <c r="EU21" s="653"/>
      <c r="EV21" s="653"/>
      <c r="EW21" s="653"/>
      <c r="EX21" s="653"/>
      <c r="EY21" s="653"/>
      <c r="EZ21" s="653"/>
      <c r="FA21" s="653"/>
      <c r="FB21" s="653"/>
      <c r="FC21" s="653"/>
      <c r="FD21" s="653"/>
      <c r="FE21" s="653"/>
      <c r="FF21" s="653"/>
      <c r="FG21" s="653"/>
      <c r="FH21" s="653"/>
      <c r="FI21" s="653"/>
      <c r="FJ21" s="653"/>
      <c r="FK21" s="653"/>
      <c r="FL21" s="653"/>
      <c r="FM21" s="653"/>
      <c r="FN21" s="653"/>
      <c r="FO21" s="653"/>
      <c r="FP21" s="653"/>
      <c r="FQ21" s="653"/>
      <c r="FR21" s="653"/>
      <c r="FS21" s="653"/>
      <c r="FT21" s="653"/>
      <c r="FU21" s="653"/>
      <c r="FV21" s="653"/>
      <c r="FW21" s="653"/>
      <c r="FX21" s="653"/>
      <c r="FY21" s="653"/>
      <c r="FZ21" s="653"/>
      <c r="GA21" s="653"/>
      <c r="GB21" s="653"/>
      <c r="GC21" s="653"/>
      <c r="GD21" s="653"/>
      <c r="GE21" s="653"/>
      <c r="GF21" s="653"/>
      <c r="GG21" s="653"/>
      <c r="GH21" s="653"/>
      <c r="GI21" s="653"/>
      <c r="GJ21" s="653"/>
      <c r="GK21" s="653"/>
      <c r="GL21" s="653"/>
      <c r="GM21" s="653"/>
      <c r="GN21" s="653"/>
      <c r="GO21" s="653"/>
      <c r="GP21" s="653"/>
      <c r="GQ21" s="653"/>
      <c r="GR21" s="653"/>
      <c r="GS21" s="653"/>
      <c r="GT21" s="653"/>
      <c r="GU21" s="653"/>
      <c r="GV21" s="653"/>
      <c r="GW21" s="653"/>
      <c r="GX21" s="653"/>
      <c r="GY21" s="653"/>
      <c r="GZ21" s="653"/>
      <c r="HA21" s="653"/>
      <c r="HB21" s="653"/>
      <c r="HC21" s="653"/>
      <c r="HD21" s="653"/>
      <c r="HE21" s="653"/>
      <c r="HF21" s="653"/>
      <c r="HG21" s="653"/>
      <c r="HH21" s="653"/>
      <c r="HI21" s="653"/>
      <c r="HJ21" s="653"/>
      <c r="HK21" s="653"/>
      <c r="HL21" s="653"/>
      <c r="HM21" s="653"/>
      <c r="HN21" s="653"/>
      <c r="HO21" s="653"/>
      <c r="HP21" s="653"/>
      <c r="HQ21" s="653"/>
      <c r="HR21" s="653"/>
      <c r="HS21" s="653"/>
      <c r="HT21" s="653"/>
      <c r="HU21" s="653"/>
      <c r="HV21" s="653"/>
      <c r="HW21" s="653"/>
      <c r="HX21" s="653"/>
      <c r="HY21" s="653"/>
      <c r="HZ21" s="653"/>
      <c r="IA21" s="653"/>
      <c r="IB21" s="653"/>
      <c r="IC21" s="653"/>
      <c r="ID21" s="653"/>
      <c r="IE21" s="653"/>
      <c r="IF21" s="653"/>
      <c r="IG21" s="653"/>
      <c r="IH21" s="653"/>
      <c r="II21" s="653"/>
      <c r="IJ21" s="653"/>
      <c r="IK21" s="653"/>
      <c r="IL21" s="653"/>
      <c r="IM21" s="653"/>
      <c r="IN21" s="653"/>
      <c r="IO21" s="653"/>
      <c r="IP21" s="653"/>
      <c r="IQ21" s="653"/>
      <c r="IR21" s="653"/>
      <c r="IS21" s="653"/>
      <c r="IT21" s="653"/>
      <c r="IU21" s="653"/>
      <c r="IV21" s="653"/>
      <c r="IW21" s="653"/>
    </row>
    <row r="22" customFormat="false" ht="12" hidden="false" customHeight="true" outlineLevel="0" collapsed="false">
      <c r="A22" s="331"/>
      <c r="B22" s="331"/>
      <c r="C22" s="331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653"/>
      <c r="AB22" s="653"/>
      <c r="AC22" s="653"/>
      <c r="AD22" s="653"/>
      <c r="AE22" s="653"/>
      <c r="AF22" s="653"/>
      <c r="AG22" s="653"/>
      <c r="AH22" s="653"/>
      <c r="AI22" s="653"/>
      <c r="AJ22" s="653"/>
      <c r="AK22" s="653"/>
      <c r="AL22" s="653"/>
      <c r="AM22" s="653"/>
      <c r="AN22" s="653"/>
      <c r="AO22" s="653"/>
      <c r="AP22" s="653"/>
      <c r="AQ22" s="653"/>
      <c r="AR22" s="653"/>
      <c r="AS22" s="653"/>
      <c r="AT22" s="653"/>
      <c r="AU22" s="653"/>
      <c r="AV22" s="653"/>
      <c r="AW22" s="653"/>
      <c r="AX22" s="653"/>
      <c r="AY22" s="653"/>
      <c r="AZ22" s="653"/>
      <c r="BA22" s="653"/>
      <c r="BB22" s="653"/>
      <c r="BC22" s="653"/>
      <c r="BD22" s="653"/>
      <c r="BE22" s="653"/>
      <c r="BF22" s="653"/>
      <c r="BG22" s="653"/>
      <c r="BH22" s="653"/>
      <c r="BI22" s="653"/>
      <c r="BJ22" s="653"/>
      <c r="BK22" s="653"/>
      <c r="BL22" s="653"/>
      <c r="BM22" s="653"/>
      <c r="BN22" s="653"/>
      <c r="BO22" s="653"/>
      <c r="BP22" s="653"/>
      <c r="BQ22" s="653"/>
      <c r="BR22" s="653"/>
      <c r="BS22" s="653"/>
      <c r="BT22" s="653"/>
      <c r="BU22" s="653"/>
      <c r="BV22" s="653"/>
      <c r="BW22" s="653"/>
      <c r="BX22" s="653"/>
      <c r="BY22" s="653"/>
      <c r="BZ22" s="653"/>
      <c r="CA22" s="653"/>
      <c r="CB22" s="653"/>
      <c r="CC22" s="653"/>
      <c r="CD22" s="653"/>
      <c r="CE22" s="653"/>
      <c r="CF22" s="653"/>
      <c r="CG22" s="653"/>
      <c r="CH22" s="653"/>
      <c r="CI22" s="653"/>
      <c r="CJ22" s="653"/>
      <c r="CK22" s="653"/>
      <c r="CL22" s="653"/>
      <c r="CM22" s="653"/>
      <c r="CN22" s="653"/>
      <c r="CO22" s="653"/>
      <c r="CP22" s="653"/>
      <c r="CQ22" s="653"/>
      <c r="CR22" s="653"/>
      <c r="CS22" s="653"/>
      <c r="CT22" s="653"/>
      <c r="CU22" s="653"/>
      <c r="CV22" s="653"/>
      <c r="CW22" s="653"/>
      <c r="CX22" s="653"/>
      <c r="CY22" s="653"/>
      <c r="CZ22" s="653"/>
      <c r="DA22" s="653"/>
      <c r="DB22" s="653"/>
      <c r="DC22" s="653"/>
      <c r="DD22" s="653"/>
      <c r="DE22" s="653"/>
      <c r="DF22" s="653"/>
      <c r="DG22" s="653"/>
      <c r="DH22" s="653"/>
      <c r="DI22" s="653"/>
      <c r="DJ22" s="653"/>
      <c r="DK22" s="653"/>
      <c r="DL22" s="653"/>
      <c r="DM22" s="653"/>
      <c r="DN22" s="653"/>
      <c r="DO22" s="653"/>
      <c r="DP22" s="653"/>
      <c r="DQ22" s="653"/>
      <c r="DR22" s="653"/>
      <c r="DS22" s="653"/>
      <c r="DT22" s="653"/>
      <c r="DU22" s="653"/>
      <c r="DV22" s="653"/>
      <c r="DW22" s="653"/>
      <c r="DX22" s="653"/>
      <c r="DY22" s="653"/>
      <c r="DZ22" s="653"/>
      <c r="EA22" s="653"/>
      <c r="EB22" s="653"/>
      <c r="EC22" s="653"/>
      <c r="ED22" s="653"/>
      <c r="EE22" s="653"/>
      <c r="EF22" s="653"/>
      <c r="EG22" s="653"/>
      <c r="EH22" s="653"/>
      <c r="EI22" s="653"/>
      <c r="EJ22" s="653"/>
      <c r="EK22" s="653"/>
      <c r="EL22" s="653"/>
      <c r="EM22" s="653"/>
      <c r="EN22" s="653"/>
      <c r="EO22" s="653"/>
      <c r="EP22" s="653"/>
      <c r="EQ22" s="653"/>
      <c r="ER22" s="653"/>
      <c r="ES22" s="653"/>
      <c r="ET22" s="653"/>
      <c r="EU22" s="653"/>
      <c r="EV22" s="653"/>
      <c r="EW22" s="653"/>
      <c r="EX22" s="653"/>
      <c r="EY22" s="653"/>
      <c r="EZ22" s="653"/>
      <c r="FA22" s="653"/>
      <c r="FB22" s="653"/>
      <c r="FC22" s="653"/>
      <c r="FD22" s="653"/>
      <c r="FE22" s="653"/>
      <c r="FF22" s="653"/>
      <c r="FG22" s="653"/>
      <c r="FH22" s="653"/>
      <c r="FI22" s="653"/>
      <c r="FJ22" s="653"/>
      <c r="FK22" s="653"/>
      <c r="FL22" s="653"/>
      <c r="FM22" s="653"/>
      <c r="FN22" s="653"/>
      <c r="FO22" s="653"/>
      <c r="FP22" s="653"/>
      <c r="FQ22" s="653"/>
      <c r="FR22" s="653"/>
      <c r="FS22" s="653"/>
      <c r="FT22" s="653"/>
      <c r="FU22" s="653"/>
      <c r="FV22" s="653"/>
      <c r="FW22" s="653"/>
      <c r="FX22" s="653"/>
      <c r="FY22" s="653"/>
      <c r="FZ22" s="653"/>
      <c r="GA22" s="653"/>
      <c r="GB22" s="653"/>
      <c r="GC22" s="653"/>
      <c r="GD22" s="653"/>
      <c r="GE22" s="653"/>
      <c r="GF22" s="653"/>
      <c r="GG22" s="653"/>
      <c r="GH22" s="653"/>
      <c r="GI22" s="653"/>
      <c r="GJ22" s="653"/>
      <c r="GK22" s="653"/>
      <c r="GL22" s="653"/>
      <c r="GM22" s="653"/>
      <c r="GN22" s="653"/>
      <c r="GO22" s="653"/>
      <c r="GP22" s="653"/>
      <c r="GQ22" s="653"/>
      <c r="GR22" s="653"/>
      <c r="GS22" s="653"/>
      <c r="GT22" s="653"/>
      <c r="GU22" s="653"/>
      <c r="GV22" s="653"/>
      <c r="GW22" s="653"/>
      <c r="GX22" s="653"/>
      <c r="GY22" s="653"/>
      <c r="GZ22" s="653"/>
      <c r="HA22" s="653"/>
      <c r="HB22" s="653"/>
      <c r="HC22" s="653"/>
      <c r="HD22" s="653"/>
      <c r="HE22" s="653"/>
      <c r="HF22" s="653"/>
      <c r="HG22" s="653"/>
      <c r="HH22" s="653"/>
      <c r="HI22" s="653"/>
      <c r="HJ22" s="653"/>
      <c r="HK22" s="653"/>
      <c r="HL22" s="653"/>
      <c r="HM22" s="653"/>
      <c r="HN22" s="653"/>
      <c r="HO22" s="653"/>
      <c r="HP22" s="653"/>
      <c r="HQ22" s="653"/>
      <c r="HR22" s="653"/>
      <c r="HS22" s="653"/>
      <c r="HT22" s="653"/>
      <c r="HU22" s="653"/>
      <c r="HV22" s="653"/>
      <c r="HW22" s="653"/>
      <c r="HX22" s="653"/>
      <c r="HY22" s="653"/>
      <c r="HZ22" s="653"/>
      <c r="IA22" s="653"/>
      <c r="IB22" s="653"/>
      <c r="IC22" s="653"/>
      <c r="ID22" s="653"/>
      <c r="IE22" s="653"/>
      <c r="IF22" s="653"/>
      <c r="IG22" s="653"/>
      <c r="IH22" s="653"/>
      <c r="II22" s="653"/>
      <c r="IJ22" s="653"/>
      <c r="IK22" s="653"/>
      <c r="IL22" s="653"/>
      <c r="IM22" s="653"/>
      <c r="IN22" s="653"/>
      <c r="IO22" s="653"/>
      <c r="IP22" s="653"/>
      <c r="IQ22" s="653"/>
      <c r="IR22" s="653"/>
      <c r="IS22" s="653"/>
      <c r="IT22" s="653"/>
      <c r="IU22" s="653"/>
      <c r="IV22" s="653"/>
      <c r="IW22" s="653"/>
    </row>
    <row r="23" customFormat="false" ht="12.75" hidden="false" customHeight="false" outlineLevel="0" collapsed="false">
      <c r="A23" s="323" t="s">
        <v>281</v>
      </c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</row>
    <row r="24" customFormat="false" ht="12.75" hidden="false" customHeight="false" outlineLevel="0" collapsed="false">
      <c r="A24" s="327" t="s">
        <v>282</v>
      </c>
      <c r="D24" s="0"/>
      <c r="E24" s="115" t="n">
        <v>0</v>
      </c>
      <c r="F24" s="115" t="n">
        <v>0</v>
      </c>
      <c r="G24" s="115" t="n">
        <v>0</v>
      </c>
      <c r="H24" s="417" t="n">
        <v>0</v>
      </c>
      <c r="I24" s="115" t="n">
        <v>0</v>
      </c>
      <c r="J24" s="115" t="n">
        <v>0</v>
      </c>
      <c r="K24" s="115" t="n">
        <v>0</v>
      </c>
      <c r="L24" s="115" t="n">
        <v>0</v>
      </c>
      <c r="M24" s="115" t="n">
        <v>0</v>
      </c>
      <c r="N24" s="115" t="n">
        <v>0</v>
      </c>
      <c r="O24" s="115" t="n">
        <v>0</v>
      </c>
      <c r="P24" s="115" t="n">
        <v>0</v>
      </c>
      <c r="Q24" s="115" t="n">
        <v>0</v>
      </c>
      <c r="R24" s="115" t="n">
        <v>0</v>
      </c>
      <c r="S24" s="115" t="n">
        <v>0</v>
      </c>
      <c r="T24" s="115" t="n">
        <v>0</v>
      </c>
      <c r="U24" s="115" t="n">
        <v>0</v>
      </c>
      <c r="V24" s="115" t="n">
        <v>0</v>
      </c>
      <c r="W24" s="115" t="n">
        <v>0</v>
      </c>
      <c r="X24" s="115" t="n">
        <v>0</v>
      </c>
      <c r="Y24" s="115" t="n">
        <v>0</v>
      </c>
      <c r="Z24" s="115" t="n">
        <v>0</v>
      </c>
    </row>
    <row r="25" customFormat="false" ht="12.75" hidden="false" customHeight="false" outlineLevel="0" collapsed="false">
      <c r="A25" s="327" t="s">
        <v>217</v>
      </c>
      <c r="D25" s="0"/>
      <c r="E25" s="115" t="n">
        <f aca="false">Assumptions!$M56*Assumptions!M53/12</f>
        <v>0</v>
      </c>
      <c r="F25" s="115" t="n">
        <f aca="false">Assumptions!$M56*(1+Assumptions!$M$52)*$F$1/12</f>
        <v>722.4935</v>
      </c>
      <c r="G25" s="115" t="n">
        <f aca="false">F25*(1+Assumptions!$M$52)</f>
        <v>744.168305</v>
      </c>
      <c r="H25" s="115" t="n">
        <f aca="false">G25*(1+Assumptions!$M$52)</f>
        <v>766.49335415</v>
      </c>
      <c r="I25" s="115" t="n">
        <f aca="false">H25*(1+Assumptions!$M$52)</f>
        <v>789.4881547745</v>
      </c>
      <c r="J25" s="115" t="n">
        <f aca="false">I25*(1+Assumptions!$M$52)</f>
        <v>813.172799417735</v>
      </c>
      <c r="K25" s="115" t="n">
        <f aca="false">J25*(1+Assumptions!$M$52)</f>
        <v>837.567983400267</v>
      </c>
      <c r="L25" s="115" t="n">
        <f aca="false">K25*(1+Assumptions!$M$52)</f>
        <v>862.695022902275</v>
      </c>
      <c r="M25" s="115" t="n">
        <f aca="false">L25*(1+Assumptions!$M$52)</f>
        <v>888.575873589344</v>
      </c>
      <c r="N25" s="115" t="n">
        <f aca="false">M25*(1+Assumptions!$M$52)</f>
        <v>915.233149797024</v>
      </c>
      <c r="O25" s="115" t="n">
        <f aca="false">N25*(1+Assumptions!$M$52)</f>
        <v>942.690144290935</v>
      </c>
      <c r="P25" s="115" t="n">
        <f aca="false">O25*(1+Assumptions!$M$52)</f>
        <v>970.970848619663</v>
      </c>
      <c r="Q25" s="115" t="n">
        <f aca="false">P25*(1+Assumptions!$M$52)</f>
        <v>1000.09997407825</v>
      </c>
      <c r="R25" s="115" t="n">
        <f aca="false">Q25*(1+Assumptions!$M$52)</f>
        <v>1030.1029733006</v>
      </c>
      <c r="S25" s="115" t="n">
        <f aca="false">R25*(1+Assumptions!$M$52)</f>
        <v>1061.00606249962</v>
      </c>
      <c r="T25" s="115" t="n">
        <f aca="false">S25*(1+Assumptions!$M$52)</f>
        <v>1092.83624437461</v>
      </c>
      <c r="U25" s="115" t="n">
        <f aca="false">T25*(1+Assumptions!$M$52)</f>
        <v>1125.62133170585</v>
      </c>
      <c r="V25" s="115" t="n">
        <f aca="false">U25*(1+Assumptions!$M$52)</f>
        <v>1159.38997165702</v>
      </c>
      <c r="W25" s="115" t="n">
        <f aca="false">V25*(1+Assumptions!$M$52)</f>
        <v>1194.17167080673</v>
      </c>
      <c r="X25" s="115" t="n">
        <f aca="false">W25*(1+Assumptions!$M$52)</f>
        <v>1229.99682093093</v>
      </c>
      <c r="Y25" s="115" t="n">
        <f aca="false">X25*(1+Assumptions!$M$52)</f>
        <v>1266.89672555886</v>
      </c>
      <c r="Z25" s="115" t="n">
        <f aca="false">Y25*(1+Assumptions!$M$52)</f>
        <v>1304.90362732563</v>
      </c>
    </row>
    <row r="26" customFormat="false" ht="12.75" hidden="false" customHeight="false" outlineLevel="0" collapsed="false">
      <c r="A26" s="327" t="s">
        <v>283</v>
      </c>
      <c r="D26" s="0"/>
      <c r="E26" s="115" t="n">
        <f aca="false">Assumptions!$M58*Assumptions!M$53/12</f>
        <v>0</v>
      </c>
      <c r="F26" s="115" t="n">
        <f aca="false">Assumptions!$M58*(1+Assumptions!$M$52)^(5/12)*5/12+Assumptions!$M$59*(1+Assumptions!$M$52)*7/12</f>
        <v>492.446531631765</v>
      </c>
      <c r="G26" s="115" t="n">
        <f aca="false">Assumptions!$M$59*(1+Assumptions!$M$52)^(G5-$E$5)</f>
        <v>517.870030217195</v>
      </c>
      <c r="H26" s="115" t="n">
        <f aca="false">G26*(1+Assumptions!$M$52)</f>
        <v>533.406131123711</v>
      </c>
      <c r="I26" s="115" t="n">
        <f aca="false">Assumptions!$M$60*(1+Assumptions!$M$52)^(I5-$E$5)</f>
        <v>593.322509657898</v>
      </c>
      <c r="J26" s="115" t="n">
        <f aca="false">Assumptions!$M$60*(1+Assumptions!$M$52)^(J5-$E$5)</f>
        <v>611.122184947635</v>
      </c>
      <c r="K26" s="115" t="n">
        <f aca="false">J26*(1+Assumptions!$M$52)</f>
        <v>629.455850496064</v>
      </c>
      <c r="L26" s="115" t="n">
        <f aca="false">K26*(1+Assumptions!$M$52)</f>
        <v>648.339526010946</v>
      </c>
      <c r="M26" s="115" t="n">
        <f aca="false">L26*(1+Assumptions!$M$52)</f>
        <v>667.789711791274</v>
      </c>
      <c r="N26" s="115" t="n">
        <f aca="false">M26*(1+Assumptions!$M$52)</f>
        <v>687.823403145012</v>
      </c>
      <c r="O26" s="115" t="n">
        <f aca="false">N26*(1+Assumptions!$M$52)</f>
        <v>708.458105239363</v>
      </c>
      <c r="P26" s="115" t="n">
        <f aca="false">O26*(1+Assumptions!$M$52)</f>
        <v>729.711848396544</v>
      </c>
      <c r="Q26" s="115" t="n">
        <f aca="false">P26*(1+Assumptions!$M$52)</f>
        <v>751.60320384844</v>
      </c>
      <c r="R26" s="115" t="n">
        <f aca="false">Q26*(1+Assumptions!$M$52)</f>
        <v>774.151299963893</v>
      </c>
      <c r="S26" s="115" t="n">
        <f aca="false">R26*(1+Assumptions!$M$52)</f>
        <v>797.37583896281</v>
      </c>
      <c r="T26" s="115" t="n">
        <f aca="false">S26*(1+Assumptions!$M$52)</f>
        <v>821.297114131694</v>
      </c>
      <c r="U26" s="115" t="n">
        <f aca="false">T26*(1+Assumptions!$M$52)</f>
        <v>845.936027555645</v>
      </c>
      <c r="V26" s="115" t="n">
        <f aca="false">U26*(1+Assumptions!$M$52)</f>
        <v>871.314108382314</v>
      </c>
      <c r="W26" s="115" t="n">
        <f aca="false">V26*(1+Assumptions!$M$52)</f>
        <v>897.453531633784</v>
      </c>
      <c r="X26" s="115" t="n">
        <f aca="false">W26*(1+Assumptions!$M$52)</f>
        <v>924.377137582797</v>
      </c>
      <c r="Y26" s="115" t="n">
        <f aca="false">X26*(1+Assumptions!$M$52)</f>
        <v>952.108451710281</v>
      </c>
      <c r="Z26" s="115" t="n">
        <f aca="false">Y26*(1+Assumptions!$M$52)</f>
        <v>980.67170526159</v>
      </c>
    </row>
    <row r="27" customFormat="false" ht="12.75" hidden="false" customHeight="false" outlineLevel="0" collapsed="false">
      <c r="A27" s="327" t="s">
        <v>222</v>
      </c>
      <c r="D27" s="0"/>
      <c r="E27" s="115" t="n">
        <f aca="false">VLOOKUP(Assumptions!M19,'EGC Start Charge Matrix'!$U$10:$AM$35,15)*Assumptions!M$53/12</f>
        <v>0</v>
      </c>
      <c r="F27" s="115" t="n">
        <f aca="false">VLOOKUP(Assumptions!M19,'EGC Start Charge Matrix'!$U$10:$AM$35,15)*(1+Assumptions!$M$52)*$F$1/12</f>
        <v>1389.7584</v>
      </c>
      <c r="G27" s="115" t="n">
        <f aca="false">F27*(1+Assumptions!$M$52)</f>
        <v>1431.451152</v>
      </c>
      <c r="H27" s="115" t="n">
        <f aca="false">G27*(1+Assumptions!$M$52)</f>
        <v>1474.39468656</v>
      </c>
      <c r="I27" s="115" t="n">
        <f aca="false">H27*(1+Assumptions!$M$52)</f>
        <v>1518.6265271568</v>
      </c>
      <c r="J27" s="115" t="n">
        <f aca="false">I27*(1+Assumptions!$M$52)</f>
        <v>1564.1853229715</v>
      </c>
      <c r="K27" s="115" t="n">
        <f aca="false">J27*(1+Assumptions!$M$52)</f>
        <v>1611.11088266065</v>
      </c>
      <c r="L27" s="115" t="n">
        <f aca="false">K27*(1+Assumptions!$M$52)</f>
        <v>1659.44420914047</v>
      </c>
      <c r="M27" s="115" t="n">
        <f aca="false">L27*(1+Assumptions!$M$52)</f>
        <v>1709.22753541468</v>
      </c>
      <c r="N27" s="115" t="n">
        <f aca="false">M27*(1+Assumptions!$M$52)</f>
        <v>1760.50436147712</v>
      </c>
      <c r="O27" s="115" t="n">
        <f aca="false">N27*(1+Assumptions!$M$52)</f>
        <v>1813.31949232144</v>
      </c>
      <c r="P27" s="115" t="n">
        <f aca="false">O27*(1+Assumptions!$M$52)</f>
        <v>1867.71907709108</v>
      </c>
      <c r="Q27" s="115" t="n">
        <f aca="false">P27*(1+Assumptions!$M$52)</f>
        <v>1923.75064940381</v>
      </c>
      <c r="R27" s="115" t="n">
        <f aca="false">Q27*(1+Assumptions!$M$52)</f>
        <v>1981.46316888593</v>
      </c>
      <c r="S27" s="115" t="n">
        <f aca="false">R27*(1+Assumptions!$M$52)</f>
        <v>2040.9070639525</v>
      </c>
      <c r="T27" s="115" t="n">
        <f aca="false">S27*(1+Assumptions!$M$52)</f>
        <v>2102.13427587108</v>
      </c>
      <c r="U27" s="115" t="n">
        <f aca="false">T27*(1+Assumptions!$M$52)</f>
        <v>2165.19830414721</v>
      </c>
      <c r="V27" s="115" t="n">
        <f aca="false">U27*(1+Assumptions!$M$52)</f>
        <v>2230.15425327163</v>
      </c>
      <c r="W27" s="115" t="n">
        <f aca="false">V27*(1+Assumptions!$M$52)</f>
        <v>2297.05888086978</v>
      </c>
      <c r="X27" s="115" t="n">
        <f aca="false">W27*(1+Assumptions!$M$52)</f>
        <v>2365.97064729587</v>
      </c>
      <c r="Y27" s="115" t="n">
        <f aca="false">X27*(1+Assumptions!$M$52)</f>
        <v>2436.94976671475</v>
      </c>
      <c r="Z27" s="115" t="n">
        <f aca="false">Y27*(1+Assumptions!$M$52)</f>
        <v>2510.05825971619</v>
      </c>
    </row>
    <row r="28" customFormat="false" ht="12.75" hidden="false" customHeight="false" outlineLevel="0" collapsed="false">
      <c r="A28" s="327" t="s">
        <v>224</v>
      </c>
      <c r="D28" s="0"/>
      <c r="E28" s="115" t="n">
        <f aca="false">Assumptions!$M62*Assumptions!M53/12</f>
        <v>0</v>
      </c>
      <c r="F28" s="115" t="n">
        <f aca="false">Assumptions!$M62*(1+Assumptions!$M$52)*$F$1/12</f>
        <v>263.4328</v>
      </c>
      <c r="G28" s="115" t="n">
        <f aca="false">F28*(1+Assumptions!$M$52)</f>
        <v>271.335784</v>
      </c>
      <c r="H28" s="115" t="n">
        <f aca="false">G28*(1+Assumptions!$M$52)</f>
        <v>279.47585752</v>
      </c>
      <c r="I28" s="115" t="n">
        <f aca="false">H28*(1+Assumptions!$M$52)</f>
        <v>287.8601332456</v>
      </c>
      <c r="J28" s="115" t="n">
        <f aca="false">I28*(1+Assumptions!$M$52)</f>
        <v>296.495937242968</v>
      </c>
      <c r="K28" s="115" t="n">
        <f aca="false">J28*(1+Assumptions!$M$52)</f>
        <v>305.390815360257</v>
      </c>
      <c r="L28" s="115" t="n">
        <f aca="false">K28*(1+Assumptions!$M$52)</f>
        <v>314.552539821065</v>
      </c>
      <c r="M28" s="115" t="n">
        <f aca="false">L28*(1+Assumptions!$M$52)</f>
        <v>323.989116015697</v>
      </c>
      <c r="N28" s="115" t="n">
        <f aca="false">M28*(1+Assumptions!$M$52)</f>
        <v>333.708789496168</v>
      </c>
      <c r="O28" s="115" t="n">
        <f aca="false">N28*(1+Assumptions!$M$52)</f>
        <v>343.720053181053</v>
      </c>
      <c r="P28" s="115" t="n">
        <f aca="false">O28*(1+Assumptions!$M$52)</f>
        <v>354.031654776484</v>
      </c>
      <c r="Q28" s="115" t="n">
        <f aca="false">P28*(1+Assumptions!$M$52)</f>
        <v>364.652604419779</v>
      </c>
      <c r="R28" s="115" t="n">
        <f aca="false">Q28*(1+Assumptions!$M$52)</f>
        <v>375.592182552372</v>
      </c>
      <c r="S28" s="115" t="n">
        <f aca="false">R28*(1+Assumptions!$M$52)</f>
        <v>386.859948028943</v>
      </c>
      <c r="T28" s="115" t="n">
        <f aca="false">S28*(1+Assumptions!$M$52)</f>
        <v>398.465746469812</v>
      </c>
      <c r="U28" s="115" t="n">
        <f aca="false">T28*(1+Assumptions!$M$52)</f>
        <v>410.419718863906</v>
      </c>
      <c r="V28" s="115" t="n">
        <f aca="false">U28*(1+Assumptions!$M$52)</f>
        <v>422.732310429823</v>
      </c>
      <c r="W28" s="115" t="n">
        <f aca="false">V28*(1+Assumptions!$M$52)</f>
        <v>435.414279742718</v>
      </c>
      <c r="X28" s="115" t="n">
        <f aca="false">W28*(1+Assumptions!$M$52)</f>
        <v>448.476708134999</v>
      </c>
      <c r="Y28" s="115" t="n">
        <f aca="false">X28*(1+Assumptions!$M$52)</f>
        <v>461.931009379049</v>
      </c>
      <c r="Z28" s="115" t="n">
        <f aca="false">Y28*(1+Assumptions!$M$52)</f>
        <v>475.788939660421</v>
      </c>
    </row>
    <row r="29" customFormat="false" ht="12.75" hidden="false" customHeight="false" outlineLevel="0" collapsed="false">
      <c r="A29" s="327" t="s">
        <v>226</v>
      </c>
      <c r="D29" s="0"/>
      <c r="E29" s="115" t="n">
        <f aca="false">Assumptions!$M63*Assumptions!M53/12</f>
        <v>0</v>
      </c>
      <c r="F29" s="115" t="n">
        <f aca="false">(Assumptions!$M63)*(1+Assumptions!$M$52)*$F$1/12</f>
        <v>456.516909</v>
      </c>
      <c r="G29" s="115" t="n">
        <f aca="false">F29*(1+Assumptions!$M$52)</f>
        <v>470.21241627</v>
      </c>
      <c r="H29" s="115" t="n">
        <f aca="false">G29*(1+Assumptions!$M$52)</f>
        <v>484.3187887581</v>
      </c>
      <c r="I29" s="115" t="n">
        <f aca="false">H29*(1+Assumptions!$M$52)</f>
        <v>498.848352420843</v>
      </c>
      <c r="J29" s="115" t="n">
        <f aca="false">I29*(1+Assumptions!$M$52)</f>
        <v>513.813802993468</v>
      </c>
      <c r="K29" s="115" t="n">
        <f aca="false">J29*(1+Assumptions!$M$52)</f>
        <v>529.228217083272</v>
      </c>
      <c r="L29" s="115" t="n">
        <f aca="false">K29*(1+Assumptions!$M$52)</f>
        <v>545.105063595771</v>
      </c>
      <c r="M29" s="115" t="n">
        <f aca="false">L29*(1+Assumptions!$M$52)</f>
        <v>561.458215503644</v>
      </c>
      <c r="N29" s="115" t="n">
        <f aca="false">M29*(1+Assumptions!$M$52)</f>
        <v>578.301961968753</v>
      </c>
      <c r="O29" s="115" t="n">
        <f aca="false">N29*(1+Assumptions!$M$52)</f>
        <v>595.651020827816</v>
      </c>
      <c r="P29" s="115" t="n">
        <f aca="false">O29*(1+Assumptions!$M$52)</f>
        <v>613.52055145265</v>
      </c>
      <c r="Q29" s="115" t="n">
        <f aca="false">P29*(1+Assumptions!$M$52)</f>
        <v>631.92616799623</v>
      </c>
      <c r="R29" s="115" t="n">
        <f aca="false">Q29*(1+Assumptions!$M$52)</f>
        <v>650.883953036117</v>
      </c>
      <c r="S29" s="115" t="n">
        <f aca="false">R29*(1+Assumptions!$M$52)</f>
        <v>670.4104716272</v>
      </c>
      <c r="T29" s="115" t="n">
        <f aca="false">S29*(1+Assumptions!$M$52)</f>
        <v>690.522785776016</v>
      </c>
      <c r="U29" s="115" t="n">
        <f aca="false">T29*(1+Assumptions!$M$52)</f>
        <v>711.238469349297</v>
      </c>
      <c r="V29" s="115" t="n">
        <f aca="false">U29*(1+Assumptions!$M$52)</f>
        <v>732.575623429775</v>
      </c>
      <c r="W29" s="115" t="n">
        <f aca="false">V29*(1+Assumptions!$M$52)</f>
        <v>754.552892132669</v>
      </c>
      <c r="X29" s="115" t="n">
        <f aca="false">W29*(1+Assumptions!$M$52)</f>
        <v>777.189478896649</v>
      </c>
      <c r="Y29" s="115" t="n">
        <f aca="false">X29*(1+Assumptions!$M$52)</f>
        <v>800.505163263548</v>
      </c>
      <c r="Z29" s="115" t="n">
        <f aca="false">Y29*(1+Assumptions!$M$52)</f>
        <v>824.520318161455</v>
      </c>
    </row>
    <row r="30" customFormat="false" ht="12.75" hidden="false" customHeight="false" outlineLevel="0" collapsed="false">
      <c r="A30" s="327" t="s">
        <v>454</v>
      </c>
      <c r="D30" s="0"/>
      <c r="E30" s="115" t="n">
        <f aca="false">+Assumptions!M64*Assumptions!M53/12</f>
        <v>0</v>
      </c>
      <c r="F30" s="115" t="n">
        <f aca="false">+Assumptions!M64*(1+Assumptions!$M$52)*$F$1/12</f>
        <v>45.4353909</v>
      </c>
      <c r="G30" s="115" t="n">
        <f aca="false">F30*(1+Assumptions!$M$52)</f>
        <v>46.798452627</v>
      </c>
      <c r="H30" s="115" t="n">
        <f aca="false">G30*(1+Assumptions!$M$52)</f>
        <v>48.20240620581</v>
      </c>
      <c r="I30" s="115" t="n">
        <f aca="false">H30*(1+Assumptions!$M$52)</f>
        <v>49.6484783919843</v>
      </c>
      <c r="J30" s="115" t="n">
        <f aca="false">I30*(1+Assumptions!$M$52)</f>
        <v>51.1379327437438</v>
      </c>
      <c r="K30" s="115" t="n">
        <f aca="false">J30*(1+Assumptions!$M$52)</f>
        <v>52.6720707260562</v>
      </c>
      <c r="L30" s="115" t="n">
        <f aca="false">K30*(1+Assumptions!$M$52)</f>
        <v>54.2522328478378</v>
      </c>
      <c r="M30" s="115" t="n">
        <f aca="false">L30*(1+Assumptions!$M$52)</f>
        <v>55.879799833273</v>
      </c>
      <c r="N30" s="115" t="n">
        <f aca="false">M30*(1+Assumptions!$M$52)</f>
        <v>57.5561938282712</v>
      </c>
      <c r="O30" s="115" t="n">
        <f aca="false">N30*(1+Assumptions!$M$52)</f>
        <v>59.2828796431193</v>
      </c>
      <c r="P30" s="115" t="n">
        <f aca="false">O30*(1+Assumptions!$M$52)</f>
        <v>61.0613660324129</v>
      </c>
      <c r="Q30" s="115" t="n">
        <f aca="false">P30*(1+Assumptions!$M$52)</f>
        <v>62.8932070133853</v>
      </c>
      <c r="R30" s="115" t="n">
        <f aca="false">Q30*(1+Assumptions!$M$52)</f>
        <v>64.7800032237868</v>
      </c>
      <c r="S30" s="115" t="n">
        <f aca="false">R30*(1+Assumptions!$M$52)</f>
        <v>66.7234033205004</v>
      </c>
      <c r="T30" s="115" t="n">
        <f aca="false">S30*(1+Assumptions!$M$52)</f>
        <v>68.7251054201155</v>
      </c>
      <c r="U30" s="115" t="n">
        <f aca="false">T30*(1+Assumptions!$M$52)</f>
        <v>70.7868585827189</v>
      </c>
      <c r="V30" s="115" t="n">
        <f aca="false">U30*(1+Assumptions!$M$52)</f>
        <v>72.9104643402005</v>
      </c>
      <c r="W30" s="115" t="n">
        <f aca="false">V30*(1+Assumptions!$M$52)</f>
        <v>75.0977782704065</v>
      </c>
      <c r="X30" s="115" t="n">
        <f aca="false">W30*(1+Assumptions!$M$52)</f>
        <v>77.3507116185187</v>
      </c>
      <c r="Y30" s="115" t="n">
        <f aca="false">X30*(1+Assumptions!$M$52)</f>
        <v>79.6712329670743</v>
      </c>
      <c r="Z30" s="115" t="n">
        <f aca="false">Y30*(1+Assumptions!$M$52)</f>
        <v>82.0613699560865</v>
      </c>
    </row>
    <row r="31" customFormat="false" ht="12.75" hidden="false" customHeight="false" outlineLevel="0" collapsed="false">
      <c r="A31" s="327" t="s">
        <v>455</v>
      </c>
      <c r="D31" s="0"/>
      <c r="E31" s="115" t="n">
        <v>0</v>
      </c>
      <c r="F31" s="115" t="n">
        <v>540.30229880616</v>
      </c>
      <c r="G31" s="115" t="n">
        <v>529.38710085048</v>
      </c>
      <c r="H31" s="417" t="n">
        <v>518.4719028948</v>
      </c>
      <c r="I31" s="115" t="n">
        <v>507.55670493912</v>
      </c>
      <c r="J31" s="115" t="n">
        <v>496.64150698344</v>
      </c>
      <c r="K31" s="115" t="n">
        <v>485.72630902776</v>
      </c>
      <c r="L31" s="115" t="n">
        <v>469.35351209424</v>
      </c>
      <c r="M31" s="115" t="n">
        <v>452.98071516072</v>
      </c>
      <c r="N31" s="115" t="n">
        <v>436.6079182272</v>
      </c>
      <c r="O31" s="115" t="n">
        <v>414.77752231584</v>
      </c>
      <c r="P31" s="115" t="n">
        <v>1178.84137921344</v>
      </c>
      <c r="Q31" s="115" t="n">
        <v>1096.97739454584</v>
      </c>
      <c r="R31" s="115" t="n">
        <v>998.74061294472</v>
      </c>
      <c r="S31" s="115" t="n">
        <v>900.5038313436</v>
      </c>
      <c r="T31" s="115" t="n">
        <v>802.26704974248</v>
      </c>
      <c r="U31" s="115" t="n">
        <v>671.28467427432</v>
      </c>
      <c r="V31" s="115" t="n">
        <v>523.92950187264</v>
      </c>
      <c r="W31" s="115" t="n">
        <v>376.57432947096</v>
      </c>
      <c r="X31" s="115" t="n">
        <v>327.4559386704</v>
      </c>
      <c r="Y31" s="115" t="n">
        <v>327.4559386704</v>
      </c>
      <c r="Z31" s="115" t="n">
        <v>0</v>
      </c>
    </row>
    <row r="32" customFormat="false" ht="12.75" hidden="false" customHeight="false" outlineLevel="0" collapsed="false">
      <c r="A32" s="327" t="s">
        <v>456</v>
      </c>
      <c r="D32" s="0"/>
      <c r="E32" s="115" t="n">
        <v>0</v>
      </c>
      <c r="F32" s="115" t="n">
        <f aca="false">Allocation!$I$8*IS!E31*7/12+Allocation!$K$8*IS!E31*5/12</f>
        <v>449.934664144646</v>
      </c>
      <c r="G32" s="115" t="n">
        <f aca="false">Allocation!$I$8*IS!F31</f>
        <v>296.895385232681</v>
      </c>
      <c r="H32" s="115" t="n">
        <f aca="false">Allocation!$I$8*IS!G31</f>
        <v>295.13296456689</v>
      </c>
      <c r="I32" s="115" t="n">
        <f aca="false">Allocation!$I$8*IS!H31</f>
        <v>287.487387688719</v>
      </c>
      <c r="J32" s="115" t="n">
        <f aca="false">Allocation!$I$8*IS!I31</f>
        <v>287.487387688719</v>
      </c>
      <c r="K32" s="115" t="n">
        <f aca="false">Allocation!$I$8*IS!J31</f>
        <v>287.487387688719</v>
      </c>
      <c r="L32" s="115" t="n">
        <f aca="false">Allocation!$I$8*IS!K31</f>
        <v>287.487387688719</v>
      </c>
      <c r="M32" s="115" t="n">
        <f aca="false">Allocation!$I$8*IS!L31</f>
        <v>287.487387688719</v>
      </c>
      <c r="N32" s="115" t="n">
        <f aca="false">Allocation!$I$8*IS!M31</f>
        <v>287.487387688719</v>
      </c>
      <c r="O32" s="115" t="n">
        <f aca="false">Allocation!$I$8*IS!N31</f>
        <v>287.487387688719</v>
      </c>
      <c r="P32" s="115" t="n">
        <f aca="false">Allocation!$I$8*IS!O31</f>
        <v>250.638410611243</v>
      </c>
      <c r="Q32" s="115" t="n">
        <f aca="false">Allocation!$I$8*IS!P31</f>
        <v>239.452489310622</v>
      </c>
      <c r="R32" s="115" t="n">
        <f aca="false">Allocation!$I$8*IS!Q31</f>
        <v>238.843980208766</v>
      </c>
      <c r="S32" s="115" t="n">
        <f aca="false">Allocation!$I$8*IS!R31</f>
        <v>233.882755424652</v>
      </c>
      <c r="T32" s="115" t="n">
        <f aca="false">Allocation!$I$8*IS!S31</f>
        <v>228.88381473319</v>
      </c>
      <c r="U32" s="115" t="n">
        <f aca="false">Allocation!$I$8*IS!T31</f>
        <v>226.480681900809</v>
      </c>
      <c r="V32" s="115" t="n">
        <f aca="false">Allocation!$I$8*IS!U31</f>
        <v>213.231614676994</v>
      </c>
      <c r="W32" s="115" t="n">
        <f aca="false">Allocation!$I$8*IS!V31</f>
        <v>193.13692281704</v>
      </c>
      <c r="X32" s="115" t="n">
        <f aca="false">Allocation!$I$8*IS!W31</f>
        <v>159.181128587581</v>
      </c>
      <c r="Y32" s="115" t="n">
        <f aca="false">Allocation!$I$8*IS!X31</f>
        <v>126.108939918599</v>
      </c>
      <c r="Z32" s="115" t="n">
        <f aca="false">Allocation!$I$8*IS!Y31</f>
        <v>126.108939918599</v>
      </c>
    </row>
    <row r="33" customFormat="false" ht="12.75" hidden="false" customHeight="false" outlineLevel="0" collapsed="false">
      <c r="A33" s="327" t="s">
        <v>114</v>
      </c>
      <c r="D33" s="0"/>
      <c r="E33" s="115" t="n">
        <v>0</v>
      </c>
      <c r="F33" s="115" t="n">
        <v>0</v>
      </c>
      <c r="G33" s="115" t="n">
        <v>0</v>
      </c>
      <c r="H33" s="115" t="n">
        <v>0</v>
      </c>
      <c r="I33" s="102" t="n">
        <f aca="false">Assumptions!$M$50*Assumptions!$M$33*12</f>
        <v>414.56352</v>
      </c>
      <c r="J33" s="102" t="n">
        <f aca="false">Assumptions!$M$50*Assumptions!$M$33*12*(1+Assumptions!M52)</f>
        <v>427.0004256</v>
      </c>
      <c r="K33" s="102" t="n">
        <f aca="false">J33*(1+Assumptions!$M$52)</f>
        <v>439.810438368</v>
      </c>
      <c r="L33" s="102" t="n">
        <f aca="false">K33*(1+Assumptions!$M$52)</f>
        <v>453.00475151904</v>
      </c>
      <c r="M33" s="102" t="n">
        <f aca="false">L33*(1+Assumptions!$M$52)</f>
        <v>466.594894064611</v>
      </c>
      <c r="N33" s="102" t="n">
        <f aca="false">M33*(1+Assumptions!$M$52)</f>
        <v>480.59274088655</v>
      </c>
      <c r="O33" s="102" t="n">
        <f aca="false">N33*(1+Assumptions!$M$52)</f>
        <v>495.010523113146</v>
      </c>
      <c r="P33" s="102" t="n">
        <f aca="false">O33*(1+Assumptions!$M$52)</f>
        <v>509.860838806541</v>
      </c>
      <c r="Q33" s="102" t="n">
        <f aca="false">P33*(1+Assumptions!$M$52)</f>
        <v>525.156663970737</v>
      </c>
      <c r="R33" s="102" t="n">
        <f aca="false">Q33*(1+Assumptions!$M$52)</f>
        <v>540.911363889859</v>
      </c>
      <c r="S33" s="102" t="n">
        <f aca="false">R33*(1+Assumptions!$M$52)</f>
        <v>557.138704806555</v>
      </c>
      <c r="T33" s="102" t="n">
        <f aca="false">S33*(1+Assumptions!$M$52)</f>
        <v>573.852865950751</v>
      </c>
      <c r="U33" s="102" t="n">
        <f aca="false">T33*(1+Assumptions!$M$52)</f>
        <v>591.068451929274</v>
      </c>
      <c r="V33" s="102" t="n">
        <f aca="false">U33*(1+Assumptions!$M$52)</f>
        <v>608.800505487152</v>
      </c>
      <c r="W33" s="102" t="n">
        <f aca="false">V33*(1+Assumptions!$M$52)</f>
        <v>627.064520651767</v>
      </c>
      <c r="X33" s="102" t="n">
        <f aca="false">W33*(1+Assumptions!$M$52)</f>
        <v>645.87645627132</v>
      </c>
      <c r="Y33" s="102" t="n">
        <f aca="false">X33*(1+Assumptions!$M$52)</f>
        <v>665.252749959459</v>
      </c>
      <c r="Z33" s="102" t="n">
        <f aca="false">Y33*(1+Assumptions!$M$52)</f>
        <v>685.210332458243</v>
      </c>
    </row>
    <row r="34" customFormat="false" ht="12.75" hidden="false" customHeight="false" outlineLevel="0" collapsed="false">
      <c r="A34" s="327" t="s">
        <v>286</v>
      </c>
      <c r="D34" s="0"/>
      <c r="E34" s="115" t="n">
        <f aca="false">Assumptions!$M65*Assumptions!M53/12</f>
        <v>0</v>
      </c>
      <c r="F34" s="115" t="n">
        <f aca="false">Assumptions!$M65*(1+Assumptions!$M$52)*$F$1/12</f>
        <v>157.529411764706</v>
      </c>
      <c r="G34" s="115" t="n">
        <f aca="false">F34*(1+Assumptions!$M$52)</f>
        <v>162.255294117647</v>
      </c>
      <c r="H34" s="115" t="n">
        <f aca="false">G34*(1+Assumptions!$M$52)</f>
        <v>167.122952941177</v>
      </c>
      <c r="I34" s="115" t="n">
        <f aca="false">H34*(1+Assumptions!$M$52)</f>
        <v>172.136641529412</v>
      </c>
      <c r="J34" s="115" t="n">
        <f aca="false">I34*(1+Assumptions!$M$52)</f>
        <v>177.300740775294</v>
      </c>
      <c r="K34" s="115" t="n">
        <f aca="false">J34*(1+Assumptions!$M$52)</f>
        <v>182.619762998553</v>
      </c>
      <c r="L34" s="115" t="n">
        <f aca="false">K34*(1+Assumptions!$M$52)</f>
        <v>188.09835588851</v>
      </c>
      <c r="M34" s="115" t="n">
        <f aca="false">L34*(1+Assumptions!$M$52)</f>
        <v>193.741306565165</v>
      </c>
      <c r="N34" s="115" t="n">
        <f aca="false">M34*(1+Assumptions!$M$52)</f>
        <v>199.55354576212</v>
      </c>
      <c r="O34" s="115" t="n">
        <f aca="false">N34*(1+Assumptions!$M$52)</f>
        <v>205.540152134983</v>
      </c>
      <c r="P34" s="115" t="n">
        <f aca="false">O34*(1+Assumptions!$M$52)</f>
        <v>211.706356699033</v>
      </c>
      <c r="Q34" s="115" t="n">
        <f aca="false">P34*(1+Assumptions!$M$52)</f>
        <v>218.057547400004</v>
      </c>
      <c r="R34" s="115" t="n">
        <f aca="false">Q34*(1+Assumptions!$M$52)</f>
        <v>224.599273822004</v>
      </c>
      <c r="S34" s="115" t="n">
        <f aca="false">R34*(1+Assumptions!$M$52)</f>
        <v>231.337252036664</v>
      </c>
      <c r="T34" s="115" t="n">
        <f aca="false">S34*(1+Assumptions!$M$52)</f>
        <v>238.277369597764</v>
      </c>
      <c r="U34" s="115" t="n">
        <f aca="false">T34*(1+Assumptions!$M$52)</f>
        <v>245.425690685697</v>
      </c>
      <c r="V34" s="115" t="n">
        <f aca="false">U34*(1+Assumptions!$M$52)</f>
        <v>252.788461406268</v>
      </c>
      <c r="W34" s="115" t="n">
        <f aca="false">V34*(1+Assumptions!$M$52)</f>
        <v>260.372115248456</v>
      </c>
      <c r="X34" s="115" t="n">
        <f aca="false">W34*(1+Assumptions!$M$52)</f>
        <v>268.18327870591</v>
      </c>
      <c r="Y34" s="115" t="n">
        <f aca="false">X34*(1+Assumptions!$M$52)</f>
        <v>276.228777067087</v>
      </c>
      <c r="Z34" s="115" t="n">
        <f aca="false">Y34*(1+Assumptions!$M$52)</f>
        <v>284.5156403791</v>
      </c>
    </row>
    <row r="35" customFormat="false" ht="12.75" hidden="false" customHeight="false" outlineLevel="0" collapsed="false">
      <c r="A35" s="327" t="s">
        <v>287</v>
      </c>
      <c r="B35" s="70"/>
      <c r="C35" s="70"/>
      <c r="D35" s="0"/>
      <c r="E35" s="375" t="n">
        <f aca="false">Assumptions!$M66*Assumptions!M53/12</f>
        <v>0</v>
      </c>
      <c r="F35" s="375" t="n">
        <f aca="false">Assumptions!$M66*(1+Assumptions!$M$52)*$F$1/12</f>
        <v>206</v>
      </c>
      <c r="G35" s="375" t="n">
        <f aca="false">F35*(1+Assumptions!$M$52)</f>
        <v>212.18</v>
      </c>
      <c r="H35" s="375" t="n">
        <f aca="false">G35*(1+Assumptions!$M$52)</f>
        <v>218.5454</v>
      </c>
      <c r="I35" s="375" t="n">
        <f aca="false">H35*(1+Assumptions!$M$52)</f>
        <v>225.101762</v>
      </c>
      <c r="J35" s="375" t="n">
        <f aca="false">I35*(1+Assumptions!$M$52)</f>
        <v>231.85481486</v>
      </c>
      <c r="K35" s="375" t="n">
        <f aca="false">J35*(1+Assumptions!$M$52)</f>
        <v>238.8104593058</v>
      </c>
      <c r="L35" s="375" t="n">
        <f aca="false">K35*(1+Assumptions!$M$52)</f>
        <v>245.974773084974</v>
      </c>
      <c r="M35" s="375" t="n">
        <f aca="false">L35*(1+Assumptions!$M$52)</f>
        <v>253.354016277523</v>
      </c>
      <c r="N35" s="375" t="n">
        <f aca="false">M35*(1+Assumptions!$M$52)</f>
        <v>260.954636765849</v>
      </c>
      <c r="O35" s="375" t="n">
        <f aca="false">N35*(1+Assumptions!$M$52)</f>
        <v>268.783275868824</v>
      </c>
      <c r="P35" s="375" t="n">
        <f aca="false">O35*(1+Assumptions!$M$52)</f>
        <v>276.846774144889</v>
      </c>
      <c r="Q35" s="375" t="n">
        <f aca="false">P35*(1+Assumptions!$M$52)</f>
        <v>285.152177369236</v>
      </c>
      <c r="R35" s="375" t="n">
        <f aca="false">Q35*(1+Assumptions!$M$52)</f>
        <v>293.706742690313</v>
      </c>
      <c r="S35" s="375" t="n">
        <f aca="false">R35*(1+Assumptions!$M$52)</f>
        <v>302.517944971022</v>
      </c>
      <c r="T35" s="375" t="n">
        <f aca="false">S35*(1+Assumptions!$M$52)</f>
        <v>311.593483320153</v>
      </c>
      <c r="U35" s="375" t="n">
        <f aca="false">T35*(1+Assumptions!$M$52)</f>
        <v>320.941287819758</v>
      </c>
      <c r="V35" s="375" t="n">
        <f aca="false">U35*(1+Assumptions!$M$52)</f>
        <v>330.56952645435</v>
      </c>
      <c r="W35" s="375" t="n">
        <f aca="false">V35*(1+Assumptions!$M$52)</f>
        <v>340.486612247981</v>
      </c>
      <c r="X35" s="375" t="n">
        <f aca="false">W35*(1+Assumptions!$M$52)</f>
        <v>350.70121061542</v>
      </c>
      <c r="Y35" s="375" t="n">
        <f aca="false">X35*(1+Assumptions!$M$52)</f>
        <v>361.222246933883</v>
      </c>
      <c r="Z35" s="375" t="n">
        <f aca="false">Y35*(1+Assumptions!$M$52)</f>
        <v>372.058914341899</v>
      </c>
    </row>
    <row r="36" customFormat="false" ht="12.75" hidden="false" customHeight="false" outlineLevel="0" collapsed="false">
      <c r="A36" s="327" t="s">
        <v>288</v>
      </c>
      <c r="B36" s="70"/>
      <c r="C36" s="70"/>
      <c r="D36" s="0"/>
      <c r="E36" s="115" t="n">
        <f aca="false">SUM(E24:E35)</f>
        <v>0</v>
      </c>
      <c r="F36" s="115" t="n">
        <f aca="false">SUM(F24:F35)</f>
        <v>4723.84990624728</v>
      </c>
      <c r="G36" s="115" t="n">
        <f aca="false">SUM(G24:G35)</f>
        <v>4682.553920315</v>
      </c>
      <c r="H36" s="417" t="n">
        <f aca="false">SUM(H24:H35)</f>
        <v>4785.56444472049</v>
      </c>
      <c r="I36" s="115" t="n">
        <f aca="false">SUM(I24:I35)</f>
        <v>5344.64017180488</v>
      </c>
      <c r="J36" s="115" t="n">
        <f aca="false">SUM(J24:J35)</f>
        <v>5470.21285622451</v>
      </c>
      <c r="K36" s="115" t="n">
        <f aca="false">SUM(K24:K35)</f>
        <v>5599.8801771154</v>
      </c>
      <c r="L36" s="115" t="n">
        <f aca="false">SUM(L24:L35)</f>
        <v>5728.30737459385</v>
      </c>
      <c r="M36" s="115" t="n">
        <f aca="false">SUM(M24:M35)</f>
        <v>5861.07857190465</v>
      </c>
      <c r="N36" s="115" t="n">
        <f aca="false">SUM(N24:N35)</f>
        <v>5998.32408904279</v>
      </c>
      <c r="O36" s="115" t="n">
        <f aca="false">SUM(O24:O35)</f>
        <v>6134.72055662524</v>
      </c>
      <c r="P36" s="115" t="n">
        <f aca="false">SUM(P24:P35)</f>
        <v>7024.90910584398</v>
      </c>
      <c r="Q36" s="115" t="n">
        <f aca="false">SUM(Q24:Q35)</f>
        <v>7099.72207935634</v>
      </c>
      <c r="R36" s="115" t="n">
        <f aca="false">SUM(R24:R35)</f>
        <v>7173.77555451836</v>
      </c>
      <c r="S36" s="115" t="n">
        <f aca="false">SUM(S24:S35)</f>
        <v>7248.66327697407</v>
      </c>
      <c r="T36" s="115" t="n">
        <f aca="false">SUM(T24:T35)</f>
        <v>7328.85585538766</v>
      </c>
      <c r="U36" s="115" t="n">
        <f aca="false">SUM(U24:U35)</f>
        <v>7384.40149681448</v>
      </c>
      <c r="V36" s="115" t="n">
        <f aca="false">SUM(V24:V35)</f>
        <v>7418.39634140817</v>
      </c>
      <c r="W36" s="115" t="n">
        <f aca="false">SUM(W24:W35)</f>
        <v>7451.38353389229</v>
      </c>
      <c r="X36" s="115" t="n">
        <f aca="false">SUM(X24:X35)</f>
        <v>7574.7595173104</v>
      </c>
      <c r="Y36" s="115" t="n">
        <f aca="false">SUM(Y24:Y35)</f>
        <v>7754.33100214299</v>
      </c>
      <c r="Z36" s="115" t="n">
        <f aca="false">SUM(Z24:Z35)</f>
        <v>7645.89804717921</v>
      </c>
    </row>
    <row r="37" customFormat="false" ht="12.75" hidden="false" customHeight="false" outlineLevel="1" collapsed="false">
      <c r="A37" s="337"/>
      <c r="B37" s="654"/>
      <c r="C37" s="654"/>
      <c r="D37" s="0"/>
      <c r="E37" s="655"/>
      <c r="F37" s="656"/>
      <c r="G37" s="656"/>
      <c r="H37" s="656"/>
      <c r="I37" s="656"/>
      <c r="J37" s="656"/>
      <c r="K37" s="656"/>
      <c r="L37" s="656"/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3"/>
      <c r="AB37" s="653"/>
      <c r="AC37" s="653"/>
      <c r="AD37" s="653"/>
      <c r="AE37" s="653"/>
      <c r="AF37" s="653"/>
      <c r="AG37" s="653"/>
      <c r="AH37" s="653"/>
      <c r="AI37" s="653"/>
      <c r="AJ37" s="653"/>
      <c r="AK37" s="653"/>
      <c r="AL37" s="653"/>
      <c r="AM37" s="653"/>
      <c r="AN37" s="653"/>
      <c r="AO37" s="653"/>
      <c r="AP37" s="653"/>
      <c r="AQ37" s="653"/>
      <c r="AR37" s="653"/>
      <c r="AS37" s="653"/>
      <c r="AT37" s="653"/>
      <c r="AU37" s="653"/>
      <c r="AV37" s="653"/>
      <c r="AW37" s="653"/>
      <c r="AX37" s="653"/>
      <c r="AY37" s="653"/>
      <c r="AZ37" s="653"/>
      <c r="BA37" s="653"/>
      <c r="BB37" s="653"/>
      <c r="BC37" s="653"/>
      <c r="BD37" s="653"/>
      <c r="BE37" s="653"/>
      <c r="BF37" s="653"/>
      <c r="BG37" s="653"/>
      <c r="BH37" s="653"/>
      <c r="BI37" s="653"/>
      <c r="BJ37" s="653"/>
      <c r="BK37" s="653"/>
      <c r="BL37" s="653"/>
      <c r="BM37" s="653"/>
      <c r="BN37" s="653"/>
      <c r="BO37" s="653"/>
      <c r="BP37" s="653"/>
      <c r="BQ37" s="653"/>
      <c r="BR37" s="653"/>
      <c r="BS37" s="653"/>
      <c r="BT37" s="653"/>
      <c r="BU37" s="653"/>
      <c r="BV37" s="653"/>
      <c r="BW37" s="653"/>
      <c r="BX37" s="653"/>
      <c r="BY37" s="653"/>
      <c r="BZ37" s="653"/>
      <c r="CA37" s="653"/>
      <c r="CB37" s="653"/>
      <c r="CC37" s="653"/>
      <c r="CD37" s="653"/>
      <c r="CE37" s="653"/>
      <c r="CF37" s="653"/>
      <c r="CG37" s="653"/>
      <c r="CH37" s="653"/>
      <c r="CI37" s="653"/>
      <c r="CJ37" s="653"/>
      <c r="CK37" s="653"/>
      <c r="CL37" s="653"/>
      <c r="CM37" s="653"/>
      <c r="CN37" s="653"/>
      <c r="CO37" s="653"/>
      <c r="CP37" s="653"/>
      <c r="CQ37" s="653"/>
      <c r="CR37" s="653"/>
      <c r="CS37" s="653"/>
      <c r="CT37" s="653"/>
      <c r="CU37" s="653"/>
      <c r="CV37" s="653"/>
      <c r="CW37" s="653"/>
      <c r="CX37" s="653"/>
      <c r="CY37" s="653"/>
      <c r="CZ37" s="653"/>
      <c r="DA37" s="653"/>
      <c r="DB37" s="653"/>
      <c r="DC37" s="653"/>
      <c r="DD37" s="653"/>
      <c r="DE37" s="653"/>
      <c r="DF37" s="653"/>
      <c r="DG37" s="653"/>
      <c r="DH37" s="653"/>
      <c r="DI37" s="653"/>
      <c r="DJ37" s="653"/>
      <c r="DK37" s="653"/>
      <c r="DL37" s="653"/>
      <c r="DM37" s="653"/>
      <c r="DN37" s="653"/>
      <c r="DO37" s="653"/>
      <c r="DP37" s="653"/>
      <c r="DQ37" s="653"/>
      <c r="DR37" s="653"/>
      <c r="DS37" s="653"/>
      <c r="DT37" s="653"/>
      <c r="DU37" s="653"/>
      <c r="DV37" s="653"/>
      <c r="DW37" s="653"/>
      <c r="DX37" s="653"/>
      <c r="DY37" s="653"/>
      <c r="DZ37" s="653"/>
      <c r="EA37" s="653"/>
      <c r="EB37" s="653"/>
      <c r="EC37" s="653"/>
      <c r="ED37" s="653"/>
      <c r="EE37" s="653"/>
      <c r="EF37" s="653"/>
      <c r="EG37" s="653"/>
      <c r="EH37" s="653"/>
      <c r="EI37" s="653"/>
      <c r="EJ37" s="653"/>
      <c r="EK37" s="653"/>
      <c r="EL37" s="653"/>
      <c r="EM37" s="653"/>
      <c r="EN37" s="653"/>
      <c r="EO37" s="653"/>
      <c r="EP37" s="653"/>
      <c r="EQ37" s="653"/>
      <c r="ER37" s="653"/>
      <c r="ES37" s="653"/>
      <c r="ET37" s="653"/>
      <c r="EU37" s="653"/>
      <c r="EV37" s="653"/>
      <c r="EW37" s="653"/>
      <c r="EX37" s="653"/>
      <c r="EY37" s="653"/>
      <c r="EZ37" s="653"/>
      <c r="FA37" s="653"/>
      <c r="FB37" s="653"/>
      <c r="FC37" s="653"/>
      <c r="FD37" s="653"/>
      <c r="FE37" s="653"/>
      <c r="FF37" s="653"/>
      <c r="FG37" s="653"/>
      <c r="FH37" s="653"/>
      <c r="FI37" s="653"/>
      <c r="FJ37" s="653"/>
      <c r="FK37" s="653"/>
      <c r="FL37" s="653"/>
      <c r="FM37" s="653"/>
      <c r="FN37" s="653"/>
      <c r="FO37" s="653"/>
      <c r="FP37" s="653"/>
      <c r="FQ37" s="653"/>
      <c r="FR37" s="653"/>
      <c r="FS37" s="653"/>
      <c r="FT37" s="653"/>
      <c r="FU37" s="653"/>
      <c r="FV37" s="653"/>
      <c r="FW37" s="653"/>
      <c r="FX37" s="653"/>
      <c r="FY37" s="653"/>
      <c r="FZ37" s="653"/>
      <c r="GA37" s="653"/>
      <c r="GB37" s="653"/>
      <c r="GC37" s="653"/>
      <c r="GD37" s="653"/>
      <c r="GE37" s="653"/>
      <c r="GF37" s="653"/>
      <c r="GG37" s="653"/>
      <c r="GH37" s="653"/>
      <c r="GI37" s="653"/>
      <c r="GJ37" s="653"/>
      <c r="GK37" s="653"/>
      <c r="GL37" s="653"/>
      <c r="GM37" s="653"/>
      <c r="GN37" s="653"/>
      <c r="GO37" s="653"/>
      <c r="GP37" s="653"/>
      <c r="GQ37" s="653"/>
      <c r="GR37" s="653"/>
      <c r="GS37" s="653"/>
      <c r="GT37" s="653"/>
      <c r="GU37" s="653"/>
      <c r="GV37" s="653"/>
      <c r="GW37" s="653"/>
      <c r="GX37" s="653"/>
      <c r="GY37" s="653"/>
      <c r="GZ37" s="653"/>
      <c r="HA37" s="653"/>
      <c r="HB37" s="653"/>
      <c r="HC37" s="653"/>
      <c r="HD37" s="653"/>
      <c r="HE37" s="653"/>
      <c r="HF37" s="653"/>
      <c r="HG37" s="653"/>
      <c r="HH37" s="653"/>
      <c r="HI37" s="653"/>
      <c r="HJ37" s="653"/>
      <c r="HK37" s="653"/>
      <c r="HL37" s="653"/>
      <c r="HM37" s="653"/>
      <c r="HN37" s="653"/>
      <c r="HO37" s="653"/>
      <c r="HP37" s="653"/>
      <c r="HQ37" s="653"/>
      <c r="HR37" s="653"/>
      <c r="HS37" s="653"/>
      <c r="HT37" s="653"/>
      <c r="HU37" s="653"/>
      <c r="HV37" s="653"/>
      <c r="HW37" s="653"/>
      <c r="HX37" s="653"/>
      <c r="HY37" s="653"/>
      <c r="HZ37" s="653"/>
      <c r="IA37" s="653"/>
      <c r="IB37" s="653"/>
      <c r="IC37" s="653"/>
      <c r="ID37" s="653"/>
      <c r="IE37" s="653"/>
      <c r="IF37" s="653"/>
      <c r="IG37" s="653"/>
      <c r="IH37" s="653"/>
      <c r="II37" s="653"/>
      <c r="IJ37" s="653"/>
      <c r="IK37" s="653"/>
      <c r="IL37" s="653"/>
      <c r="IM37" s="653"/>
      <c r="IN37" s="653"/>
      <c r="IO37" s="653"/>
      <c r="IP37" s="653"/>
      <c r="IQ37" s="653"/>
      <c r="IR37" s="653"/>
      <c r="IS37" s="653"/>
      <c r="IT37" s="653"/>
      <c r="IU37" s="653"/>
      <c r="IV37" s="653"/>
      <c r="IW37" s="653"/>
    </row>
    <row r="38" customFormat="false" ht="6.75" hidden="false" customHeight="true" outlineLevel="0" collapsed="false">
      <c r="A38" s="337"/>
      <c r="B38" s="331"/>
      <c r="C38" s="331"/>
      <c r="D38" s="0"/>
      <c r="E38" s="655"/>
      <c r="F38" s="656"/>
      <c r="G38" s="656"/>
      <c r="H38" s="656"/>
      <c r="I38" s="656"/>
      <c r="J38" s="656"/>
      <c r="K38" s="656"/>
      <c r="L38" s="656"/>
      <c r="M38" s="656"/>
      <c r="N38" s="656"/>
      <c r="O38" s="656"/>
      <c r="P38" s="656"/>
      <c r="Q38" s="656"/>
      <c r="R38" s="656"/>
      <c r="S38" s="656"/>
      <c r="T38" s="656"/>
      <c r="U38" s="656"/>
      <c r="V38" s="656"/>
      <c r="W38" s="656"/>
      <c r="X38" s="656"/>
      <c r="Y38" s="656"/>
      <c r="Z38" s="656"/>
      <c r="AA38" s="653"/>
      <c r="AB38" s="653"/>
      <c r="AC38" s="653"/>
      <c r="AD38" s="653"/>
      <c r="AE38" s="653"/>
      <c r="AF38" s="653"/>
      <c r="AG38" s="653"/>
      <c r="AH38" s="653"/>
      <c r="AI38" s="653"/>
      <c r="AJ38" s="653"/>
      <c r="AK38" s="653"/>
      <c r="AL38" s="653"/>
      <c r="AM38" s="653"/>
      <c r="AN38" s="653"/>
      <c r="AO38" s="653"/>
      <c r="AP38" s="653"/>
      <c r="AQ38" s="653"/>
      <c r="AR38" s="653"/>
      <c r="AS38" s="653"/>
      <c r="AT38" s="653"/>
      <c r="AU38" s="653"/>
      <c r="AV38" s="653"/>
      <c r="AW38" s="653"/>
      <c r="AX38" s="653"/>
      <c r="AY38" s="653"/>
      <c r="AZ38" s="653"/>
      <c r="BA38" s="653"/>
      <c r="BB38" s="653"/>
      <c r="BC38" s="653"/>
      <c r="BD38" s="653"/>
      <c r="BE38" s="653"/>
      <c r="BF38" s="653"/>
      <c r="BG38" s="653"/>
      <c r="BH38" s="653"/>
      <c r="BI38" s="653"/>
      <c r="BJ38" s="653"/>
      <c r="BK38" s="653"/>
      <c r="BL38" s="653"/>
      <c r="BM38" s="653"/>
      <c r="BN38" s="653"/>
      <c r="BO38" s="653"/>
      <c r="BP38" s="653"/>
      <c r="BQ38" s="653"/>
      <c r="BR38" s="653"/>
      <c r="BS38" s="653"/>
      <c r="BT38" s="653"/>
      <c r="BU38" s="653"/>
      <c r="BV38" s="653"/>
      <c r="BW38" s="653"/>
      <c r="BX38" s="653"/>
      <c r="BY38" s="653"/>
      <c r="BZ38" s="653"/>
      <c r="CA38" s="653"/>
      <c r="CB38" s="653"/>
      <c r="CC38" s="653"/>
      <c r="CD38" s="653"/>
      <c r="CE38" s="653"/>
      <c r="CF38" s="653"/>
      <c r="CG38" s="653"/>
      <c r="CH38" s="653"/>
      <c r="CI38" s="653"/>
      <c r="CJ38" s="653"/>
      <c r="CK38" s="653"/>
      <c r="CL38" s="653"/>
      <c r="CM38" s="653"/>
      <c r="CN38" s="653"/>
      <c r="CO38" s="653"/>
      <c r="CP38" s="653"/>
      <c r="CQ38" s="653"/>
      <c r="CR38" s="653"/>
      <c r="CS38" s="653"/>
      <c r="CT38" s="653"/>
      <c r="CU38" s="653"/>
      <c r="CV38" s="653"/>
      <c r="CW38" s="653"/>
      <c r="CX38" s="653"/>
      <c r="CY38" s="653"/>
      <c r="CZ38" s="653"/>
      <c r="DA38" s="653"/>
      <c r="DB38" s="653"/>
      <c r="DC38" s="653"/>
      <c r="DD38" s="653"/>
      <c r="DE38" s="653"/>
      <c r="DF38" s="653"/>
      <c r="DG38" s="653"/>
      <c r="DH38" s="653"/>
      <c r="DI38" s="653"/>
      <c r="DJ38" s="653"/>
      <c r="DK38" s="653"/>
      <c r="DL38" s="653"/>
      <c r="DM38" s="653"/>
      <c r="DN38" s="653"/>
      <c r="DO38" s="653"/>
      <c r="DP38" s="653"/>
      <c r="DQ38" s="653"/>
      <c r="DR38" s="653"/>
      <c r="DS38" s="653"/>
      <c r="DT38" s="653"/>
      <c r="DU38" s="653"/>
      <c r="DV38" s="653"/>
      <c r="DW38" s="653"/>
      <c r="DX38" s="653"/>
      <c r="DY38" s="653"/>
      <c r="DZ38" s="653"/>
      <c r="EA38" s="653"/>
      <c r="EB38" s="653"/>
      <c r="EC38" s="653"/>
      <c r="ED38" s="653"/>
      <c r="EE38" s="653"/>
      <c r="EF38" s="653"/>
      <c r="EG38" s="653"/>
      <c r="EH38" s="653"/>
      <c r="EI38" s="653"/>
      <c r="EJ38" s="653"/>
      <c r="EK38" s="653"/>
      <c r="EL38" s="653"/>
      <c r="EM38" s="653"/>
      <c r="EN38" s="653"/>
      <c r="EO38" s="653"/>
      <c r="EP38" s="653"/>
      <c r="EQ38" s="653"/>
      <c r="ER38" s="653"/>
      <c r="ES38" s="653"/>
      <c r="ET38" s="653"/>
      <c r="EU38" s="653"/>
      <c r="EV38" s="653"/>
      <c r="EW38" s="653"/>
      <c r="EX38" s="653"/>
      <c r="EY38" s="653"/>
      <c r="EZ38" s="653"/>
      <c r="FA38" s="653"/>
      <c r="FB38" s="653"/>
      <c r="FC38" s="653"/>
      <c r="FD38" s="653"/>
      <c r="FE38" s="653"/>
      <c r="FF38" s="653"/>
      <c r="FG38" s="653"/>
      <c r="FH38" s="653"/>
      <c r="FI38" s="653"/>
      <c r="FJ38" s="653"/>
      <c r="FK38" s="653"/>
      <c r="FL38" s="653"/>
      <c r="FM38" s="653"/>
      <c r="FN38" s="653"/>
      <c r="FO38" s="653"/>
      <c r="FP38" s="653"/>
      <c r="FQ38" s="653"/>
      <c r="FR38" s="653"/>
      <c r="FS38" s="653"/>
      <c r="FT38" s="653"/>
      <c r="FU38" s="653"/>
      <c r="FV38" s="653"/>
      <c r="FW38" s="653"/>
      <c r="FX38" s="653"/>
      <c r="FY38" s="653"/>
      <c r="FZ38" s="653"/>
      <c r="GA38" s="653"/>
      <c r="GB38" s="653"/>
      <c r="GC38" s="653"/>
      <c r="GD38" s="653"/>
      <c r="GE38" s="653"/>
      <c r="GF38" s="653"/>
      <c r="GG38" s="653"/>
      <c r="GH38" s="653"/>
      <c r="GI38" s="653"/>
      <c r="GJ38" s="653"/>
      <c r="GK38" s="653"/>
      <c r="GL38" s="653"/>
      <c r="GM38" s="653"/>
      <c r="GN38" s="653"/>
      <c r="GO38" s="653"/>
      <c r="GP38" s="653"/>
      <c r="GQ38" s="653"/>
      <c r="GR38" s="653"/>
      <c r="GS38" s="653"/>
      <c r="GT38" s="653"/>
      <c r="GU38" s="653"/>
      <c r="GV38" s="653"/>
      <c r="GW38" s="653"/>
      <c r="GX38" s="653"/>
      <c r="GY38" s="653"/>
      <c r="GZ38" s="653"/>
      <c r="HA38" s="653"/>
      <c r="HB38" s="653"/>
      <c r="HC38" s="653"/>
      <c r="HD38" s="653"/>
      <c r="HE38" s="653"/>
      <c r="HF38" s="653"/>
      <c r="HG38" s="653"/>
      <c r="HH38" s="653"/>
      <c r="HI38" s="653"/>
      <c r="HJ38" s="653"/>
      <c r="HK38" s="653"/>
      <c r="HL38" s="653"/>
      <c r="HM38" s="653"/>
      <c r="HN38" s="653"/>
      <c r="HO38" s="653"/>
      <c r="HP38" s="653"/>
      <c r="HQ38" s="653"/>
      <c r="HR38" s="653"/>
      <c r="HS38" s="653"/>
      <c r="HT38" s="653"/>
      <c r="HU38" s="653"/>
      <c r="HV38" s="653"/>
      <c r="HW38" s="653"/>
      <c r="HX38" s="653"/>
      <c r="HY38" s="653"/>
      <c r="HZ38" s="653"/>
      <c r="IA38" s="653"/>
      <c r="IB38" s="653"/>
      <c r="IC38" s="653"/>
      <c r="ID38" s="653"/>
      <c r="IE38" s="653"/>
      <c r="IF38" s="653"/>
      <c r="IG38" s="653"/>
      <c r="IH38" s="653"/>
      <c r="II38" s="653"/>
      <c r="IJ38" s="653"/>
      <c r="IK38" s="653"/>
      <c r="IL38" s="653"/>
      <c r="IM38" s="653"/>
      <c r="IN38" s="653"/>
      <c r="IO38" s="653"/>
      <c r="IP38" s="653"/>
      <c r="IQ38" s="653"/>
      <c r="IR38" s="653"/>
      <c r="IS38" s="653"/>
      <c r="IT38" s="653"/>
      <c r="IU38" s="653"/>
      <c r="IV38" s="653"/>
      <c r="IW38" s="653"/>
    </row>
    <row r="39" customFormat="false" ht="12.75" hidden="false" customHeight="false" outlineLevel="0" collapsed="false">
      <c r="A39" s="323" t="s">
        <v>289</v>
      </c>
      <c r="B39" s="323"/>
      <c r="C39" s="323"/>
      <c r="D39" s="422"/>
      <c r="E39" s="422" t="n">
        <f aca="false">E20-E36</f>
        <v>0</v>
      </c>
      <c r="F39" s="422" t="n">
        <f aca="false">F20-F36</f>
        <v>19029.2844632018</v>
      </c>
      <c r="G39" s="422" t="n">
        <f aca="false">G20-G36</f>
        <v>19442.801852676</v>
      </c>
      <c r="H39" s="657" t="n">
        <f aca="false">H20-H36</f>
        <v>19397.7143276253</v>
      </c>
      <c r="I39" s="422" t="n">
        <f aca="false">I20-I36</f>
        <v>29208.1303855536</v>
      </c>
      <c r="J39" s="422" t="n">
        <f aca="false">J20-J36</f>
        <v>29534.4844370245</v>
      </c>
      <c r="K39" s="422" t="n">
        <f aca="false">K20-K36</f>
        <v>29852.7556254888</v>
      </c>
      <c r="L39" s="422" t="n">
        <f aca="false">L20-L36</f>
        <v>30167.701025959</v>
      </c>
      <c r="M39" s="422" t="n">
        <f aca="false">M20-M36</f>
        <v>31111.9387740518</v>
      </c>
      <c r="N39" s="422" t="n">
        <f aca="false">N20-N36</f>
        <v>31425.8862358279</v>
      </c>
      <c r="O39" s="422" t="n">
        <f aca="false">O20-O36</f>
        <v>32412.4007117682</v>
      </c>
      <c r="P39" s="422" t="n">
        <f aca="false">P20-P36</f>
        <v>31971.2395731913</v>
      </c>
      <c r="Q39" s="422" t="n">
        <f aca="false">Q20-Q36</f>
        <v>33067.6504568838</v>
      </c>
      <c r="R39" s="422" t="n">
        <f aca="false">R20-R36</f>
        <v>33459.2751382173</v>
      </c>
      <c r="S39" s="422" t="n">
        <f aca="false">S20-S36</f>
        <v>33841.8316599634</v>
      </c>
      <c r="T39" s="422" t="n">
        <f aca="false">T20-T36</f>
        <v>34209.880178355</v>
      </c>
      <c r="U39" s="422" t="n">
        <f aca="false">U20-U36</f>
        <v>34592.7861312401</v>
      </c>
      <c r="V39" s="422" t="n">
        <f aca="false">V20-V36</f>
        <v>34986.4045022071</v>
      </c>
      <c r="W39" s="422" t="n">
        <f aca="false">W20-W36</f>
        <v>35368.8736600775</v>
      </c>
      <c r="X39" s="422" t="n">
        <f aca="false">X20-X36</f>
        <v>35646.5393042821</v>
      </c>
      <c r="Y39" s="422" t="n">
        <f aca="false">Y20-Y36</f>
        <v>35852.8507668674</v>
      </c>
      <c r="Z39" s="422" t="n">
        <f aca="false">Z20-Z36</f>
        <v>36335.0807886787</v>
      </c>
      <c r="AA39" s="395"/>
      <c r="AB39" s="395"/>
      <c r="AC39" s="395"/>
      <c r="AD39" s="395"/>
      <c r="AE39" s="395"/>
      <c r="AF39" s="395"/>
      <c r="AG39" s="395"/>
      <c r="AH39" s="395"/>
      <c r="AI39" s="395"/>
      <c r="AJ39" s="395"/>
      <c r="AK39" s="395"/>
      <c r="AL39" s="395"/>
      <c r="AM39" s="395"/>
      <c r="AN39" s="395"/>
      <c r="AO39" s="395"/>
      <c r="AP39" s="395"/>
      <c r="AQ39" s="395"/>
      <c r="AR39" s="395"/>
      <c r="AS39" s="395"/>
      <c r="AT39" s="395"/>
      <c r="AU39" s="395"/>
      <c r="AV39" s="395"/>
      <c r="AW39" s="395"/>
      <c r="AX39" s="395"/>
      <c r="AY39" s="395"/>
      <c r="AZ39" s="395"/>
      <c r="BA39" s="395"/>
      <c r="BB39" s="395"/>
      <c r="BC39" s="395"/>
      <c r="BD39" s="395"/>
      <c r="BE39" s="395"/>
      <c r="BF39" s="395"/>
      <c r="BG39" s="395"/>
      <c r="BH39" s="395"/>
      <c r="BI39" s="395"/>
      <c r="BJ39" s="395"/>
      <c r="BK39" s="395"/>
      <c r="BL39" s="395"/>
      <c r="BM39" s="395"/>
      <c r="BN39" s="395"/>
      <c r="BO39" s="395"/>
      <c r="BP39" s="395"/>
      <c r="BQ39" s="395"/>
      <c r="BR39" s="395"/>
      <c r="BS39" s="395"/>
      <c r="BT39" s="395"/>
      <c r="BU39" s="395"/>
      <c r="BV39" s="395"/>
      <c r="BW39" s="395"/>
      <c r="BX39" s="395"/>
      <c r="BY39" s="395"/>
      <c r="BZ39" s="395"/>
      <c r="CA39" s="395"/>
      <c r="CB39" s="395"/>
      <c r="CC39" s="395"/>
      <c r="CD39" s="395"/>
      <c r="CE39" s="395"/>
      <c r="CF39" s="395"/>
      <c r="CG39" s="395"/>
      <c r="CH39" s="395"/>
      <c r="CI39" s="395"/>
      <c r="CJ39" s="395"/>
      <c r="CK39" s="395"/>
      <c r="CL39" s="395"/>
      <c r="CM39" s="395"/>
      <c r="CN39" s="395"/>
      <c r="CO39" s="395"/>
      <c r="CP39" s="395"/>
      <c r="CQ39" s="395"/>
      <c r="CR39" s="395"/>
      <c r="CS39" s="395"/>
      <c r="CT39" s="395"/>
      <c r="CU39" s="395"/>
      <c r="CV39" s="395"/>
      <c r="CW39" s="395"/>
      <c r="CX39" s="395"/>
      <c r="CY39" s="395"/>
      <c r="CZ39" s="395"/>
      <c r="DA39" s="395"/>
      <c r="DB39" s="395"/>
      <c r="DC39" s="395"/>
      <c r="DD39" s="395"/>
      <c r="DE39" s="395"/>
      <c r="DF39" s="395"/>
      <c r="DG39" s="395"/>
      <c r="DH39" s="395"/>
      <c r="DI39" s="395"/>
      <c r="DJ39" s="395"/>
      <c r="DK39" s="395"/>
      <c r="DL39" s="395"/>
      <c r="DM39" s="395"/>
      <c r="DN39" s="395"/>
      <c r="DO39" s="395"/>
      <c r="DP39" s="395"/>
      <c r="DQ39" s="395"/>
      <c r="DR39" s="395"/>
      <c r="DS39" s="395"/>
      <c r="DT39" s="395"/>
      <c r="DU39" s="395"/>
      <c r="DV39" s="395"/>
      <c r="DW39" s="395"/>
      <c r="DX39" s="395"/>
      <c r="DY39" s="395"/>
      <c r="DZ39" s="395"/>
      <c r="EA39" s="395"/>
      <c r="EB39" s="395"/>
      <c r="EC39" s="395"/>
      <c r="ED39" s="395"/>
      <c r="EE39" s="395"/>
      <c r="EF39" s="395"/>
      <c r="EG39" s="395"/>
      <c r="EH39" s="395"/>
      <c r="EI39" s="395"/>
      <c r="EJ39" s="395"/>
      <c r="EK39" s="395"/>
      <c r="EL39" s="395"/>
      <c r="EM39" s="395"/>
      <c r="EN39" s="395"/>
      <c r="EO39" s="395"/>
      <c r="EP39" s="395"/>
      <c r="EQ39" s="395"/>
      <c r="ER39" s="395"/>
      <c r="ES39" s="395"/>
      <c r="ET39" s="395"/>
      <c r="EU39" s="395"/>
      <c r="EV39" s="395"/>
      <c r="EW39" s="395"/>
      <c r="EX39" s="395"/>
      <c r="EY39" s="395"/>
      <c r="EZ39" s="395"/>
      <c r="FA39" s="395"/>
      <c r="FB39" s="395"/>
      <c r="FC39" s="395"/>
      <c r="FD39" s="395"/>
      <c r="FE39" s="395"/>
      <c r="FF39" s="395"/>
      <c r="FG39" s="395"/>
      <c r="FH39" s="395"/>
      <c r="FI39" s="395"/>
      <c r="FJ39" s="395"/>
      <c r="FK39" s="395"/>
      <c r="FL39" s="395"/>
      <c r="FM39" s="395"/>
      <c r="FN39" s="395"/>
      <c r="FO39" s="395"/>
      <c r="FP39" s="395"/>
      <c r="FQ39" s="395"/>
      <c r="FR39" s="395"/>
      <c r="FS39" s="395"/>
      <c r="FT39" s="395"/>
      <c r="FU39" s="395"/>
      <c r="FV39" s="395"/>
      <c r="FW39" s="395"/>
      <c r="FX39" s="395"/>
      <c r="FY39" s="395"/>
      <c r="FZ39" s="395"/>
      <c r="GA39" s="395"/>
      <c r="GB39" s="395"/>
      <c r="GC39" s="395"/>
      <c r="GD39" s="395"/>
      <c r="GE39" s="395"/>
      <c r="GF39" s="395"/>
      <c r="GG39" s="395"/>
      <c r="GH39" s="395"/>
      <c r="GI39" s="395"/>
      <c r="GJ39" s="395"/>
      <c r="GK39" s="395"/>
      <c r="GL39" s="395"/>
      <c r="GM39" s="395"/>
      <c r="GN39" s="395"/>
      <c r="GO39" s="395"/>
      <c r="GP39" s="395"/>
      <c r="GQ39" s="395"/>
      <c r="GR39" s="395"/>
      <c r="GS39" s="395"/>
      <c r="GT39" s="395"/>
      <c r="GU39" s="395"/>
      <c r="GV39" s="395"/>
      <c r="GW39" s="395"/>
      <c r="GX39" s="395"/>
      <c r="GY39" s="395"/>
      <c r="GZ39" s="395"/>
      <c r="HA39" s="395"/>
      <c r="HB39" s="395"/>
      <c r="HC39" s="395"/>
      <c r="HD39" s="395"/>
      <c r="HE39" s="395"/>
      <c r="HF39" s="395"/>
      <c r="HG39" s="395"/>
      <c r="HH39" s="395"/>
      <c r="HI39" s="395"/>
      <c r="HJ39" s="395"/>
      <c r="HK39" s="395"/>
      <c r="HL39" s="395"/>
      <c r="HM39" s="395"/>
      <c r="HN39" s="395"/>
      <c r="HO39" s="395"/>
      <c r="HP39" s="395"/>
      <c r="HQ39" s="395"/>
      <c r="HR39" s="395"/>
      <c r="HS39" s="395"/>
      <c r="HT39" s="395"/>
      <c r="HU39" s="395"/>
      <c r="HV39" s="395"/>
      <c r="HW39" s="395"/>
      <c r="HX39" s="395"/>
      <c r="HY39" s="395"/>
      <c r="HZ39" s="395"/>
      <c r="IA39" s="395"/>
      <c r="IB39" s="395"/>
      <c r="IC39" s="395"/>
      <c r="ID39" s="395"/>
      <c r="IE39" s="395"/>
      <c r="IF39" s="395"/>
      <c r="IG39" s="395"/>
      <c r="IH39" s="395"/>
      <c r="II39" s="395"/>
      <c r="IJ39" s="395"/>
      <c r="IK39" s="395"/>
      <c r="IL39" s="395"/>
      <c r="IM39" s="395"/>
      <c r="IN39" s="395"/>
      <c r="IO39" s="395"/>
      <c r="IP39" s="395"/>
      <c r="IQ39" s="395"/>
      <c r="IR39" s="395"/>
      <c r="IS39" s="395"/>
      <c r="IT39" s="395"/>
      <c r="IU39" s="395"/>
      <c r="IV39" s="395"/>
      <c r="IW39" s="395"/>
    </row>
    <row r="40" customFormat="false" ht="12.75" hidden="false" customHeight="false" outlineLevel="0" collapsed="false">
      <c r="A40" s="323"/>
      <c r="B40" s="323"/>
      <c r="C40" s="323"/>
      <c r="D40" s="422"/>
      <c r="E40" s="422"/>
      <c r="F40" s="422"/>
      <c r="G40" s="422"/>
      <c r="H40" s="657"/>
      <c r="I40" s="422"/>
      <c r="J40" s="422"/>
      <c r="K40" s="422"/>
      <c r="L40" s="422"/>
      <c r="M40" s="422"/>
      <c r="N40" s="422"/>
      <c r="O40" s="422"/>
      <c r="P40" s="422"/>
      <c r="Q40" s="422"/>
      <c r="R40" s="422"/>
      <c r="S40" s="422"/>
      <c r="T40" s="422"/>
      <c r="U40" s="422"/>
      <c r="V40" s="422"/>
      <c r="W40" s="422"/>
      <c r="X40" s="422"/>
      <c r="Y40" s="422"/>
      <c r="Z40" s="422"/>
      <c r="AA40" s="395"/>
      <c r="AB40" s="395"/>
      <c r="AC40" s="395"/>
      <c r="AD40" s="395"/>
      <c r="AE40" s="395"/>
      <c r="AF40" s="395"/>
      <c r="AG40" s="395"/>
      <c r="AH40" s="395"/>
      <c r="AI40" s="395"/>
      <c r="AJ40" s="395"/>
      <c r="AK40" s="395"/>
      <c r="AL40" s="395"/>
      <c r="AM40" s="395"/>
      <c r="AN40" s="395"/>
      <c r="AO40" s="395"/>
      <c r="AP40" s="395"/>
      <c r="AQ40" s="395"/>
      <c r="AR40" s="395"/>
      <c r="AS40" s="395"/>
      <c r="AT40" s="395"/>
      <c r="AU40" s="395"/>
      <c r="AV40" s="395"/>
      <c r="AW40" s="395"/>
      <c r="AX40" s="395"/>
      <c r="AY40" s="395"/>
      <c r="AZ40" s="395"/>
      <c r="BA40" s="395"/>
      <c r="BB40" s="395"/>
      <c r="BC40" s="395"/>
      <c r="BD40" s="395"/>
      <c r="BE40" s="395"/>
      <c r="BF40" s="395"/>
      <c r="BG40" s="395"/>
      <c r="BH40" s="395"/>
      <c r="BI40" s="395"/>
      <c r="BJ40" s="395"/>
      <c r="BK40" s="395"/>
      <c r="BL40" s="395"/>
      <c r="BM40" s="395"/>
      <c r="BN40" s="395"/>
      <c r="BO40" s="395"/>
      <c r="BP40" s="395"/>
      <c r="BQ40" s="395"/>
      <c r="BR40" s="395"/>
      <c r="BS40" s="395"/>
      <c r="BT40" s="395"/>
      <c r="BU40" s="395"/>
      <c r="BV40" s="395"/>
      <c r="BW40" s="395"/>
      <c r="BX40" s="395"/>
      <c r="BY40" s="395"/>
      <c r="BZ40" s="395"/>
      <c r="CA40" s="395"/>
      <c r="CB40" s="395"/>
      <c r="CC40" s="395"/>
      <c r="CD40" s="395"/>
      <c r="CE40" s="395"/>
      <c r="CF40" s="395"/>
      <c r="CG40" s="395"/>
      <c r="CH40" s="395"/>
      <c r="CI40" s="395"/>
      <c r="CJ40" s="395"/>
      <c r="CK40" s="395"/>
      <c r="CL40" s="395"/>
      <c r="CM40" s="395"/>
      <c r="CN40" s="395"/>
      <c r="CO40" s="395"/>
      <c r="CP40" s="395"/>
      <c r="CQ40" s="395"/>
      <c r="CR40" s="395"/>
      <c r="CS40" s="395"/>
      <c r="CT40" s="395"/>
      <c r="CU40" s="395"/>
      <c r="CV40" s="395"/>
      <c r="CW40" s="395"/>
      <c r="CX40" s="395"/>
      <c r="CY40" s="395"/>
      <c r="CZ40" s="395"/>
      <c r="DA40" s="395"/>
      <c r="DB40" s="395"/>
      <c r="DC40" s="395"/>
      <c r="DD40" s="395"/>
      <c r="DE40" s="395"/>
      <c r="DF40" s="395"/>
      <c r="DG40" s="395"/>
      <c r="DH40" s="395"/>
      <c r="DI40" s="395"/>
      <c r="DJ40" s="395"/>
      <c r="DK40" s="395"/>
      <c r="DL40" s="395"/>
      <c r="DM40" s="395"/>
      <c r="DN40" s="395"/>
      <c r="DO40" s="395"/>
      <c r="DP40" s="395"/>
      <c r="DQ40" s="395"/>
      <c r="DR40" s="395"/>
      <c r="DS40" s="395"/>
      <c r="DT40" s="395"/>
      <c r="DU40" s="395"/>
      <c r="DV40" s="395"/>
      <c r="DW40" s="395"/>
      <c r="DX40" s="395"/>
      <c r="DY40" s="395"/>
      <c r="DZ40" s="395"/>
      <c r="EA40" s="395"/>
      <c r="EB40" s="395"/>
      <c r="EC40" s="395"/>
      <c r="ED40" s="395"/>
      <c r="EE40" s="395"/>
      <c r="EF40" s="395"/>
      <c r="EG40" s="395"/>
      <c r="EH40" s="395"/>
      <c r="EI40" s="395"/>
      <c r="EJ40" s="395"/>
      <c r="EK40" s="395"/>
      <c r="EL40" s="395"/>
      <c r="EM40" s="395"/>
      <c r="EN40" s="395"/>
      <c r="EO40" s="395"/>
      <c r="EP40" s="395"/>
      <c r="EQ40" s="395"/>
      <c r="ER40" s="395"/>
      <c r="ES40" s="395"/>
      <c r="ET40" s="395"/>
      <c r="EU40" s="395"/>
      <c r="EV40" s="395"/>
      <c r="EW40" s="395"/>
      <c r="EX40" s="395"/>
      <c r="EY40" s="395"/>
      <c r="EZ40" s="395"/>
      <c r="FA40" s="395"/>
      <c r="FB40" s="395"/>
      <c r="FC40" s="395"/>
      <c r="FD40" s="395"/>
      <c r="FE40" s="395"/>
      <c r="FF40" s="395"/>
      <c r="FG40" s="395"/>
      <c r="FH40" s="395"/>
      <c r="FI40" s="395"/>
      <c r="FJ40" s="395"/>
      <c r="FK40" s="395"/>
      <c r="FL40" s="395"/>
      <c r="FM40" s="395"/>
      <c r="FN40" s="395"/>
      <c r="FO40" s="395"/>
      <c r="FP40" s="395"/>
      <c r="FQ40" s="395"/>
      <c r="FR40" s="395"/>
      <c r="FS40" s="395"/>
      <c r="FT40" s="395"/>
      <c r="FU40" s="395"/>
      <c r="FV40" s="395"/>
      <c r="FW40" s="395"/>
      <c r="FX40" s="395"/>
      <c r="FY40" s="395"/>
      <c r="FZ40" s="395"/>
      <c r="GA40" s="395"/>
      <c r="GB40" s="395"/>
      <c r="GC40" s="395"/>
      <c r="GD40" s="395"/>
      <c r="GE40" s="395"/>
      <c r="GF40" s="395"/>
      <c r="GG40" s="395"/>
      <c r="GH40" s="395"/>
      <c r="GI40" s="395"/>
      <c r="GJ40" s="395"/>
      <c r="GK40" s="395"/>
      <c r="GL40" s="395"/>
      <c r="GM40" s="395"/>
      <c r="GN40" s="395"/>
      <c r="GO40" s="395"/>
      <c r="GP40" s="395"/>
      <c r="GQ40" s="395"/>
      <c r="GR40" s="395"/>
      <c r="GS40" s="395"/>
      <c r="GT40" s="395"/>
      <c r="GU40" s="395"/>
      <c r="GV40" s="395"/>
      <c r="GW40" s="395"/>
      <c r="GX40" s="395"/>
      <c r="GY40" s="395"/>
      <c r="GZ40" s="395"/>
      <c r="HA40" s="395"/>
      <c r="HB40" s="395"/>
      <c r="HC40" s="395"/>
      <c r="HD40" s="395"/>
      <c r="HE40" s="395"/>
      <c r="HF40" s="395"/>
      <c r="HG40" s="395"/>
      <c r="HH40" s="395"/>
      <c r="HI40" s="395"/>
      <c r="HJ40" s="395"/>
      <c r="HK40" s="395"/>
      <c r="HL40" s="395"/>
      <c r="HM40" s="395"/>
      <c r="HN40" s="395"/>
      <c r="HO40" s="395"/>
      <c r="HP40" s="395"/>
      <c r="HQ40" s="395"/>
      <c r="HR40" s="395"/>
      <c r="HS40" s="395"/>
      <c r="HT40" s="395"/>
      <c r="HU40" s="395"/>
      <c r="HV40" s="395"/>
      <c r="HW40" s="395"/>
      <c r="HX40" s="395"/>
      <c r="HY40" s="395"/>
      <c r="HZ40" s="395"/>
      <c r="IA40" s="395"/>
      <c r="IB40" s="395"/>
      <c r="IC40" s="395"/>
      <c r="ID40" s="395"/>
      <c r="IE40" s="395"/>
      <c r="IF40" s="395"/>
      <c r="IG40" s="395"/>
      <c r="IH40" s="395"/>
      <c r="II40" s="395"/>
      <c r="IJ40" s="395"/>
      <c r="IK40" s="395"/>
      <c r="IL40" s="395"/>
      <c r="IM40" s="395"/>
      <c r="IN40" s="395"/>
      <c r="IO40" s="395"/>
      <c r="IP40" s="395"/>
      <c r="IQ40" s="395"/>
      <c r="IR40" s="395"/>
      <c r="IS40" s="395"/>
      <c r="IT40" s="395"/>
      <c r="IU40" s="395"/>
      <c r="IV40" s="395"/>
      <c r="IW40" s="395"/>
    </row>
    <row r="41" customFormat="false" ht="12.75" hidden="false" customHeight="false" outlineLevel="0" collapsed="false">
      <c r="A41" s="327" t="s">
        <v>290</v>
      </c>
      <c r="D41" s="115"/>
      <c r="E41" s="115" t="n">
        <f aca="false">Allocation!$G$8/Allocation!$G$10*IS!D40</f>
        <v>0</v>
      </c>
      <c r="F41" s="115" t="n">
        <f aca="false">Allocation!$G$8*IS!E40</f>
        <v>3824.15004218888</v>
      </c>
      <c r="G41" s="115" t="n">
        <f aca="false">Allocation!$G$8*IS!F40</f>
        <v>5256.23365607992</v>
      </c>
      <c r="H41" s="115" t="n">
        <f aca="false">Allocation!$G$8*IS!G40</f>
        <v>5256.23365607992</v>
      </c>
      <c r="I41" s="115" t="n">
        <f aca="false">Allocation!$G$8*IS!H40</f>
        <v>5256.23365607992</v>
      </c>
      <c r="J41" s="115" t="n">
        <f aca="false">Allocation!$G$8*IS!I40</f>
        <v>5256.23365607992</v>
      </c>
      <c r="K41" s="115" t="n">
        <f aca="false">Allocation!$G$8*IS!J40</f>
        <v>5256.23365607992</v>
      </c>
      <c r="L41" s="115" t="n">
        <f aca="false">Allocation!$G$8*IS!K40</f>
        <v>5256.23365607992</v>
      </c>
      <c r="M41" s="115" t="n">
        <f aca="false">Allocation!$G$8*IS!L40</f>
        <v>5256.23365607992</v>
      </c>
      <c r="N41" s="115" t="n">
        <f aca="false">Allocation!$G$8*IS!M40</f>
        <v>5256.23365607992</v>
      </c>
      <c r="O41" s="115" t="n">
        <f aca="false">Allocation!$G$8*IS!N40</f>
        <v>5256.23365607992</v>
      </c>
      <c r="P41" s="115" t="n">
        <f aca="false">Allocation!$G$8*IS!O40</f>
        <v>5256.23365607992</v>
      </c>
      <c r="Q41" s="115" t="n">
        <f aca="false">Allocation!$G$8*IS!P40</f>
        <v>5256.23365607992</v>
      </c>
      <c r="R41" s="115" t="n">
        <f aca="false">Allocation!$G$8*IS!Q40</f>
        <v>5256.23365607992</v>
      </c>
      <c r="S41" s="115" t="n">
        <f aca="false">Allocation!$G$8*IS!R40</f>
        <v>5256.23365607992</v>
      </c>
      <c r="T41" s="115" t="n">
        <f aca="false">Allocation!$G$8*IS!S40</f>
        <v>5256.23365607992</v>
      </c>
      <c r="U41" s="115" t="n">
        <f aca="false">Allocation!$G$8*IS!T40</f>
        <v>5256.23365607992</v>
      </c>
      <c r="V41" s="115" t="n">
        <f aca="false">Allocation!$G$8*IS!U40</f>
        <v>5256.23365607992</v>
      </c>
      <c r="W41" s="115" t="n">
        <f aca="false">Allocation!$G$8*IS!V40</f>
        <v>5256.23365607992</v>
      </c>
      <c r="X41" s="115" t="n">
        <f aca="false">Allocation!$G$8*IS!W40</f>
        <v>5256.23365607992</v>
      </c>
      <c r="Y41" s="115" t="n">
        <f aca="false">Allocation!$G$8*IS!X40</f>
        <v>5256.23365607992</v>
      </c>
      <c r="Z41" s="115" t="n">
        <f aca="false">Allocation!$G$8*IS!Y40</f>
        <v>5118.68292130036</v>
      </c>
    </row>
    <row r="42" customFormat="false" ht="12.75" hidden="false" customHeight="false" outlineLevel="0" collapsed="false">
      <c r="A42" s="327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</row>
    <row r="43" customFormat="false" ht="4.5" hidden="false" customHeight="true" outlineLevel="0" collapsed="false">
      <c r="A43" s="327"/>
      <c r="D43" s="115"/>
      <c r="E43" s="115"/>
      <c r="F43" s="115"/>
      <c r="G43" s="115"/>
      <c r="H43" s="417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</row>
    <row r="44" customFormat="false" ht="12.75" hidden="false" customHeight="false" outlineLevel="0" collapsed="false">
      <c r="A44" s="323" t="s">
        <v>291</v>
      </c>
      <c r="B44" s="323"/>
      <c r="C44" s="323"/>
      <c r="D44" s="422"/>
      <c r="E44" s="422" t="n">
        <f aca="false">E39-E41</f>
        <v>0</v>
      </c>
      <c r="F44" s="422" t="n">
        <f aca="false">F39-F41</f>
        <v>15205.1344210129</v>
      </c>
      <c r="G44" s="422" t="n">
        <f aca="false">G39-G41</f>
        <v>14186.568196596</v>
      </c>
      <c r="H44" s="422" t="n">
        <f aca="false">H39-H41</f>
        <v>14141.4806715453</v>
      </c>
      <c r="I44" s="422" t="n">
        <f aca="false">I39-I41</f>
        <v>23951.8967294736</v>
      </c>
      <c r="J44" s="422" t="n">
        <f aca="false">J39-J41</f>
        <v>24278.2507809445</v>
      </c>
      <c r="K44" s="422" t="n">
        <f aca="false">K39-K41</f>
        <v>24596.5219694088</v>
      </c>
      <c r="L44" s="422" t="n">
        <f aca="false">L39-L41</f>
        <v>24911.467369879</v>
      </c>
      <c r="M44" s="422" t="n">
        <f aca="false">M39-M41</f>
        <v>25855.7051179719</v>
      </c>
      <c r="N44" s="422" t="n">
        <f aca="false">N39-N41</f>
        <v>26169.652579748</v>
      </c>
      <c r="O44" s="422" t="n">
        <f aca="false">O39-O41</f>
        <v>27156.1670556883</v>
      </c>
      <c r="P44" s="422" t="n">
        <f aca="false">P39-P41</f>
        <v>26715.0059171113</v>
      </c>
      <c r="Q44" s="422" t="n">
        <f aca="false">Q39-Q41</f>
        <v>27811.4168008038</v>
      </c>
      <c r="R44" s="422" t="n">
        <f aca="false">R39-R41</f>
        <v>28203.0414821374</v>
      </c>
      <c r="S44" s="422" t="n">
        <f aca="false">S39-S41</f>
        <v>28585.5980038835</v>
      </c>
      <c r="T44" s="422" t="n">
        <f aca="false">T39-T41</f>
        <v>28953.6465222751</v>
      </c>
      <c r="U44" s="422" t="n">
        <f aca="false">U39-U41</f>
        <v>29336.5524751602</v>
      </c>
      <c r="V44" s="422" t="n">
        <f aca="false">V39-V41</f>
        <v>29730.1708461272</v>
      </c>
      <c r="W44" s="422" t="n">
        <f aca="false">W39-W41</f>
        <v>30112.6400039976</v>
      </c>
      <c r="X44" s="422" t="n">
        <f aca="false">X39-X41</f>
        <v>30390.3056482021</v>
      </c>
      <c r="Y44" s="422" t="n">
        <f aca="false">Y39-Y41</f>
        <v>30596.6171107875</v>
      </c>
      <c r="Z44" s="422" t="n">
        <f aca="false">Z39-Z41</f>
        <v>31216.3978673783</v>
      </c>
      <c r="AA44" s="395"/>
      <c r="AB44" s="395"/>
      <c r="AC44" s="395"/>
      <c r="AD44" s="395"/>
      <c r="AE44" s="395"/>
      <c r="AF44" s="395"/>
      <c r="AG44" s="395"/>
      <c r="AH44" s="395"/>
      <c r="AI44" s="395"/>
      <c r="AJ44" s="395"/>
      <c r="AK44" s="395"/>
      <c r="AL44" s="395"/>
      <c r="AM44" s="395"/>
      <c r="AN44" s="395"/>
      <c r="AO44" s="395"/>
      <c r="AP44" s="395"/>
      <c r="AQ44" s="395"/>
      <c r="AR44" s="395"/>
      <c r="AS44" s="395"/>
      <c r="AT44" s="395"/>
      <c r="AU44" s="395"/>
      <c r="AV44" s="395"/>
      <c r="AW44" s="395"/>
      <c r="AX44" s="395"/>
      <c r="AY44" s="395"/>
      <c r="AZ44" s="395"/>
      <c r="BA44" s="395"/>
      <c r="BB44" s="395"/>
      <c r="BC44" s="395"/>
      <c r="BD44" s="395"/>
      <c r="BE44" s="395"/>
      <c r="BF44" s="395"/>
      <c r="BG44" s="395"/>
      <c r="BH44" s="395"/>
      <c r="BI44" s="395"/>
      <c r="BJ44" s="395"/>
      <c r="BK44" s="395"/>
      <c r="BL44" s="395"/>
      <c r="BM44" s="395"/>
      <c r="BN44" s="395"/>
      <c r="BO44" s="395"/>
      <c r="BP44" s="395"/>
      <c r="BQ44" s="395"/>
      <c r="BR44" s="395"/>
      <c r="BS44" s="395"/>
      <c r="BT44" s="395"/>
      <c r="BU44" s="395"/>
      <c r="BV44" s="395"/>
      <c r="BW44" s="395"/>
      <c r="BX44" s="395"/>
      <c r="BY44" s="395"/>
      <c r="BZ44" s="395"/>
      <c r="CA44" s="395"/>
      <c r="CB44" s="395"/>
      <c r="CC44" s="395"/>
      <c r="CD44" s="395"/>
      <c r="CE44" s="395"/>
      <c r="CF44" s="395"/>
      <c r="CG44" s="395"/>
      <c r="CH44" s="395"/>
      <c r="CI44" s="395"/>
      <c r="CJ44" s="395"/>
      <c r="CK44" s="395"/>
      <c r="CL44" s="395"/>
      <c r="CM44" s="395"/>
      <c r="CN44" s="395"/>
      <c r="CO44" s="395"/>
      <c r="CP44" s="395"/>
      <c r="CQ44" s="395"/>
      <c r="CR44" s="395"/>
      <c r="CS44" s="395"/>
      <c r="CT44" s="395"/>
      <c r="CU44" s="395"/>
      <c r="CV44" s="395"/>
      <c r="CW44" s="395"/>
      <c r="CX44" s="395"/>
      <c r="CY44" s="395"/>
      <c r="CZ44" s="395"/>
      <c r="DA44" s="395"/>
      <c r="DB44" s="395"/>
      <c r="DC44" s="395"/>
      <c r="DD44" s="395"/>
      <c r="DE44" s="395"/>
      <c r="DF44" s="395"/>
      <c r="DG44" s="395"/>
      <c r="DH44" s="395"/>
      <c r="DI44" s="395"/>
      <c r="DJ44" s="395"/>
      <c r="DK44" s="395"/>
      <c r="DL44" s="395"/>
      <c r="DM44" s="395"/>
      <c r="DN44" s="395"/>
      <c r="DO44" s="395"/>
      <c r="DP44" s="395"/>
      <c r="DQ44" s="395"/>
      <c r="DR44" s="395"/>
      <c r="DS44" s="395"/>
      <c r="DT44" s="395"/>
      <c r="DU44" s="395"/>
      <c r="DV44" s="395"/>
      <c r="DW44" s="395"/>
      <c r="DX44" s="395"/>
      <c r="DY44" s="395"/>
      <c r="DZ44" s="395"/>
      <c r="EA44" s="395"/>
      <c r="EB44" s="395"/>
      <c r="EC44" s="395"/>
      <c r="ED44" s="395"/>
      <c r="EE44" s="395"/>
      <c r="EF44" s="395"/>
      <c r="EG44" s="395"/>
      <c r="EH44" s="395"/>
      <c r="EI44" s="395"/>
      <c r="EJ44" s="395"/>
      <c r="EK44" s="395"/>
      <c r="EL44" s="395"/>
      <c r="EM44" s="395"/>
      <c r="EN44" s="395"/>
      <c r="EO44" s="395"/>
      <c r="EP44" s="395"/>
      <c r="EQ44" s="395"/>
      <c r="ER44" s="395"/>
      <c r="ES44" s="395"/>
      <c r="ET44" s="395"/>
      <c r="EU44" s="395"/>
      <c r="EV44" s="395"/>
      <c r="EW44" s="395"/>
      <c r="EX44" s="395"/>
      <c r="EY44" s="395"/>
      <c r="EZ44" s="395"/>
      <c r="FA44" s="395"/>
      <c r="FB44" s="395"/>
      <c r="FC44" s="395"/>
      <c r="FD44" s="395"/>
      <c r="FE44" s="395"/>
      <c r="FF44" s="395"/>
      <c r="FG44" s="395"/>
      <c r="FH44" s="395"/>
      <c r="FI44" s="395"/>
      <c r="FJ44" s="395"/>
      <c r="FK44" s="395"/>
      <c r="FL44" s="395"/>
      <c r="FM44" s="395"/>
      <c r="FN44" s="395"/>
      <c r="FO44" s="395"/>
      <c r="FP44" s="395"/>
      <c r="FQ44" s="395"/>
      <c r="FR44" s="395"/>
      <c r="FS44" s="395"/>
      <c r="FT44" s="395"/>
      <c r="FU44" s="395"/>
      <c r="FV44" s="395"/>
      <c r="FW44" s="395"/>
      <c r="FX44" s="395"/>
      <c r="FY44" s="395"/>
      <c r="FZ44" s="395"/>
      <c r="GA44" s="395"/>
      <c r="GB44" s="395"/>
      <c r="GC44" s="395"/>
      <c r="GD44" s="395"/>
      <c r="GE44" s="395"/>
      <c r="GF44" s="395"/>
      <c r="GG44" s="395"/>
      <c r="GH44" s="395"/>
      <c r="GI44" s="395"/>
      <c r="GJ44" s="395"/>
      <c r="GK44" s="395"/>
      <c r="GL44" s="395"/>
      <c r="GM44" s="395"/>
      <c r="GN44" s="395"/>
      <c r="GO44" s="395"/>
      <c r="GP44" s="395"/>
      <c r="GQ44" s="395"/>
      <c r="GR44" s="395"/>
      <c r="GS44" s="395"/>
      <c r="GT44" s="395"/>
      <c r="GU44" s="395"/>
      <c r="GV44" s="395"/>
      <c r="GW44" s="395"/>
      <c r="GX44" s="395"/>
      <c r="GY44" s="395"/>
      <c r="GZ44" s="395"/>
      <c r="HA44" s="395"/>
      <c r="HB44" s="395"/>
      <c r="HC44" s="395"/>
      <c r="HD44" s="395"/>
      <c r="HE44" s="395"/>
      <c r="HF44" s="395"/>
      <c r="HG44" s="395"/>
      <c r="HH44" s="395"/>
      <c r="HI44" s="395"/>
      <c r="HJ44" s="395"/>
      <c r="HK44" s="395"/>
      <c r="HL44" s="395"/>
      <c r="HM44" s="395"/>
      <c r="HN44" s="395"/>
      <c r="HO44" s="395"/>
      <c r="HP44" s="395"/>
      <c r="HQ44" s="395"/>
      <c r="HR44" s="395"/>
      <c r="HS44" s="395"/>
      <c r="HT44" s="395"/>
      <c r="HU44" s="395"/>
      <c r="HV44" s="395"/>
      <c r="HW44" s="395"/>
      <c r="HX44" s="395"/>
      <c r="HY44" s="395"/>
      <c r="HZ44" s="395"/>
      <c r="IA44" s="395"/>
      <c r="IB44" s="395"/>
      <c r="IC44" s="395"/>
      <c r="ID44" s="395"/>
      <c r="IE44" s="395"/>
      <c r="IF44" s="395"/>
      <c r="IG44" s="395"/>
      <c r="IH44" s="395"/>
      <c r="II44" s="395"/>
      <c r="IJ44" s="395"/>
      <c r="IK44" s="395"/>
      <c r="IL44" s="395"/>
      <c r="IM44" s="395"/>
      <c r="IN44" s="395"/>
      <c r="IO44" s="395"/>
      <c r="IP44" s="395"/>
      <c r="IQ44" s="395"/>
      <c r="IR44" s="395"/>
      <c r="IS44" s="395"/>
      <c r="IT44" s="395"/>
      <c r="IU44" s="395"/>
      <c r="IV44" s="395"/>
      <c r="IW44" s="395"/>
    </row>
    <row r="45" customFormat="false" ht="12.75" hidden="false" customHeight="false" outlineLevel="0" collapsed="false">
      <c r="A45" s="323"/>
      <c r="B45" s="323"/>
      <c r="C45" s="323"/>
      <c r="D45" s="422"/>
      <c r="E45" s="422"/>
      <c r="F45" s="422"/>
      <c r="G45" s="422"/>
      <c r="H45" s="422"/>
      <c r="I45" s="422"/>
      <c r="J45" s="422"/>
      <c r="K45" s="422"/>
      <c r="L45" s="422"/>
      <c r="M45" s="422"/>
      <c r="N45" s="422"/>
      <c r="O45" s="422"/>
      <c r="P45" s="422"/>
      <c r="Q45" s="422"/>
      <c r="R45" s="422"/>
      <c r="S45" s="422"/>
      <c r="T45" s="422"/>
      <c r="U45" s="422"/>
      <c r="V45" s="422"/>
      <c r="W45" s="422"/>
      <c r="X45" s="422"/>
      <c r="Y45" s="422"/>
      <c r="Z45" s="422"/>
      <c r="AA45" s="395"/>
      <c r="AB45" s="395"/>
      <c r="AC45" s="395"/>
      <c r="AD45" s="395"/>
      <c r="AE45" s="395"/>
      <c r="AF45" s="395"/>
      <c r="AG45" s="395"/>
      <c r="AH45" s="395"/>
      <c r="AI45" s="395"/>
      <c r="AJ45" s="395"/>
      <c r="AK45" s="395"/>
      <c r="AL45" s="395"/>
      <c r="AM45" s="395"/>
      <c r="AN45" s="395"/>
      <c r="AO45" s="395"/>
      <c r="AP45" s="395"/>
      <c r="AQ45" s="395"/>
      <c r="AR45" s="395"/>
      <c r="AS45" s="395"/>
      <c r="AT45" s="395"/>
      <c r="AU45" s="395"/>
      <c r="AV45" s="395"/>
      <c r="AW45" s="395"/>
      <c r="AX45" s="395"/>
      <c r="AY45" s="395"/>
      <c r="AZ45" s="395"/>
      <c r="BA45" s="395"/>
      <c r="BB45" s="395"/>
      <c r="BC45" s="395"/>
      <c r="BD45" s="395"/>
      <c r="BE45" s="395"/>
      <c r="BF45" s="395"/>
      <c r="BG45" s="395"/>
      <c r="BH45" s="395"/>
      <c r="BI45" s="395"/>
      <c r="BJ45" s="395"/>
      <c r="BK45" s="395"/>
      <c r="BL45" s="395"/>
      <c r="BM45" s="395"/>
      <c r="BN45" s="395"/>
      <c r="BO45" s="395"/>
      <c r="BP45" s="395"/>
      <c r="BQ45" s="395"/>
      <c r="BR45" s="395"/>
      <c r="BS45" s="395"/>
      <c r="BT45" s="395"/>
      <c r="BU45" s="395"/>
      <c r="BV45" s="395"/>
      <c r="BW45" s="395"/>
      <c r="BX45" s="395"/>
      <c r="BY45" s="395"/>
      <c r="BZ45" s="395"/>
      <c r="CA45" s="395"/>
      <c r="CB45" s="395"/>
      <c r="CC45" s="395"/>
      <c r="CD45" s="395"/>
      <c r="CE45" s="395"/>
      <c r="CF45" s="395"/>
      <c r="CG45" s="395"/>
      <c r="CH45" s="395"/>
      <c r="CI45" s="395"/>
      <c r="CJ45" s="395"/>
      <c r="CK45" s="395"/>
      <c r="CL45" s="395"/>
      <c r="CM45" s="395"/>
      <c r="CN45" s="395"/>
      <c r="CO45" s="395"/>
      <c r="CP45" s="395"/>
      <c r="CQ45" s="395"/>
      <c r="CR45" s="395"/>
      <c r="CS45" s="395"/>
      <c r="CT45" s="395"/>
      <c r="CU45" s="395"/>
      <c r="CV45" s="395"/>
      <c r="CW45" s="395"/>
      <c r="CX45" s="395"/>
      <c r="CY45" s="395"/>
      <c r="CZ45" s="395"/>
      <c r="DA45" s="395"/>
      <c r="DB45" s="395"/>
      <c r="DC45" s="395"/>
      <c r="DD45" s="395"/>
      <c r="DE45" s="395"/>
      <c r="DF45" s="395"/>
      <c r="DG45" s="395"/>
      <c r="DH45" s="395"/>
      <c r="DI45" s="395"/>
      <c r="DJ45" s="395"/>
      <c r="DK45" s="395"/>
      <c r="DL45" s="395"/>
      <c r="DM45" s="395"/>
      <c r="DN45" s="395"/>
      <c r="DO45" s="395"/>
      <c r="DP45" s="395"/>
      <c r="DQ45" s="395"/>
      <c r="DR45" s="395"/>
      <c r="DS45" s="395"/>
      <c r="DT45" s="395"/>
      <c r="DU45" s="395"/>
      <c r="DV45" s="395"/>
      <c r="DW45" s="395"/>
      <c r="DX45" s="395"/>
      <c r="DY45" s="395"/>
      <c r="DZ45" s="395"/>
      <c r="EA45" s="395"/>
      <c r="EB45" s="395"/>
      <c r="EC45" s="395"/>
      <c r="ED45" s="395"/>
      <c r="EE45" s="395"/>
      <c r="EF45" s="395"/>
      <c r="EG45" s="395"/>
      <c r="EH45" s="395"/>
      <c r="EI45" s="395"/>
      <c r="EJ45" s="395"/>
      <c r="EK45" s="395"/>
      <c r="EL45" s="395"/>
      <c r="EM45" s="395"/>
      <c r="EN45" s="395"/>
      <c r="EO45" s="395"/>
      <c r="EP45" s="395"/>
      <c r="EQ45" s="395"/>
      <c r="ER45" s="395"/>
      <c r="ES45" s="395"/>
      <c r="ET45" s="395"/>
      <c r="EU45" s="395"/>
      <c r="EV45" s="395"/>
      <c r="EW45" s="395"/>
      <c r="EX45" s="395"/>
      <c r="EY45" s="395"/>
      <c r="EZ45" s="395"/>
      <c r="FA45" s="395"/>
      <c r="FB45" s="395"/>
      <c r="FC45" s="395"/>
      <c r="FD45" s="395"/>
      <c r="FE45" s="395"/>
      <c r="FF45" s="395"/>
      <c r="FG45" s="395"/>
      <c r="FH45" s="395"/>
      <c r="FI45" s="395"/>
      <c r="FJ45" s="395"/>
      <c r="FK45" s="395"/>
      <c r="FL45" s="395"/>
      <c r="FM45" s="395"/>
      <c r="FN45" s="395"/>
      <c r="FO45" s="395"/>
      <c r="FP45" s="395"/>
      <c r="FQ45" s="395"/>
      <c r="FR45" s="395"/>
      <c r="FS45" s="395"/>
      <c r="FT45" s="395"/>
      <c r="FU45" s="395"/>
      <c r="FV45" s="395"/>
      <c r="FW45" s="395"/>
      <c r="FX45" s="395"/>
      <c r="FY45" s="395"/>
      <c r="FZ45" s="395"/>
      <c r="GA45" s="395"/>
      <c r="GB45" s="395"/>
      <c r="GC45" s="395"/>
      <c r="GD45" s="395"/>
      <c r="GE45" s="395"/>
      <c r="GF45" s="395"/>
      <c r="GG45" s="395"/>
      <c r="GH45" s="395"/>
      <c r="GI45" s="395"/>
      <c r="GJ45" s="395"/>
      <c r="GK45" s="395"/>
      <c r="GL45" s="395"/>
      <c r="GM45" s="395"/>
      <c r="GN45" s="395"/>
      <c r="GO45" s="395"/>
      <c r="GP45" s="395"/>
      <c r="GQ45" s="395"/>
      <c r="GR45" s="395"/>
      <c r="GS45" s="395"/>
      <c r="GT45" s="395"/>
      <c r="GU45" s="395"/>
      <c r="GV45" s="395"/>
      <c r="GW45" s="395"/>
      <c r="GX45" s="395"/>
      <c r="GY45" s="395"/>
      <c r="GZ45" s="395"/>
      <c r="HA45" s="395"/>
      <c r="HB45" s="395"/>
      <c r="HC45" s="395"/>
      <c r="HD45" s="395"/>
      <c r="HE45" s="395"/>
      <c r="HF45" s="395"/>
      <c r="HG45" s="395"/>
      <c r="HH45" s="395"/>
      <c r="HI45" s="395"/>
      <c r="HJ45" s="395"/>
      <c r="HK45" s="395"/>
      <c r="HL45" s="395"/>
      <c r="HM45" s="395"/>
      <c r="HN45" s="395"/>
      <c r="HO45" s="395"/>
      <c r="HP45" s="395"/>
      <c r="HQ45" s="395"/>
      <c r="HR45" s="395"/>
      <c r="HS45" s="395"/>
      <c r="HT45" s="395"/>
      <c r="HU45" s="395"/>
      <c r="HV45" s="395"/>
      <c r="HW45" s="395"/>
      <c r="HX45" s="395"/>
      <c r="HY45" s="395"/>
      <c r="HZ45" s="395"/>
      <c r="IA45" s="395"/>
      <c r="IB45" s="395"/>
      <c r="IC45" s="395"/>
      <c r="ID45" s="395"/>
      <c r="IE45" s="395"/>
      <c r="IF45" s="395"/>
      <c r="IG45" s="395"/>
      <c r="IH45" s="395"/>
      <c r="II45" s="395"/>
      <c r="IJ45" s="395"/>
      <c r="IK45" s="395"/>
      <c r="IL45" s="395"/>
      <c r="IM45" s="395"/>
      <c r="IN45" s="395"/>
      <c r="IO45" s="395"/>
      <c r="IP45" s="395"/>
      <c r="IQ45" s="395"/>
      <c r="IR45" s="395"/>
      <c r="IS45" s="395"/>
      <c r="IT45" s="395"/>
      <c r="IU45" s="395"/>
      <c r="IV45" s="395"/>
      <c r="IW45" s="395"/>
    </row>
    <row r="46" customFormat="false" ht="12.75" hidden="false" customHeight="false" outlineLevel="0" collapsed="false">
      <c r="A46" s="78" t="s">
        <v>457</v>
      </c>
      <c r="B46" s="474"/>
      <c r="C46" s="474"/>
      <c r="D46" s="115"/>
      <c r="E46" s="115" t="n">
        <f aca="false">Allocation!$K$8*(IS!$D$44)</f>
        <v>0</v>
      </c>
      <c r="F46" s="115" t="n">
        <f aca="false">Allocation!$I$8*(IS!$E$44-Debt!$C$136)</f>
        <v>10940.0929723187</v>
      </c>
      <c r="G46" s="115" t="n">
        <f aca="false">Allocation!$I$8*IS!F44</f>
        <v>10665.836832843</v>
      </c>
      <c r="H46" s="115" t="n">
        <f aca="false">Allocation!$I$8*IS!G44</f>
        <v>10314.0607567275</v>
      </c>
      <c r="I46" s="115" t="n">
        <f aca="false">Allocation!$I$8*IS!H44</f>
        <v>9968.04864896493</v>
      </c>
      <c r="J46" s="115" t="n">
        <f aca="false">Allocation!$I$8*IS!I44</f>
        <v>9740.44515867085</v>
      </c>
      <c r="K46" s="115" t="n">
        <f aca="false">Allocation!$I$8*IS!J44</f>
        <v>9357.18257383739</v>
      </c>
      <c r="L46" s="115" t="n">
        <f aca="false">Allocation!$I$8*IS!K44</f>
        <v>8936.76225171002</v>
      </c>
      <c r="M46" s="115" t="n">
        <f aca="false">Allocation!$I$8*IS!L44</f>
        <v>8451.05312661699</v>
      </c>
      <c r="N46" s="115" t="n">
        <f aca="false">Allocation!$I$8*IS!M44</f>
        <v>7895.10907712151</v>
      </c>
      <c r="O46" s="115" t="n">
        <f aca="false">Allocation!$I$8*IS!N44</f>
        <v>7220.45811314301</v>
      </c>
      <c r="P46" s="115" t="n">
        <f aca="false">Allocation!$I$8*IS!O44</f>
        <v>6624.52392571354</v>
      </c>
      <c r="Q46" s="115" t="n">
        <f aca="false">Allocation!$I$8*IS!P44</f>
        <v>6052.29861917086</v>
      </c>
      <c r="R46" s="115" t="n">
        <f aca="false">Allocation!$I$8*IS!Q44</f>
        <v>5420.13771706202</v>
      </c>
      <c r="S46" s="115" t="n">
        <f aca="false">Allocation!$I$8*IS!R44</f>
        <v>4739.0495264668</v>
      </c>
      <c r="T46" s="115" t="n">
        <f aca="false">Allocation!$I$8*IS!S44</f>
        <v>4011.6993011613</v>
      </c>
      <c r="U46" s="115" t="n">
        <f aca="false">Allocation!$I$8*IS!T44</f>
        <v>3223.92669914732</v>
      </c>
      <c r="V46" s="115" t="n">
        <f aca="false">Allocation!$I$8*IS!U44</f>
        <v>2403.35859410577</v>
      </c>
      <c r="W46" s="115" t="n">
        <f aca="false">Allocation!$I$8*IS!V44</f>
        <v>1590.2984436685</v>
      </c>
      <c r="X46" s="115" t="n">
        <f aca="false">Allocation!$I$8*IS!W44</f>
        <v>847.28027594505</v>
      </c>
      <c r="Y46" s="115" t="n">
        <f aca="false">Allocation!$I$8*IS!X44</f>
        <v>203.405445960604</v>
      </c>
      <c r="Z46" s="115" t="n">
        <v>0</v>
      </c>
    </row>
    <row r="47" customFormat="false" ht="6" hidden="false" customHeight="true" outlineLevel="0" collapsed="false">
      <c r="D47" s="115"/>
      <c r="E47" s="115"/>
      <c r="F47" s="368"/>
      <c r="G47" s="368"/>
      <c r="H47" s="368"/>
      <c r="I47" s="368"/>
      <c r="J47" s="368"/>
      <c r="K47" s="368"/>
      <c r="L47" s="368"/>
      <c r="M47" s="368"/>
      <c r="N47" s="368"/>
      <c r="O47" s="368"/>
      <c r="P47" s="368"/>
      <c r="Q47" s="368"/>
      <c r="R47" s="368"/>
      <c r="S47" s="368"/>
      <c r="T47" s="368"/>
      <c r="U47" s="368"/>
      <c r="V47" s="368"/>
      <c r="W47" s="368"/>
      <c r="X47" s="368"/>
      <c r="Y47" s="368"/>
      <c r="Z47" s="368"/>
    </row>
    <row r="48" customFormat="false" ht="6" hidden="false" customHeight="true" outlineLevel="0" collapsed="false">
      <c r="D48" s="115"/>
      <c r="E48" s="115"/>
      <c r="F48" s="368"/>
      <c r="G48" s="368"/>
      <c r="H48" s="368"/>
      <c r="I48" s="368"/>
      <c r="J48" s="368"/>
      <c r="K48" s="368"/>
      <c r="L48" s="368"/>
      <c r="M48" s="368"/>
      <c r="N48" s="368"/>
      <c r="O48" s="368"/>
      <c r="P48" s="368"/>
      <c r="Q48" s="368"/>
      <c r="R48" s="368"/>
      <c r="S48" s="368"/>
      <c r="T48" s="368"/>
      <c r="U48" s="368"/>
      <c r="V48" s="368"/>
      <c r="W48" s="368"/>
      <c r="X48" s="368"/>
      <c r="Y48" s="368"/>
      <c r="Z48" s="368"/>
    </row>
    <row r="49" customFormat="false" ht="12.75" hidden="false" customHeight="false" outlineLevel="0" collapsed="false">
      <c r="A49" s="323" t="s">
        <v>293</v>
      </c>
      <c r="B49" s="323"/>
      <c r="C49" s="395"/>
      <c r="D49" s="422"/>
      <c r="E49" s="422" t="n">
        <f aca="false">E44-E46</f>
        <v>0</v>
      </c>
      <c r="F49" s="422" t="n">
        <f aca="false">F44-F46</f>
        <v>4265.04144869424</v>
      </c>
      <c r="G49" s="422" t="n">
        <f aca="false">G44-G46</f>
        <v>3520.73136375304</v>
      </c>
      <c r="H49" s="422" t="n">
        <f aca="false">H44-H46</f>
        <v>3827.41991481779</v>
      </c>
      <c r="I49" s="422" t="n">
        <f aca="false">I44-I46</f>
        <v>13983.8480805087</v>
      </c>
      <c r="J49" s="422" t="n">
        <f aca="false">J44-J46</f>
        <v>14537.8056222737</v>
      </c>
      <c r="K49" s="422" t="n">
        <f aca="false">K44-K46</f>
        <v>15239.3393955715</v>
      </c>
      <c r="L49" s="422" t="n">
        <f aca="false">L44-L46</f>
        <v>15974.705118169</v>
      </c>
      <c r="M49" s="422" t="n">
        <f aca="false">M44-M46</f>
        <v>17404.6519913549</v>
      </c>
      <c r="N49" s="422" t="n">
        <f aca="false">N44-N46</f>
        <v>18274.5435026264</v>
      </c>
      <c r="O49" s="422" t="n">
        <f aca="false">O44-O46</f>
        <v>19935.7089425452</v>
      </c>
      <c r="P49" s="422" t="n">
        <f aca="false">P44-P46</f>
        <v>20090.4819913978</v>
      </c>
      <c r="Q49" s="422" t="n">
        <f aca="false">Q44-Q46</f>
        <v>21759.118181633</v>
      </c>
      <c r="R49" s="422" t="n">
        <f aca="false">R44-R46</f>
        <v>22782.9037650753</v>
      </c>
      <c r="S49" s="422" t="n">
        <f aca="false">S44-S46</f>
        <v>23846.5484774167</v>
      </c>
      <c r="T49" s="422" t="n">
        <f aca="false">T44-T46</f>
        <v>24941.9472211138</v>
      </c>
      <c r="U49" s="422" t="n">
        <f aca="false">U44-U46</f>
        <v>26112.6257760129</v>
      </c>
      <c r="V49" s="422" t="n">
        <f aca="false">V44-V46</f>
        <v>27326.8122520215</v>
      </c>
      <c r="W49" s="422" t="n">
        <f aca="false">W44-W46</f>
        <v>28522.3415603291</v>
      </c>
      <c r="X49" s="422" t="n">
        <f aca="false">X44-X46</f>
        <v>29543.0253722571</v>
      </c>
      <c r="Y49" s="422" t="n">
        <f aca="false">Y44-Y46</f>
        <v>30393.2116648269</v>
      </c>
      <c r="Z49" s="422" t="n">
        <f aca="false">Z44-Z46</f>
        <v>31216.3978673783</v>
      </c>
      <c r="AA49" s="395"/>
      <c r="AB49" s="395"/>
      <c r="AC49" s="395"/>
      <c r="AD49" s="395"/>
      <c r="AE49" s="395"/>
      <c r="AF49" s="395"/>
      <c r="AG49" s="395"/>
      <c r="AH49" s="395"/>
      <c r="AI49" s="395"/>
      <c r="AJ49" s="395"/>
      <c r="AK49" s="395"/>
      <c r="AL49" s="395"/>
      <c r="AM49" s="395"/>
      <c r="AN49" s="395"/>
      <c r="AO49" s="395"/>
      <c r="AP49" s="395"/>
      <c r="AQ49" s="395"/>
      <c r="AR49" s="395"/>
      <c r="AS49" s="395"/>
      <c r="AT49" s="395"/>
      <c r="AU49" s="395"/>
      <c r="AV49" s="395"/>
      <c r="AW49" s="395"/>
      <c r="AX49" s="395"/>
      <c r="AY49" s="395"/>
      <c r="AZ49" s="395"/>
      <c r="BA49" s="395"/>
      <c r="BB49" s="395"/>
      <c r="BC49" s="395"/>
      <c r="BD49" s="395"/>
      <c r="BE49" s="395"/>
      <c r="BF49" s="395"/>
      <c r="BG49" s="395"/>
      <c r="BH49" s="395"/>
      <c r="BI49" s="395"/>
      <c r="BJ49" s="395"/>
      <c r="BK49" s="395"/>
      <c r="BL49" s="395"/>
      <c r="BM49" s="395"/>
      <c r="BN49" s="395"/>
      <c r="BO49" s="395"/>
      <c r="BP49" s="395"/>
      <c r="BQ49" s="395"/>
      <c r="BR49" s="395"/>
      <c r="BS49" s="395"/>
      <c r="BT49" s="395"/>
      <c r="BU49" s="395"/>
      <c r="BV49" s="395"/>
      <c r="BW49" s="395"/>
      <c r="BX49" s="395"/>
      <c r="BY49" s="395"/>
      <c r="BZ49" s="395"/>
      <c r="CA49" s="395"/>
      <c r="CB49" s="395"/>
      <c r="CC49" s="395"/>
      <c r="CD49" s="395"/>
      <c r="CE49" s="395"/>
      <c r="CF49" s="395"/>
      <c r="CG49" s="395"/>
      <c r="CH49" s="395"/>
      <c r="CI49" s="395"/>
      <c r="CJ49" s="395"/>
      <c r="CK49" s="395"/>
      <c r="CL49" s="395"/>
      <c r="CM49" s="395"/>
      <c r="CN49" s="395"/>
      <c r="CO49" s="395"/>
      <c r="CP49" s="395"/>
      <c r="CQ49" s="395"/>
      <c r="CR49" s="395"/>
      <c r="CS49" s="395"/>
      <c r="CT49" s="395"/>
      <c r="CU49" s="395"/>
      <c r="CV49" s="395"/>
      <c r="CW49" s="395"/>
      <c r="CX49" s="395"/>
      <c r="CY49" s="395"/>
      <c r="CZ49" s="395"/>
      <c r="DA49" s="395"/>
      <c r="DB49" s="395"/>
      <c r="DC49" s="395"/>
      <c r="DD49" s="395"/>
      <c r="DE49" s="395"/>
      <c r="DF49" s="395"/>
      <c r="DG49" s="395"/>
      <c r="DH49" s="395"/>
      <c r="DI49" s="395"/>
      <c r="DJ49" s="395"/>
      <c r="DK49" s="395"/>
      <c r="DL49" s="395"/>
      <c r="DM49" s="395"/>
      <c r="DN49" s="395"/>
      <c r="DO49" s="395"/>
      <c r="DP49" s="395"/>
      <c r="DQ49" s="395"/>
      <c r="DR49" s="395"/>
      <c r="DS49" s="395"/>
      <c r="DT49" s="395"/>
      <c r="DU49" s="395"/>
      <c r="DV49" s="395"/>
      <c r="DW49" s="395"/>
      <c r="DX49" s="395"/>
      <c r="DY49" s="395"/>
      <c r="DZ49" s="395"/>
      <c r="EA49" s="395"/>
      <c r="EB49" s="395"/>
      <c r="EC49" s="395"/>
      <c r="ED49" s="395"/>
      <c r="EE49" s="395"/>
      <c r="EF49" s="395"/>
      <c r="EG49" s="395"/>
      <c r="EH49" s="395"/>
      <c r="EI49" s="395"/>
      <c r="EJ49" s="395"/>
      <c r="EK49" s="395"/>
      <c r="EL49" s="395"/>
      <c r="EM49" s="395"/>
      <c r="EN49" s="395"/>
      <c r="EO49" s="395"/>
      <c r="EP49" s="395"/>
      <c r="EQ49" s="395"/>
      <c r="ER49" s="395"/>
      <c r="ES49" s="395"/>
      <c r="ET49" s="395"/>
      <c r="EU49" s="395"/>
      <c r="EV49" s="395"/>
      <c r="EW49" s="395"/>
      <c r="EX49" s="395"/>
      <c r="EY49" s="395"/>
      <c r="EZ49" s="395"/>
      <c r="FA49" s="395"/>
      <c r="FB49" s="395"/>
      <c r="FC49" s="395"/>
      <c r="FD49" s="395"/>
      <c r="FE49" s="395"/>
      <c r="FF49" s="395"/>
      <c r="FG49" s="395"/>
      <c r="FH49" s="395"/>
      <c r="FI49" s="395"/>
      <c r="FJ49" s="395"/>
      <c r="FK49" s="395"/>
      <c r="FL49" s="395"/>
      <c r="FM49" s="395"/>
      <c r="FN49" s="395"/>
      <c r="FO49" s="395"/>
      <c r="FP49" s="395"/>
      <c r="FQ49" s="395"/>
      <c r="FR49" s="395"/>
      <c r="FS49" s="395"/>
      <c r="FT49" s="395"/>
      <c r="FU49" s="395"/>
      <c r="FV49" s="395"/>
      <c r="FW49" s="395"/>
      <c r="FX49" s="395"/>
      <c r="FY49" s="395"/>
      <c r="FZ49" s="395"/>
      <c r="GA49" s="395"/>
      <c r="GB49" s="395"/>
      <c r="GC49" s="395"/>
      <c r="GD49" s="395"/>
      <c r="GE49" s="395"/>
      <c r="GF49" s="395"/>
      <c r="GG49" s="395"/>
      <c r="GH49" s="395"/>
      <c r="GI49" s="395"/>
      <c r="GJ49" s="395"/>
      <c r="GK49" s="395"/>
      <c r="GL49" s="395"/>
      <c r="GM49" s="395"/>
      <c r="GN49" s="395"/>
      <c r="GO49" s="395"/>
      <c r="GP49" s="395"/>
      <c r="GQ49" s="395"/>
      <c r="GR49" s="395"/>
      <c r="GS49" s="395"/>
      <c r="GT49" s="395"/>
      <c r="GU49" s="395"/>
      <c r="GV49" s="395"/>
      <c r="GW49" s="395"/>
      <c r="GX49" s="395"/>
      <c r="GY49" s="395"/>
      <c r="GZ49" s="395"/>
      <c r="HA49" s="395"/>
      <c r="HB49" s="395"/>
      <c r="HC49" s="395"/>
      <c r="HD49" s="395"/>
      <c r="HE49" s="395"/>
      <c r="HF49" s="395"/>
      <c r="HG49" s="395"/>
      <c r="HH49" s="395"/>
      <c r="HI49" s="395"/>
      <c r="HJ49" s="395"/>
      <c r="HK49" s="395"/>
      <c r="HL49" s="395"/>
      <c r="HM49" s="395"/>
      <c r="HN49" s="395"/>
      <c r="HO49" s="395"/>
      <c r="HP49" s="395"/>
      <c r="HQ49" s="395"/>
      <c r="HR49" s="395"/>
      <c r="HS49" s="395"/>
      <c r="HT49" s="395"/>
      <c r="HU49" s="395"/>
      <c r="HV49" s="395"/>
      <c r="HW49" s="395"/>
      <c r="HX49" s="395"/>
      <c r="HY49" s="395"/>
      <c r="HZ49" s="395"/>
      <c r="IA49" s="395"/>
      <c r="IB49" s="395"/>
      <c r="IC49" s="395"/>
      <c r="ID49" s="395"/>
      <c r="IE49" s="395"/>
      <c r="IF49" s="395"/>
      <c r="IG49" s="395"/>
      <c r="IH49" s="395"/>
      <c r="II49" s="395"/>
      <c r="IJ49" s="395"/>
      <c r="IK49" s="395"/>
      <c r="IL49" s="395"/>
      <c r="IM49" s="395"/>
      <c r="IN49" s="395"/>
      <c r="IO49" s="395"/>
      <c r="IP49" s="395"/>
      <c r="IQ49" s="395"/>
      <c r="IR49" s="395"/>
      <c r="IS49" s="395"/>
      <c r="IT49" s="395"/>
      <c r="IU49" s="395"/>
      <c r="IV49" s="395"/>
      <c r="IW49" s="395"/>
    </row>
    <row r="50" customFormat="false" ht="12.75" hidden="false" customHeight="false" outlineLevel="0" collapsed="false">
      <c r="A50" s="323"/>
      <c r="B50" s="323"/>
      <c r="C50" s="395"/>
      <c r="D50" s="422"/>
      <c r="E50" s="422"/>
      <c r="F50" s="422"/>
      <c r="G50" s="422"/>
      <c r="H50" s="422"/>
      <c r="I50" s="422"/>
      <c r="J50" s="422"/>
      <c r="K50" s="422"/>
      <c r="L50" s="422"/>
      <c r="M50" s="422"/>
      <c r="N50" s="422"/>
      <c r="O50" s="422"/>
      <c r="P50" s="422"/>
      <c r="Q50" s="422"/>
      <c r="R50" s="422"/>
      <c r="S50" s="422"/>
      <c r="T50" s="422"/>
      <c r="U50" s="422"/>
      <c r="V50" s="422"/>
      <c r="W50" s="422"/>
      <c r="X50" s="422"/>
      <c r="Y50" s="422"/>
      <c r="Z50" s="422"/>
      <c r="AA50" s="395"/>
      <c r="AB50" s="395"/>
      <c r="AC50" s="395"/>
      <c r="AD50" s="395"/>
      <c r="AE50" s="395"/>
      <c r="AF50" s="395"/>
      <c r="AG50" s="395"/>
      <c r="AH50" s="395"/>
      <c r="AI50" s="395"/>
      <c r="AJ50" s="395"/>
      <c r="AK50" s="395"/>
      <c r="AL50" s="395"/>
      <c r="AM50" s="395"/>
      <c r="AN50" s="395"/>
      <c r="AO50" s="395"/>
      <c r="AP50" s="395"/>
      <c r="AQ50" s="395"/>
      <c r="AR50" s="395"/>
      <c r="AS50" s="395"/>
      <c r="AT50" s="395"/>
      <c r="AU50" s="395"/>
      <c r="AV50" s="395"/>
      <c r="AW50" s="395"/>
      <c r="AX50" s="395"/>
      <c r="AY50" s="395"/>
      <c r="AZ50" s="395"/>
      <c r="BA50" s="395"/>
      <c r="BB50" s="395"/>
      <c r="BC50" s="395"/>
      <c r="BD50" s="395"/>
      <c r="BE50" s="395"/>
      <c r="BF50" s="395"/>
      <c r="BG50" s="395"/>
      <c r="BH50" s="395"/>
      <c r="BI50" s="395"/>
      <c r="BJ50" s="395"/>
      <c r="BK50" s="395"/>
      <c r="BL50" s="395"/>
      <c r="BM50" s="395"/>
      <c r="BN50" s="395"/>
      <c r="BO50" s="395"/>
      <c r="BP50" s="395"/>
      <c r="BQ50" s="395"/>
      <c r="BR50" s="395"/>
      <c r="BS50" s="395"/>
      <c r="BT50" s="395"/>
      <c r="BU50" s="395"/>
      <c r="BV50" s="395"/>
      <c r="BW50" s="395"/>
      <c r="BX50" s="395"/>
      <c r="BY50" s="395"/>
      <c r="BZ50" s="395"/>
      <c r="CA50" s="395"/>
      <c r="CB50" s="395"/>
      <c r="CC50" s="395"/>
      <c r="CD50" s="395"/>
      <c r="CE50" s="395"/>
      <c r="CF50" s="395"/>
      <c r="CG50" s="395"/>
      <c r="CH50" s="395"/>
      <c r="CI50" s="395"/>
      <c r="CJ50" s="395"/>
      <c r="CK50" s="395"/>
      <c r="CL50" s="395"/>
      <c r="CM50" s="395"/>
      <c r="CN50" s="395"/>
      <c r="CO50" s="395"/>
      <c r="CP50" s="395"/>
      <c r="CQ50" s="395"/>
      <c r="CR50" s="395"/>
      <c r="CS50" s="395"/>
      <c r="CT50" s="395"/>
      <c r="CU50" s="395"/>
      <c r="CV50" s="395"/>
      <c r="CW50" s="395"/>
      <c r="CX50" s="395"/>
      <c r="CY50" s="395"/>
      <c r="CZ50" s="395"/>
      <c r="DA50" s="395"/>
      <c r="DB50" s="395"/>
      <c r="DC50" s="395"/>
      <c r="DD50" s="395"/>
      <c r="DE50" s="395"/>
      <c r="DF50" s="395"/>
      <c r="DG50" s="395"/>
      <c r="DH50" s="395"/>
      <c r="DI50" s="395"/>
      <c r="DJ50" s="395"/>
      <c r="DK50" s="395"/>
      <c r="DL50" s="395"/>
      <c r="DM50" s="395"/>
      <c r="DN50" s="395"/>
      <c r="DO50" s="395"/>
      <c r="DP50" s="395"/>
      <c r="DQ50" s="395"/>
      <c r="DR50" s="395"/>
      <c r="DS50" s="395"/>
      <c r="DT50" s="395"/>
      <c r="DU50" s="395"/>
      <c r="DV50" s="395"/>
      <c r="DW50" s="395"/>
      <c r="DX50" s="395"/>
      <c r="DY50" s="395"/>
      <c r="DZ50" s="395"/>
      <c r="EA50" s="395"/>
      <c r="EB50" s="395"/>
      <c r="EC50" s="395"/>
      <c r="ED50" s="395"/>
      <c r="EE50" s="395"/>
      <c r="EF50" s="395"/>
      <c r="EG50" s="395"/>
      <c r="EH50" s="395"/>
      <c r="EI50" s="395"/>
      <c r="EJ50" s="395"/>
      <c r="EK50" s="395"/>
      <c r="EL50" s="395"/>
      <c r="EM50" s="395"/>
      <c r="EN50" s="395"/>
      <c r="EO50" s="395"/>
      <c r="EP50" s="395"/>
      <c r="EQ50" s="395"/>
      <c r="ER50" s="395"/>
      <c r="ES50" s="395"/>
      <c r="ET50" s="395"/>
      <c r="EU50" s="395"/>
      <c r="EV50" s="395"/>
      <c r="EW50" s="395"/>
      <c r="EX50" s="395"/>
      <c r="EY50" s="395"/>
      <c r="EZ50" s="395"/>
      <c r="FA50" s="395"/>
      <c r="FB50" s="395"/>
      <c r="FC50" s="395"/>
      <c r="FD50" s="395"/>
      <c r="FE50" s="395"/>
      <c r="FF50" s="395"/>
      <c r="FG50" s="395"/>
      <c r="FH50" s="395"/>
      <c r="FI50" s="395"/>
      <c r="FJ50" s="395"/>
      <c r="FK50" s="395"/>
      <c r="FL50" s="395"/>
      <c r="FM50" s="395"/>
      <c r="FN50" s="395"/>
      <c r="FO50" s="395"/>
      <c r="FP50" s="395"/>
      <c r="FQ50" s="395"/>
      <c r="FR50" s="395"/>
      <c r="FS50" s="395"/>
      <c r="FT50" s="395"/>
      <c r="FU50" s="395"/>
      <c r="FV50" s="395"/>
      <c r="FW50" s="395"/>
      <c r="FX50" s="395"/>
      <c r="FY50" s="395"/>
      <c r="FZ50" s="395"/>
      <c r="GA50" s="395"/>
      <c r="GB50" s="395"/>
      <c r="GC50" s="395"/>
      <c r="GD50" s="395"/>
      <c r="GE50" s="395"/>
      <c r="GF50" s="395"/>
      <c r="GG50" s="395"/>
      <c r="GH50" s="395"/>
      <c r="GI50" s="395"/>
      <c r="GJ50" s="395"/>
      <c r="GK50" s="395"/>
      <c r="GL50" s="395"/>
      <c r="GM50" s="395"/>
      <c r="GN50" s="395"/>
      <c r="GO50" s="395"/>
      <c r="GP50" s="395"/>
      <c r="GQ50" s="395"/>
      <c r="GR50" s="395"/>
      <c r="GS50" s="395"/>
      <c r="GT50" s="395"/>
      <c r="GU50" s="395"/>
      <c r="GV50" s="395"/>
      <c r="GW50" s="395"/>
      <c r="GX50" s="395"/>
      <c r="GY50" s="395"/>
      <c r="GZ50" s="395"/>
      <c r="HA50" s="395"/>
      <c r="HB50" s="395"/>
      <c r="HC50" s="395"/>
      <c r="HD50" s="395"/>
      <c r="HE50" s="395"/>
      <c r="HF50" s="395"/>
      <c r="HG50" s="395"/>
      <c r="HH50" s="395"/>
      <c r="HI50" s="395"/>
      <c r="HJ50" s="395"/>
      <c r="HK50" s="395"/>
      <c r="HL50" s="395"/>
      <c r="HM50" s="395"/>
      <c r="HN50" s="395"/>
      <c r="HO50" s="395"/>
      <c r="HP50" s="395"/>
      <c r="HQ50" s="395"/>
      <c r="HR50" s="395"/>
      <c r="HS50" s="395"/>
      <c r="HT50" s="395"/>
      <c r="HU50" s="395"/>
      <c r="HV50" s="395"/>
      <c r="HW50" s="395"/>
      <c r="HX50" s="395"/>
      <c r="HY50" s="395"/>
      <c r="HZ50" s="395"/>
      <c r="IA50" s="395"/>
      <c r="IB50" s="395"/>
      <c r="IC50" s="395"/>
      <c r="ID50" s="395"/>
      <c r="IE50" s="395"/>
      <c r="IF50" s="395"/>
      <c r="IG50" s="395"/>
      <c r="IH50" s="395"/>
      <c r="II50" s="395"/>
      <c r="IJ50" s="395"/>
      <c r="IK50" s="395"/>
      <c r="IL50" s="395"/>
      <c r="IM50" s="395"/>
      <c r="IN50" s="395"/>
      <c r="IO50" s="395"/>
      <c r="IP50" s="395"/>
      <c r="IQ50" s="395"/>
      <c r="IR50" s="395"/>
      <c r="IS50" s="395"/>
      <c r="IT50" s="395"/>
      <c r="IU50" s="395"/>
      <c r="IV50" s="395"/>
      <c r="IW50" s="395"/>
    </row>
    <row r="51" customFormat="false" ht="12.75" hidden="false" customHeight="false" outlineLevel="0" collapsed="false">
      <c r="A51" s="327" t="s">
        <v>294</v>
      </c>
      <c r="C51" s="659" t="n">
        <f aca="false">Assumptions!$M$44</f>
        <v>0.05</v>
      </c>
      <c r="D51" s="115"/>
      <c r="E51" s="115" t="n">
        <f aca="false">E49*-$C$51</f>
        <v>-0</v>
      </c>
      <c r="F51" s="115" t="n">
        <f aca="false">F49*-$C$51</f>
        <v>-213.252072434712</v>
      </c>
      <c r="G51" s="115" t="n">
        <f aca="false">G49*-$C$51</f>
        <v>-176.036568187652</v>
      </c>
      <c r="H51" s="417" t="n">
        <f aca="false">H49*-$C$51</f>
        <v>-191.37099574089</v>
      </c>
      <c r="I51" s="115" t="n">
        <f aca="false">I49*-$C$51</f>
        <v>-699.192404025436</v>
      </c>
      <c r="J51" s="115" t="n">
        <f aca="false">J49*-$C$51</f>
        <v>-726.890281113685</v>
      </c>
      <c r="K51" s="115" t="n">
        <f aca="false">K49*-$C$51</f>
        <v>-761.966969778573</v>
      </c>
      <c r="L51" s="115" t="n">
        <f aca="false">L49*-$C$51</f>
        <v>-798.735255908451</v>
      </c>
      <c r="M51" s="115" t="n">
        <f aca="false">M49*-$C$51</f>
        <v>-870.232599567746</v>
      </c>
      <c r="N51" s="115" t="n">
        <f aca="false">N49*-$C$51</f>
        <v>-913.727175131322</v>
      </c>
      <c r="O51" s="115" t="n">
        <f aca="false">O49*-$C$51</f>
        <v>-996.785447127262</v>
      </c>
      <c r="P51" s="115" t="n">
        <f aca="false">P49*-$C$51</f>
        <v>-1004.52409956989</v>
      </c>
      <c r="Q51" s="115" t="n">
        <f aca="false">Q49*-$C$51</f>
        <v>-1087.95590908165</v>
      </c>
      <c r="R51" s="115" t="n">
        <f aca="false">R49*-$C$51</f>
        <v>-1139.14518825377</v>
      </c>
      <c r="S51" s="115" t="n">
        <f aca="false">S49*-$C$51</f>
        <v>-1192.32742387083</v>
      </c>
      <c r="T51" s="115" t="n">
        <f aca="false">T49*-$C$51</f>
        <v>-1247.09736105569</v>
      </c>
      <c r="U51" s="115" t="n">
        <f aca="false">U49*-$C$51</f>
        <v>-1305.63128880064</v>
      </c>
      <c r="V51" s="115" t="n">
        <f aca="false">V49*-$C$51</f>
        <v>-1366.34061260107</v>
      </c>
      <c r="W51" s="115" t="n">
        <f aca="false">W49*-$C$51</f>
        <v>-1426.11707801645</v>
      </c>
      <c r="X51" s="115" t="n">
        <f aca="false">X49*-$C$51</f>
        <v>-1477.15126861285</v>
      </c>
      <c r="Y51" s="115" t="n">
        <f aca="false">Y49*-$C$51</f>
        <v>-1519.66058324135</v>
      </c>
      <c r="Z51" s="115" t="n">
        <f aca="false">Z49*-$C$51</f>
        <v>-1560.81989336892</v>
      </c>
    </row>
    <row r="52" customFormat="false" ht="12.75" hidden="false" customHeight="false" outlineLevel="0" collapsed="false">
      <c r="A52" s="327" t="s">
        <v>295</v>
      </c>
      <c r="C52" s="659" t="n">
        <f aca="false">Assumptions!$M$43</f>
        <v>0.35</v>
      </c>
      <c r="D52" s="115"/>
      <c r="E52" s="115" t="n">
        <f aca="false">(E49+E51)*-$C$52</f>
        <v>-0</v>
      </c>
      <c r="F52" s="115" t="n">
        <f aca="false">(F49+F51)*-$C$52</f>
        <v>-1418.12628169084</v>
      </c>
      <c r="G52" s="115" t="n">
        <f aca="false">(G49+G51)*-$C$52</f>
        <v>-1170.64317844788</v>
      </c>
      <c r="H52" s="115" t="n">
        <f aca="false">(H49+H51)*-$C$52</f>
        <v>-1272.61712167692</v>
      </c>
      <c r="I52" s="115" t="n">
        <f aca="false">(I49+I51)*-$C$52</f>
        <v>-4649.62948676915</v>
      </c>
      <c r="J52" s="115" t="n">
        <f aca="false">(J49+J51)*-$C$52</f>
        <v>-4833.820369406</v>
      </c>
      <c r="K52" s="115" t="n">
        <f aca="false">(K49+K51)*-$C$52</f>
        <v>-5067.08034902751</v>
      </c>
      <c r="L52" s="115" t="n">
        <f aca="false">(L49+L51)*-$C$52</f>
        <v>-5311.5894517912</v>
      </c>
      <c r="M52" s="115" t="n">
        <f aca="false">(M49+M51)*-$C$52</f>
        <v>-5787.04678712551</v>
      </c>
      <c r="N52" s="115" t="n">
        <f aca="false">(N49+N51)*-$C$52</f>
        <v>-6076.28571462329</v>
      </c>
      <c r="O52" s="115" t="n">
        <f aca="false">(O49+O51)*-$C$52</f>
        <v>-6628.62322339629</v>
      </c>
      <c r="P52" s="115" t="n">
        <f aca="false">(P49+P51)*-$C$52</f>
        <v>-6680.08526213977</v>
      </c>
      <c r="Q52" s="115" t="n">
        <f aca="false">(Q49+Q51)*-$C$52</f>
        <v>-7234.90679539297</v>
      </c>
      <c r="R52" s="115" t="n">
        <f aca="false">(R49+R51)*-$C$52</f>
        <v>-7575.31550188755</v>
      </c>
      <c r="S52" s="115" t="n">
        <f aca="false">(S49+S51)*-$C$52</f>
        <v>-7928.97736874104</v>
      </c>
      <c r="T52" s="115" t="n">
        <f aca="false">(T49+T51)*-$C$52</f>
        <v>-8293.19745102033</v>
      </c>
      <c r="U52" s="115" t="n">
        <f aca="false">(U49+U51)*-$C$52</f>
        <v>-8682.44807052427</v>
      </c>
      <c r="V52" s="115" t="n">
        <f aca="false">(V49+V51)*-$C$52</f>
        <v>-9086.16507379713</v>
      </c>
      <c r="W52" s="115" t="n">
        <f aca="false">(W49+W51)*-$C$52</f>
        <v>-9483.67856880941</v>
      </c>
      <c r="X52" s="115" t="n">
        <f aca="false">(X49+X51)*-$C$52</f>
        <v>-9823.05593627548</v>
      </c>
      <c r="Y52" s="115" t="n">
        <f aca="false">(Y49+Y51)*-$C$52</f>
        <v>-10105.7428785549</v>
      </c>
      <c r="Z52" s="115" t="n">
        <f aca="false">(Z49+Z51)*-$C$52</f>
        <v>-10379.4522909033</v>
      </c>
    </row>
    <row r="53" customFormat="false" ht="6" hidden="false" customHeight="true" outlineLevel="0" collapsed="false"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</row>
    <row r="54" customFormat="false" ht="15.75" hidden="false" customHeight="false" outlineLevel="0" collapsed="false">
      <c r="A54" s="344" t="s">
        <v>468</v>
      </c>
      <c r="B54" s="344"/>
      <c r="C54" s="344"/>
      <c r="D54" s="661"/>
      <c r="E54" s="661" t="n">
        <f aca="false">SUM(E49:E52)</f>
        <v>0</v>
      </c>
      <c r="F54" s="661" t="n">
        <f aca="false">SUM(F49:F52)</f>
        <v>2633.66309456869</v>
      </c>
      <c r="G54" s="661" t="n">
        <f aca="false">SUM(G49:G52)</f>
        <v>2174.0516171175</v>
      </c>
      <c r="H54" s="661" t="n">
        <f aca="false">SUM(H49:H52)</f>
        <v>2363.43179739999</v>
      </c>
      <c r="I54" s="661" t="n">
        <f aca="false">SUM(I49:I52)</f>
        <v>8635.02618971413</v>
      </c>
      <c r="J54" s="661" t="n">
        <f aca="false">SUM(J49:J52)</f>
        <v>8977.09497175401</v>
      </c>
      <c r="K54" s="661" t="n">
        <f aca="false">SUM(K49:K52)</f>
        <v>9410.29207676538</v>
      </c>
      <c r="L54" s="661" t="n">
        <f aca="false">SUM(L49:L52)</f>
        <v>9864.38041046937</v>
      </c>
      <c r="M54" s="661" t="n">
        <f aca="false">SUM(M49:M52)</f>
        <v>10747.3726046617</v>
      </c>
      <c r="N54" s="661" t="n">
        <f aca="false">SUM(N49:N52)</f>
        <v>11284.5306128718</v>
      </c>
      <c r="O54" s="661" t="n">
        <f aca="false">SUM(O49:O52)</f>
        <v>12310.3002720217</v>
      </c>
      <c r="P54" s="661" t="n">
        <f aca="false">SUM(P49:P52)</f>
        <v>12405.8726296881</v>
      </c>
      <c r="Q54" s="661" t="n">
        <f aca="false">SUM(Q49:Q52)</f>
        <v>13436.2554771584</v>
      </c>
      <c r="R54" s="661" t="n">
        <f aca="false">SUM(R49:R52)</f>
        <v>14068.443074934</v>
      </c>
      <c r="S54" s="661" t="n">
        <f aca="false">SUM(S49:S52)</f>
        <v>14725.2436848048</v>
      </c>
      <c r="T54" s="661" t="n">
        <f aca="false">SUM(T49:T52)</f>
        <v>15401.6524090378</v>
      </c>
      <c r="U54" s="661" t="n">
        <f aca="false">SUM(U49:U52)</f>
        <v>16124.5464166879</v>
      </c>
      <c r="V54" s="661" t="n">
        <f aca="false">SUM(V49:V52)</f>
        <v>16874.3065656232</v>
      </c>
      <c r="W54" s="661" t="n">
        <f aca="false">SUM(W49:W52)</f>
        <v>17612.5459135032</v>
      </c>
      <c r="X54" s="661" t="n">
        <f aca="false">SUM(X49:X52)</f>
        <v>18242.8181673688</v>
      </c>
      <c r="Y54" s="661" t="n">
        <f aca="false">SUM(Y49:Y52)</f>
        <v>18767.8082030306</v>
      </c>
      <c r="Z54" s="661" t="n">
        <f aca="false">SUM(Z49:Z52)</f>
        <v>19276.1256831061</v>
      </c>
      <c r="AA54" s="662"/>
      <c r="AB54" s="662"/>
      <c r="AC54" s="662"/>
      <c r="AD54" s="662"/>
      <c r="AE54" s="662"/>
      <c r="AF54" s="662"/>
      <c r="AG54" s="662"/>
      <c r="AH54" s="662"/>
      <c r="AI54" s="662"/>
      <c r="AJ54" s="662"/>
      <c r="AK54" s="662"/>
      <c r="AL54" s="662"/>
      <c r="AM54" s="662"/>
      <c r="AN54" s="662"/>
      <c r="AO54" s="662"/>
      <c r="AP54" s="662"/>
      <c r="AQ54" s="662"/>
      <c r="AR54" s="662"/>
      <c r="AS54" s="662"/>
      <c r="AT54" s="662"/>
      <c r="AU54" s="662"/>
      <c r="AV54" s="662"/>
      <c r="AW54" s="662"/>
      <c r="AX54" s="662"/>
      <c r="AY54" s="662"/>
      <c r="AZ54" s="662"/>
      <c r="BA54" s="662"/>
      <c r="BB54" s="662"/>
      <c r="BC54" s="662"/>
      <c r="BD54" s="662"/>
      <c r="BE54" s="662"/>
      <c r="BF54" s="662"/>
      <c r="BG54" s="662"/>
      <c r="BH54" s="662"/>
      <c r="BI54" s="662"/>
      <c r="BJ54" s="662"/>
      <c r="BK54" s="662"/>
      <c r="BL54" s="662"/>
      <c r="BM54" s="662"/>
      <c r="BN54" s="662"/>
      <c r="BO54" s="662"/>
      <c r="BP54" s="662"/>
      <c r="BQ54" s="662"/>
      <c r="BR54" s="662"/>
      <c r="BS54" s="662"/>
      <c r="BT54" s="662"/>
      <c r="BU54" s="662"/>
      <c r="BV54" s="662"/>
      <c r="BW54" s="662"/>
      <c r="BX54" s="662"/>
      <c r="BY54" s="662"/>
      <c r="BZ54" s="662"/>
      <c r="CA54" s="662"/>
      <c r="CB54" s="662"/>
      <c r="CC54" s="662"/>
      <c r="CD54" s="662"/>
      <c r="CE54" s="662"/>
      <c r="CF54" s="662"/>
      <c r="CG54" s="662"/>
      <c r="CH54" s="662"/>
      <c r="CI54" s="662"/>
      <c r="CJ54" s="662"/>
      <c r="CK54" s="662"/>
      <c r="CL54" s="662"/>
      <c r="CM54" s="662"/>
      <c r="CN54" s="662"/>
      <c r="CO54" s="662"/>
      <c r="CP54" s="662"/>
      <c r="CQ54" s="662"/>
      <c r="CR54" s="662"/>
      <c r="CS54" s="662"/>
      <c r="CT54" s="662"/>
      <c r="CU54" s="662"/>
      <c r="CV54" s="662"/>
      <c r="CW54" s="662"/>
      <c r="CX54" s="662"/>
      <c r="CY54" s="662"/>
      <c r="CZ54" s="662"/>
      <c r="DA54" s="662"/>
      <c r="DB54" s="662"/>
      <c r="DC54" s="662"/>
      <c r="DD54" s="662"/>
      <c r="DE54" s="662"/>
      <c r="DF54" s="662"/>
      <c r="DG54" s="662"/>
      <c r="DH54" s="662"/>
      <c r="DI54" s="662"/>
      <c r="DJ54" s="662"/>
      <c r="DK54" s="662"/>
      <c r="DL54" s="662"/>
      <c r="DM54" s="662"/>
      <c r="DN54" s="662"/>
      <c r="DO54" s="662"/>
      <c r="DP54" s="662"/>
      <c r="DQ54" s="662"/>
      <c r="DR54" s="662"/>
      <c r="DS54" s="662"/>
      <c r="DT54" s="662"/>
      <c r="DU54" s="662"/>
      <c r="DV54" s="662"/>
      <c r="DW54" s="662"/>
      <c r="DX54" s="662"/>
      <c r="DY54" s="662"/>
      <c r="DZ54" s="662"/>
      <c r="EA54" s="662"/>
      <c r="EB54" s="662"/>
      <c r="EC54" s="662"/>
      <c r="ED54" s="662"/>
      <c r="EE54" s="662"/>
      <c r="EF54" s="662"/>
      <c r="EG54" s="662"/>
      <c r="EH54" s="662"/>
      <c r="EI54" s="662"/>
      <c r="EJ54" s="662"/>
      <c r="EK54" s="662"/>
      <c r="EL54" s="662"/>
      <c r="EM54" s="662"/>
      <c r="EN54" s="662"/>
      <c r="EO54" s="662"/>
      <c r="EP54" s="662"/>
      <c r="EQ54" s="662"/>
      <c r="ER54" s="662"/>
      <c r="ES54" s="662"/>
      <c r="ET54" s="662"/>
      <c r="EU54" s="662"/>
      <c r="EV54" s="662"/>
      <c r="EW54" s="662"/>
      <c r="EX54" s="662"/>
      <c r="EY54" s="662"/>
      <c r="EZ54" s="662"/>
      <c r="FA54" s="662"/>
      <c r="FB54" s="662"/>
      <c r="FC54" s="662"/>
      <c r="FD54" s="662"/>
      <c r="FE54" s="662"/>
      <c r="FF54" s="662"/>
      <c r="FG54" s="662"/>
      <c r="FH54" s="662"/>
      <c r="FI54" s="662"/>
      <c r="FJ54" s="662"/>
      <c r="FK54" s="662"/>
      <c r="FL54" s="662"/>
      <c r="FM54" s="662"/>
      <c r="FN54" s="662"/>
      <c r="FO54" s="662"/>
      <c r="FP54" s="662"/>
      <c r="FQ54" s="662"/>
      <c r="FR54" s="662"/>
      <c r="FS54" s="662"/>
      <c r="FT54" s="662"/>
      <c r="FU54" s="662"/>
      <c r="FV54" s="662"/>
      <c r="FW54" s="662"/>
      <c r="FX54" s="662"/>
      <c r="FY54" s="662"/>
      <c r="FZ54" s="662"/>
      <c r="GA54" s="662"/>
      <c r="GB54" s="662"/>
      <c r="GC54" s="662"/>
      <c r="GD54" s="662"/>
      <c r="GE54" s="662"/>
      <c r="GF54" s="662"/>
      <c r="GG54" s="662"/>
      <c r="GH54" s="662"/>
      <c r="GI54" s="662"/>
      <c r="GJ54" s="662"/>
      <c r="GK54" s="662"/>
      <c r="GL54" s="662"/>
      <c r="GM54" s="662"/>
      <c r="GN54" s="662"/>
      <c r="GO54" s="662"/>
      <c r="GP54" s="662"/>
      <c r="GQ54" s="662"/>
      <c r="GR54" s="662"/>
      <c r="GS54" s="662"/>
      <c r="GT54" s="662"/>
      <c r="GU54" s="662"/>
      <c r="GV54" s="662"/>
      <c r="GW54" s="662"/>
      <c r="GX54" s="662"/>
      <c r="GY54" s="662"/>
      <c r="GZ54" s="662"/>
      <c r="HA54" s="662"/>
      <c r="HB54" s="662"/>
      <c r="HC54" s="662"/>
      <c r="HD54" s="662"/>
      <c r="HE54" s="662"/>
      <c r="HF54" s="662"/>
      <c r="HG54" s="662"/>
      <c r="HH54" s="662"/>
      <c r="HI54" s="662"/>
      <c r="HJ54" s="662"/>
      <c r="HK54" s="662"/>
      <c r="HL54" s="662"/>
      <c r="HM54" s="662"/>
      <c r="HN54" s="662"/>
      <c r="HO54" s="662"/>
      <c r="HP54" s="662"/>
      <c r="HQ54" s="662"/>
      <c r="HR54" s="662"/>
      <c r="HS54" s="662"/>
      <c r="HT54" s="662"/>
      <c r="HU54" s="662"/>
      <c r="HV54" s="662"/>
      <c r="HW54" s="662"/>
      <c r="HX54" s="662"/>
      <c r="HY54" s="662"/>
      <c r="HZ54" s="662"/>
      <c r="IA54" s="662"/>
      <c r="IB54" s="662"/>
      <c r="IC54" s="662"/>
      <c r="ID54" s="662"/>
      <c r="IE54" s="662"/>
      <c r="IF54" s="662"/>
      <c r="IG54" s="662"/>
      <c r="IH54" s="662"/>
      <c r="II54" s="662"/>
      <c r="IJ54" s="662"/>
      <c r="IK54" s="662"/>
      <c r="IL54" s="662"/>
      <c r="IM54" s="662"/>
      <c r="IN54" s="662"/>
      <c r="IO54" s="662"/>
      <c r="IP54" s="662"/>
      <c r="IQ54" s="662"/>
      <c r="IR54" s="662"/>
      <c r="IS54" s="662"/>
      <c r="IT54" s="662"/>
      <c r="IU54" s="662"/>
      <c r="IV54" s="662"/>
      <c r="IW54" s="662"/>
    </row>
    <row r="55" customFormat="false" ht="9" hidden="false" customHeight="false" outlineLevel="1" collapsed="false">
      <c r="A55" s="331"/>
      <c r="B55" s="654" t="n">
        <f aca="false">SUM(I55:Z55)</f>
        <v>0</v>
      </c>
      <c r="C55" s="654"/>
      <c r="D55" s="331"/>
      <c r="E55" s="331"/>
      <c r="F55" s="663"/>
      <c r="G55" s="663"/>
      <c r="H55" s="663"/>
      <c r="I55" s="663"/>
      <c r="J55" s="663"/>
      <c r="K55" s="663"/>
      <c r="L55" s="663"/>
      <c r="M55" s="663"/>
      <c r="N55" s="663"/>
      <c r="O55" s="663"/>
      <c r="P55" s="663"/>
      <c r="Q55" s="663"/>
      <c r="R55" s="663"/>
      <c r="S55" s="663"/>
      <c r="T55" s="663"/>
      <c r="U55" s="663"/>
      <c r="V55" s="663"/>
      <c r="W55" s="663"/>
      <c r="X55" s="663"/>
      <c r="Y55" s="663"/>
      <c r="Z55" s="663"/>
      <c r="AA55" s="653"/>
      <c r="AB55" s="653"/>
      <c r="AC55" s="653"/>
      <c r="AD55" s="653"/>
      <c r="AE55" s="653"/>
      <c r="AF55" s="653"/>
      <c r="AG55" s="653"/>
      <c r="AH55" s="653"/>
      <c r="AI55" s="653"/>
      <c r="AJ55" s="653"/>
      <c r="AK55" s="653"/>
      <c r="AL55" s="653"/>
      <c r="AM55" s="653"/>
      <c r="AN55" s="653"/>
      <c r="AO55" s="653"/>
      <c r="AP55" s="653"/>
      <c r="AQ55" s="653"/>
      <c r="AR55" s="653"/>
      <c r="AS55" s="653"/>
      <c r="AT55" s="653"/>
      <c r="AU55" s="653"/>
      <c r="AV55" s="653"/>
      <c r="AW55" s="653"/>
      <c r="AX55" s="653"/>
      <c r="AY55" s="653"/>
      <c r="AZ55" s="653"/>
      <c r="BA55" s="653"/>
      <c r="BB55" s="653"/>
      <c r="BC55" s="653"/>
      <c r="BD55" s="653"/>
      <c r="BE55" s="653"/>
      <c r="BF55" s="653"/>
      <c r="BG55" s="653"/>
      <c r="BH55" s="653"/>
      <c r="BI55" s="653"/>
      <c r="BJ55" s="653"/>
      <c r="BK55" s="653"/>
      <c r="BL55" s="653"/>
      <c r="BM55" s="653"/>
      <c r="BN55" s="653"/>
      <c r="BO55" s="653"/>
      <c r="BP55" s="653"/>
      <c r="BQ55" s="653"/>
      <c r="BR55" s="653"/>
      <c r="BS55" s="653"/>
      <c r="BT55" s="653"/>
      <c r="BU55" s="653"/>
      <c r="BV55" s="653"/>
      <c r="BW55" s="653"/>
      <c r="BX55" s="653"/>
      <c r="BY55" s="653"/>
      <c r="BZ55" s="653"/>
      <c r="CA55" s="653"/>
      <c r="CB55" s="653"/>
      <c r="CC55" s="653"/>
      <c r="CD55" s="653"/>
      <c r="CE55" s="653"/>
      <c r="CF55" s="653"/>
      <c r="CG55" s="653"/>
      <c r="CH55" s="653"/>
      <c r="CI55" s="653"/>
      <c r="CJ55" s="653"/>
      <c r="CK55" s="653"/>
      <c r="CL55" s="653"/>
      <c r="CM55" s="653"/>
      <c r="CN55" s="653"/>
      <c r="CO55" s="653"/>
      <c r="CP55" s="653"/>
      <c r="CQ55" s="653"/>
      <c r="CR55" s="653"/>
      <c r="CS55" s="653"/>
      <c r="CT55" s="653"/>
      <c r="CU55" s="653"/>
      <c r="CV55" s="653"/>
      <c r="CW55" s="653"/>
      <c r="CX55" s="653"/>
      <c r="CY55" s="653"/>
      <c r="CZ55" s="653"/>
      <c r="DA55" s="653"/>
      <c r="DB55" s="653"/>
      <c r="DC55" s="653"/>
      <c r="DD55" s="653"/>
      <c r="DE55" s="653"/>
      <c r="DF55" s="653"/>
      <c r="DG55" s="653"/>
      <c r="DH55" s="653"/>
      <c r="DI55" s="653"/>
      <c r="DJ55" s="653"/>
      <c r="DK55" s="653"/>
      <c r="DL55" s="653"/>
      <c r="DM55" s="653"/>
      <c r="DN55" s="653"/>
      <c r="DO55" s="653"/>
      <c r="DP55" s="653"/>
      <c r="DQ55" s="653"/>
      <c r="DR55" s="653"/>
      <c r="DS55" s="653"/>
      <c r="DT55" s="653"/>
      <c r="DU55" s="653"/>
      <c r="DV55" s="653"/>
      <c r="DW55" s="653"/>
      <c r="DX55" s="653"/>
      <c r="DY55" s="653"/>
      <c r="DZ55" s="653"/>
      <c r="EA55" s="653"/>
      <c r="EB55" s="653"/>
      <c r="EC55" s="653"/>
      <c r="ED55" s="653"/>
      <c r="EE55" s="653"/>
      <c r="EF55" s="653"/>
      <c r="EG55" s="653"/>
      <c r="EH55" s="653"/>
      <c r="EI55" s="653"/>
      <c r="EJ55" s="653"/>
      <c r="EK55" s="653"/>
      <c r="EL55" s="653"/>
      <c r="EM55" s="653"/>
      <c r="EN55" s="653"/>
      <c r="EO55" s="653"/>
      <c r="EP55" s="653"/>
      <c r="EQ55" s="653"/>
      <c r="ER55" s="653"/>
      <c r="ES55" s="653"/>
      <c r="ET55" s="653"/>
      <c r="EU55" s="653"/>
      <c r="EV55" s="653"/>
      <c r="EW55" s="653"/>
      <c r="EX55" s="653"/>
      <c r="EY55" s="653"/>
      <c r="EZ55" s="653"/>
      <c r="FA55" s="653"/>
      <c r="FB55" s="653"/>
      <c r="FC55" s="653"/>
      <c r="FD55" s="653"/>
      <c r="FE55" s="653"/>
      <c r="FF55" s="653"/>
      <c r="FG55" s="653"/>
      <c r="FH55" s="653"/>
      <c r="FI55" s="653"/>
      <c r="FJ55" s="653"/>
      <c r="FK55" s="653"/>
      <c r="FL55" s="653"/>
      <c r="FM55" s="653"/>
      <c r="FN55" s="653"/>
      <c r="FO55" s="653"/>
      <c r="FP55" s="653"/>
      <c r="FQ55" s="653"/>
      <c r="FR55" s="653"/>
      <c r="FS55" s="653"/>
      <c r="FT55" s="653"/>
      <c r="FU55" s="653"/>
      <c r="FV55" s="653"/>
      <c r="FW55" s="653"/>
      <c r="FX55" s="653"/>
      <c r="FY55" s="653"/>
      <c r="FZ55" s="653"/>
      <c r="GA55" s="653"/>
      <c r="GB55" s="653"/>
      <c r="GC55" s="653"/>
      <c r="GD55" s="653"/>
      <c r="GE55" s="653"/>
      <c r="GF55" s="653"/>
      <c r="GG55" s="653"/>
      <c r="GH55" s="653"/>
      <c r="GI55" s="653"/>
      <c r="GJ55" s="653"/>
      <c r="GK55" s="653"/>
      <c r="GL55" s="653"/>
      <c r="GM55" s="653"/>
      <c r="GN55" s="653"/>
      <c r="GO55" s="653"/>
      <c r="GP55" s="653"/>
      <c r="GQ55" s="653"/>
      <c r="GR55" s="653"/>
      <c r="GS55" s="653"/>
      <c r="GT55" s="653"/>
      <c r="GU55" s="653"/>
      <c r="GV55" s="653"/>
      <c r="GW55" s="653"/>
      <c r="GX55" s="653"/>
      <c r="GY55" s="653"/>
      <c r="GZ55" s="653"/>
      <c r="HA55" s="653"/>
      <c r="HB55" s="653"/>
      <c r="HC55" s="653"/>
      <c r="HD55" s="653"/>
      <c r="HE55" s="653"/>
      <c r="HF55" s="653"/>
      <c r="HG55" s="653"/>
      <c r="HH55" s="653"/>
      <c r="HI55" s="653"/>
      <c r="HJ55" s="653"/>
      <c r="HK55" s="653"/>
      <c r="HL55" s="653"/>
      <c r="HM55" s="653"/>
      <c r="HN55" s="653"/>
      <c r="HO55" s="653"/>
      <c r="HP55" s="653"/>
      <c r="HQ55" s="653"/>
      <c r="HR55" s="653"/>
      <c r="HS55" s="653"/>
      <c r="HT55" s="653"/>
      <c r="HU55" s="653"/>
      <c r="HV55" s="653"/>
      <c r="HW55" s="653"/>
      <c r="HX55" s="653"/>
      <c r="HY55" s="653"/>
      <c r="HZ55" s="653"/>
      <c r="IA55" s="653"/>
      <c r="IB55" s="653"/>
      <c r="IC55" s="653"/>
      <c r="ID55" s="653"/>
      <c r="IE55" s="653"/>
      <c r="IF55" s="653"/>
      <c r="IG55" s="653"/>
      <c r="IH55" s="653"/>
      <c r="II55" s="653"/>
      <c r="IJ55" s="653"/>
      <c r="IK55" s="653"/>
      <c r="IL55" s="653"/>
      <c r="IM55" s="653"/>
      <c r="IN55" s="653"/>
      <c r="IO55" s="653"/>
      <c r="IP55" s="653"/>
      <c r="IQ55" s="653"/>
      <c r="IR55" s="653"/>
      <c r="IS55" s="653"/>
      <c r="IT55" s="653"/>
      <c r="IU55" s="653"/>
      <c r="IV55" s="653"/>
      <c r="IW55" s="653"/>
    </row>
    <row r="56" customFormat="false" ht="12.75" hidden="false" customHeight="false" outlineLevel="0" collapsed="false">
      <c r="A56" s="323"/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</row>
    <row r="57" customFormat="false" ht="12.75" hidden="false" customHeight="false" outlineLevel="1" collapsed="false">
      <c r="A57" s="367"/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</row>
    <row r="58" customFormat="false" ht="18.75" hidden="false" customHeight="false" outlineLevel="1" collapsed="false">
      <c r="A58" s="356" t="s">
        <v>469</v>
      </c>
      <c r="D58" s="102"/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</row>
    <row r="59" customFormat="false" ht="12.75" hidden="false" customHeight="false" outlineLevel="1" collapsed="false">
      <c r="A59" s="323"/>
      <c r="D59" s="102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</row>
    <row r="60" customFormat="false" ht="12.75" hidden="false" customHeight="true" outlineLevel="1" collapsed="false">
      <c r="A60" s="323" t="s">
        <v>460</v>
      </c>
      <c r="B60" s="664"/>
      <c r="C60" s="665" t="n">
        <f aca="false">Assumptions!B13</f>
        <v>0.5</v>
      </c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</row>
    <row r="61" customFormat="false" ht="12.75" hidden="false" customHeight="true" outlineLevel="1" collapsed="false">
      <c r="A61" s="323"/>
      <c r="D61" s="102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</row>
    <row r="62" customFormat="false" ht="13.5" hidden="false" customHeight="false" outlineLevel="1" collapsed="false">
      <c r="A62" s="319" t="s">
        <v>269</v>
      </c>
      <c r="B62" s="359"/>
      <c r="C62" s="359"/>
      <c r="D62" s="320"/>
      <c r="E62" s="320" t="n">
        <v>1999</v>
      </c>
      <c r="F62" s="320" t="n">
        <f aca="false">E62+1</f>
        <v>2000</v>
      </c>
      <c r="G62" s="320" t="n">
        <f aca="false">F62+1</f>
        <v>2001</v>
      </c>
      <c r="H62" s="320" t="n">
        <f aca="false">G62+1</f>
        <v>2002</v>
      </c>
      <c r="I62" s="320" t="n">
        <f aca="false">H62+1</f>
        <v>2003</v>
      </c>
      <c r="J62" s="320" t="n">
        <f aca="false">I62+1</f>
        <v>2004</v>
      </c>
      <c r="K62" s="320" t="n">
        <f aca="false">J62+1</f>
        <v>2005</v>
      </c>
      <c r="L62" s="320" t="n">
        <f aca="false">K62+1</f>
        <v>2006</v>
      </c>
      <c r="M62" s="320" t="n">
        <f aca="false">L62+1</f>
        <v>2007</v>
      </c>
      <c r="N62" s="320" t="n">
        <f aca="false">M62+1</f>
        <v>2008</v>
      </c>
      <c r="O62" s="320" t="n">
        <f aca="false">N62+1</f>
        <v>2009</v>
      </c>
      <c r="P62" s="320" t="n">
        <f aca="false">O62+1</f>
        <v>2010</v>
      </c>
      <c r="Q62" s="320" t="n">
        <f aca="false">P62+1</f>
        <v>2011</v>
      </c>
      <c r="R62" s="320" t="n">
        <f aca="false">Q62+1</f>
        <v>2012</v>
      </c>
      <c r="S62" s="320" t="n">
        <f aca="false">R62+1</f>
        <v>2013</v>
      </c>
      <c r="T62" s="320" t="n">
        <f aca="false">S62+1</f>
        <v>2014</v>
      </c>
      <c r="U62" s="320" t="n">
        <f aca="false">T62+1</f>
        <v>2015</v>
      </c>
      <c r="V62" s="320" t="n">
        <f aca="false">U62+1</f>
        <v>2016</v>
      </c>
      <c r="W62" s="320" t="n">
        <f aca="false">V62+1</f>
        <v>2017</v>
      </c>
      <c r="X62" s="320" t="n">
        <f aca="false">W62+1</f>
        <v>2018</v>
      </c>
      <c r="Y62" s="320" t="n">
        <f aca="false">X62+1</f>
        <v>2019</v>
      </c>
      <c r="Z62" s="320" t="n">
        <f aca="false">Y62+1</f>
        <v>2020</v>
      </c>
    </row>
    <row r="63" customFormat="false" ht="12.75" hidden="false" customHeight="false" outlineLevel="1" collapsed="false">
      <c r="A63" s="366"/>
      <c r="D63" s="102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</row>
    <row r="64" customFormat="false" ht="12.75" hidden="false" customHeight="false" outlineLevel="1" collapsed="false">
      <c r="A64" s="367" t="s">
        <v>289</v>
      </c>
      <c r="D64" s="368"/>
      <c r="E64" s="368" t="n">
        <f aca="false">E39</f>
        <v>0</v>
      </c>
      <c r="F64" s="368" t="n">
        <f aca="false">F39</f>
        <v>19029.2844632018</v>
      </c>
      <c r="G64" s="368" t="n">
        <f aca="false">G39</f>
        <v>19442.801852676</v>
      </c>
      <c r="H64" s="368" t="n">
        <f aca="false">H39</f>
        <v>19397.7143276253</v>
      </c>
      <c r="I64" s="368" t="n">
        <f aca="false">I39</f>
        <v>29208.1303855536</v>
      </c>
      <c r="J64" s="368" t="n">
        <f aca="false">J39</f>
        <v>29534.4844370245</v>
      </c>
      <c r="K64" s="368" t="n">
        <f aca="false">K39</f>
        <v>29852.7556254888</v>
      </c>
      <c r="L64" s="368" t="n">
        <f aca="false">L39</f>
        <v>30167.701025959</v>
      </c>
      <c r="M64" s="368" t="n">
        <f aca="false">M39</f>
        <v>31111.9387740518</v>
      </c>
      <c r="N64" s="368" t="n">
        <f aca="false">N39</f>
        <v>31425.8862358279</v>
      </c>
      <c r="O64" s="368" t="n">
        <f aca="false">O39</f>
        <v>32412.4007117682</v>
      </c>
      <c r="P64" s="368" t="n">
        <f aca="false">P39</f>
        <v>31971.2395731913</v>
      </c>
      <c r="Q64" s="368" t="n">
        <f aca="false">Q39</f>
        <v>33067.6504568838</v>
      </c>
      <c r="R64" s="368" t="n">
        <f aca="false">R39</f>
        <v>33459.2751382173</v>
      </c>
      <c r="S64" s="368" t="n">
        <f aca="false">S39</f>
        <v>33841.8316599634</v>
      </c>
      <c r="T64" s="368" t="n">
        <f aca="false">T39</f>
        <v>34209.880178355</v>
      </c>
      <c r="U64" s="368" t="n">
        <f aca="false">U39</f>
        <v>34592.7861312401</v>
      </c>
      <c r="V64" s="368" t="n">
        <f aca="false">V39</f>
        <v>34986.4045022071</v>
      </c>
      <c r="W64" s="368" t="n">
        <f aca="false">W39</f>
        <v>35368.8736600775</v>
      </c>
      <c r="X64" s="368" t="n">
        <f aca="false">X39</f>
        <v>35646.5393042821</v>
      </c>
      <c r="Y64" s="368" t="n">
        <f aca="false">Y39</f>
        <v>35852.8507668674</v>
      </c>
      <c r="Z64" s="368" t="n">
        <f aca="false">Z39</f>
        <v>36335.0807886787</v>
      </c>
    </row>
    <row r="65" customFormat="false" ht="12.75" hidden="false" customHeight="false" outlineLevel="1" collapsed="false">
      <c r="A65" s="367" t="s">
        <v>461</v>
      </c>
      <c r="D65" s="102"/>
      <c r="E65" s="102" t="n">
        <v>0</v>
      </c>
      <c r="F65" s="102" t="n">
        <v>0</v>
      </c>
      <c r="G65" s="102" t="n">
        <v>0</v>
      </c>
      <c r="H65" s="102" t="n">
        <v>0</v>
      </c>
      <c r="I65" s="102" t="n">
        <v>0</v>
      </c>
      <c r="J65" s="102" t="n">
        <v>0</v>
      </c>
      <c r="K65" s="102" t="n">
        <v>0</v>
      </c>
      <c r="L65" s="102" t="n">
        <v>0</v>
      </c>
      <c r="M65" s="102" t="n">
        <v>0</v>
      </c>
      <c r="N65" s="102" t="n">
        <v>0</v>
      </c>
      <c r="O65" s="102" t="n">
        <v>0</v>
      </c>
      <c r="P65" s="102" t="n">
        <v>0</v>
      </c>
      <c r="Q65" s="102" t="n">
        <v>0</v>
      </c>
      <c r="R65" s="102" t="n">
        <v>0</v>
      </c>
      <c r="S65" s="102" t="n">
        <v>0</v>
      </c>
      <c r="T65" s="102" t="n">
        <v>0</v>
      </c>
      <c r="U65" s="102" t="n">
        <v>0</v>
      </c>
      <c r="V65" s="102" t="n">
        <v>0</v>
      </c>
      <c r="W65" s="102" t="n">
        <v>0</v>
      </c>
      <c r="X65" s="102" t="n">
        <v>0</v>
      </c>
      <c r="Y65" s="102" t="n">
        <v>0</v>
      </c>
      <c r="Z65" s="102" t="n">
        <v>0</v>
      </c>
    </row>
    <row r="66" customFormat="false" ht="12.75" hidden="false" customHeight="false" outlineLevel="1" collapsed="false">
      <c r="A66" s="367" t="s">
        <v>338</v>
      </c>
      <c r="D66" s="666"/>
      <c r="E66" s="666" t="n">
        <f aca="false">Allocation!$I$8*CF!D15</f>
        <v>0</v>
      </c>
      <c r="F66" s="666" t="n">
        <f aca="false">Allocation!$K$8*(CF!E16+CF!E15)+Allocation!$I$8*(CF!G16+CF!G15-CF!G14)</f>
        <v>-11373.3026018417</v>
      </c>
      <c r="G66" s="666" t="n">
        <f aca="false">Allocation!$I$8*(CF!H16+CF!H15)</f>
        <v>-14844.769261634</v>
      </c>
      <c r="H66" s="666" t="n">
        <f aca="false">Allocation!$I$8*(CF!I16+CF!I15)</f>
        <v>-14756.6482283445</v>
      </c>
      <c r="I66" s="666" t="n">
        <f aca="false">Allocation!$I$8*(CF!J16+CF!J15)</f>
        <v>-13118.7264107348</v>
      </c>
      <c r="J66" s="666" t="n">
        <f aca="false">Allocation!$I$8*(CF!K16+CF!K15)</f>
        <v>-13282.5932332422</v>
      </c>
      <c r="K66" s="666" t="n">
        <f aca="false">Allocation!$I$8*(CF!L16+CF!L15)</f>
        <v>-13518.8094596567</v>
      </c>
      <c r="L66" s="666" t="n">
        <f aca="false">Allocation!$I$8*(CF!M16+CF!M15)</f>
        <v>-13606.6794441943</v>
      </c>
      <c r="M66" s="666" t="n">
        <f aca="false">Allocation!$I$8*(CF!N16+CF!N15)</f>
        <v>-13915.1739232652</v>
      </c>
      <c r="N66" s="666" t="n">
        <f aca="false">Allocation!$I$8*(CF!O16+CF!O15)</f>
        <v>-14089.8971896006</v>
      </c>
      <c r="O66" s="666" t="n">
        <f aca="false">Allocation!$I$8*(CF!P16+CF!P15)</f>
        <v>-14374.369384436</v>
      </c>
      <c r="P66" s="666" t="n">
        <f aca="false">Allocation!$I$8*(CF!Q16+CF!Q15)</f>
        <v>-12531.9205305622</v>
      </c>
      <c r="Q66" s="666" t="n">
        <f aca="false">Allocation!$I$8*(CF!R16+CF!R15)</f>
        <v>-11972.6244655311</v>
      </c>
      <c r="R66" s="666" t="n">
        <f aca="false">Allocation!$I$8*(CF!S16+CF!S15)</f>
        <v>-11942.1990104383</v>
      </c>
      <c r="S66" s="666" t="n">
        <f aca="false">Allocation!$I$8*(CF!T16+CF!T15)</f>
        <v>-11694.1377712326</v>
      </c>
      <c r="T66" s="666" t="n">
        <f aca="false">Allocation!$I$8*(CF!U16+CF!U15)</f>
        <v>-11444.1907366595</v>
      </c>
      <c r="U66" s="666" t="n">
        <f aca="false">Allocation!$I$8*(CF!V16+CF!V15)</f>
        <v>-11324.0340950404</v>
      </c>
      <c r="V66" s="666" t="n">
        <f aca="false">Allocation!$I$8*(CF!W16+CF!W15)</f>
        <v>-10661.5807338497</v>
      </c>
      <c r="W66" s="666" t="n">
        <f aca="false">Allocation!$I$8*(CF!X16+CF!X15)</f>
        <v>-9656.84614085202</v>
      </c>
      <c r="X66" s="666" t="n">
        <f aca="false">Allocation!$I$8*(CF!Y16+CF!Y15)</f>
        <v>-7959.05642937903</v>
      </c>
      <c r="Y66" s="666" t="n">
        <f aca="false">Allocation!$I$8*(CF!Z16+CF!Z15)</f>
        <v>-6305.44699592994</v>
      </c>
      <c r="Z66" s="666" t="n">
        <f aca="false">Allocation!$I$8*(CF!AA16+CF!AA15)</f>
        <v>-0</v>
      </c>
    </row>
    <row r="67" customFormat="false" ht="12.75" hidden="false" customHeight="false" outlineLevel="1" collapsed="false">
      <c r="A67" s="366" t="s">
        <v>308</v>
      </c>
      <c r="B67" s="323"/>
      <c r="C67" s="323"/>
      <c r="D67" s="667"/>
      <c r="E67" s="667" t="n">
        <f aca="false">SUM(E64:E66)</f>
        <v>0</v>
      </c>
      <c r="F67" s="667" t="n">
        <f aca="false">SUM(F64:F66)</f>
        <v>7655.9818613601</v>
      </c>
      <c r="G67" s="667" t="n">
        <f aca="false">SUM(G64:G66)</f>
        <v>4598.03259104194</v>
      </c>
      <c r="H67" s="667" t="n">
        <f aca="false">SUM(H64:H66)</f>
        <v>4641.06609928076</v>
      </c>
      <c r="I67" s="667" t="n">
        <f aca="false">SUM(I64:I66)</f>
        <v>16089.4039748188</v>
      </c>
      <c r="J67" s="667" t="n">
        <f aca="false">SUM(J64:J66)</f>
        <v>16251.8912037822</v>
      </c>
      <c r="K67" s="667" t="n">
        <f aca="false">SUM(K64:K66)</f>
        <v>16333.9461658321</v>
      </c>
      <c r="L67" s="667" t="n">
        <f aca="false">SUM(L64:L66)</f>
        <v>16561.0215817647</v>
      </c>
      <c r="M67" s="667" t="n">
        <f aca="false">SUM(M64:M66)</f>
        <v>17196.7648507866</v>
      </c>
      <c r="N67" s="667" t="n">
        <f aca="false">SUM(N64:N66)</f>
        <v>17335.9890462273</v>
      </c>
      <c r="O67" s="667" t="n">
        <f aca="false">SUM(O64:O66)</f>
        <v>18038.0313273322</v>
      </c>
      <c r="P67" s="667" t="n">
        <f aca="false">SUM(P64:P66)</f>
        <v>19439.3190426291</v>
      </c>
      <c r="Q67" s="667" t="n">
        <f aca="false">SUM(Q64:Q66)</f>
        <v>21095.0259913526</v>
      </c>
      <c r="R67" s="667" t="n">
        <f aca="false">SUM(R64:R66)</f>
        <v>21517.076127779</v>
      </c>
      <c r="S67" s="667" t="n">
        <f aca="false">SUM(S64:S66)</f>
        <v>22147.6938887308</v>
      </c>
      <c r="T67" s="667" t="n">
        <f aca="false">SUM(T64:T66)</f>
        <v>22765.6894416955</v>
      </c>
      <c r="U67" s="667" t="n">
        <f aca="false">SUM(U64:U66)</f>
        <v>23268.7520361997</v>
      </c>
      <c r="V67" s="667" t="n">
        <f aca="false">SUM(V64:V66)</f>
        <v>24324.8237683575</v>
      </c>
      <c r="W67" s="667" t="n">
        <f aca="false">SUM(W64:W66)</f>
        <v>25712.0275192255</v>
      </c>
      <c r="X67" s="667" t="n">
        <f aca="false">SUM(X64:X66)</f>
        <v>27687.482874903</v>
      </c>
      <c r="Y67" s="667" t="n">
        <f aca="false">SUM(Y64:Y66)</f>
        <v>29547.4037709375</v>
      </c>
      <c r="Z67" s="667" t="n">
        <f aca="false">SUM(Z64:Z66)</f>
        <v>36335.0807886787</v>
      </c>
      <c r="AA67" s="395"/>
      <c r="AB67" s="395"/>
      <c r="AC67" s="395"/>
      <c r="AD67" s="395"/>
      <c r="AE67" s="395"/>
      <c r="AF67" s="395"/>
      <c r="AG67" s="395"/>
      <c r="AH67" s="395"/>
      <c r="AI67" s="395"/>
      <c r="AJ67" s="395"/>
      <c r="AK67" s="395"/>
      <c r="AL67" s="395"/>
      <c r="AM67" s="395"/>
      <c r="AN67" s="395"/>
      <c r="AO67" s="395"/>
      <c r="AP67" s="395"/>
      <c r="AQ67" s="395"/>
      <c r="AR67" s="395"/>
      <c r="AS67" s="395"/>
      <c r="AT67" s="395"/>
      <c r="AU67" s="395"/>
      <c r="AV67" s="395"/>
      <c r="AW67" s="395"/>
      <c r="AX67" s="395"/>
      <c r="AY67" s="395"/>
      <c r="AZ67" s="395"/>
      <c r="BA67" s="395"/>
      <c r="BB67" s="395"/>
      <c r="BC67" s="395"/>
      <c r="BD67" s="395"/>
      <c r="BE67" s="395"/>
      <c r="BF67" s="395"/>
      <c r="BG67" s="395"/>
      <c r="BH67" s="395"/>
      <c r="BI67" s="395"/>
      <c r="BJ67" s="395"/>
      <c r="BK67" s="395"/>
      <c r="BL67" s="395"/>
      <c r="BM67" s="395"/>
      <c r="BN67" s="395"/>
      <c r="BO67" s="395"/>
      <c r="BP67" s="395"/>
      <c r="BQ67" s="395"/>
      <c r="BR67" s="395"/>
      <c r="BS67" s="395"/>
      <c r="BT67" s="395"/>
      <c r="BU67" s="395"/>
      <c r="BV67" s="395"/>
      <c r="BW67" s="395"/>
      <c r="BX67" s="395"/>
      <c r="BY67" s="395"/>
      <c r="BZ67" s="395"/>
      <c r="CA67" s="395"/>
      <c r="CB67" s="395"/>
      <c r="CC67" s="395"/>
      <c r="CD67" s="395"/>
      <c r="CE67" s="395"/>
      <c r="CF67" s="395"/>
      <c r="CG67" s="395"/>
      <c r="CH67" s="395"/>
      <c r="CI67" s="395"/>
      <c r="CJ67" s="395"/>
      <c r="CK67" s="395"/>
      <c r="CL67" s="395"/>
      <c r="CM67" s="395"/>
      <c r="CN67" s="395"/>
      <c r="CO67" s="395"/>
      <c r="CP67" s="395"/>
      <c r="CQ67" s="395"/>
      <c r="CR67" s="395"/>
      <c r="CS67" s="395"/>
      <c r="CT67" s="395"/>
      <c r="CU67" s="395"/>
      <c r="CV67" s="395"/>
      <c r="CW67" s="395"/>
      <c r="CX67" s="395"/>
      <c r="CY67" s="395"/>
      <c r="CZ67" s="395"/>
      <c r="DA67" s="395"/>
      <c r="DB67" s="395"/>
      <c r="DC67" s="395"/>
      <c r="DD67" s="395"/>
      <c r="DE67" s="395"/>
      <c r="DF67" s="395"/>
      <c r="DG67" s="395"/>
      <c r="DH67" s="395"/>
      <c r="DI67" s="395"/>
      <c r="DJ67" s="395"/>
      <c r="DK67" s="395"/>
      <c r="DL67" s="395"/>
      <c r="DM67" s="395"/>
      <c r="DN67" s="395"/>
      <c r="DO67" s="395"/>
      <c r="DP67" s="395"/>
      <c r="DQ67" s="395"/>
      <c r="DR67" s="395"/>
      <c r="DS67" s="395"/>
      <c r="DT67" s="395"/>
      <c r="DU67" s="395"/>
      <c r="DV67" s="395"/>
      <c r="DW67" s="395"/>
      <c r="DX67" s="395"/>
      <c r="DY67" s="395"/>
      <c r="DZ67" s="395"/>
      <c r="EA67" s="395"/>
      <c r="EB67" s="395"/>
      <c r="EC67" s="395"/>
      <c r="ED67" s="395"/>
      <c r="EE67" s="395"/>
      <c r="EF67" s="395"/>
      <c r="EG67" s="395"/>
      <c r="EH67" s="395"/>
      <c r="EI67" s="395"/>
      <c r="EJ67" s="395"/>
      <c r="EK67" s="395"/>
      <c r="EL67" s="395"/>
      <c r="EM67" s="395"/>
      <c r="EN67" s="395"/>
      <c r="EO67" s="395"/>
      <c r="EP67" s="395"/>
      <c r="EQ67" s="395"/>
      <c r="ER67" s="395"/>
      <c r="ES67" s="395"/>
      <c r="ET67" s="395"/>
      <c r="EU67" s="395"/>
      <c r="EV67" s="395"/>
      <c r="EW67" s="395"/>
      <c r="EX67" s="395"/>
      <c r="EY67" s="395"/>
      <c r="EZ67" s="395"/>
      <c r="FA67" s="395"/>
      <c r="FB67" s="395"/>
      <c r="FC67" s="395"/>
      <c r="FD67" s="395"/>
      <c r="FE67" s="395"/>
      <c r="FF67" s="395"/>
      <c r="FG67" s="395"/>
      <c r="FH67" s="395"/>
      <c r="FI67" s="395"/>
      <c r="FJ67" s="395"/>
      <c r="FK67" s="395"/>
      <c r="FL67" s="395"/>
      <c r="FM67" s="395"/>
      <c r="FN67" s="395"/>
      <c r="FO67" s="395"/>
      <c r="FP67" s="395"/>
      <c r="FQ67" s="395"/>
      <c r="FR67" s="395"/>
      <c r="FS67" s="395"/>
      <c r="FT67" s="395"/>
      <c r="FU67" s="395"/>
      <c r="FV67" s="395"/>
      <c r="FW67" s="395"/>
      <c r="FX67" s="395"/>
      <c r="FY67" s="395"/>
      <c r="FZ67" s="395"/>
      <c r="GA67" s="395"/>
      <c r="GB67" s="395"/>
      <c r="GC67" s="395"/>
      <c r="GD67" s="395"/>
      <c r="GE67" s="395"/>
      <c r="GF67" s="395"/>
      <c r="GG67" s="395"/>
      <c r="GH67" s="395"/>
      <c r="GI67" s="395"/>
      <c r="GJ67" s="395"/>
      <c r="GK67" s="395"/>
      <c r="GL67" s="395"/>
      <c r="GM67" s="395"/>
      <c r="GN67" s="395"/>
      <c r="GO67" s="395"/>
      <c r="GP67" s="395"/>
      <c r="GQ67" s="395"/>
      <c r="GR67" s="395"/>
      <c r="GS67" s="395"/>
      <c r="GT67" s="395"/>
      <c r="GU67" s="395"/>
      <c r="GV67" s="395"/>
      <c r="GW67" s="395"/>
      <c r="GX67" s="395"/>
      <c r="GY67" s="395"/>
      <c r="GZ67" s="395"/>
      <c r="HA67" s="395"/>
      <c r="HB67" s="395"/>
      <c r="HC67" s="395"/>
      <c r="HD67" s="395"/>
      <c r="HE67" s="395"/>
      <c r="HF67" s="395"/>
      <c r="HG67" s="395"/>
      <c r="HH67" s="395"/>
      <c r="HI67" s="395"/>
      <c r="HJ67" s="395"/>
      <c r="HK67" s="395"/>
      <c r="HL67" s="395"/>
      <c r="HM67" s="395"/>
      <c r="HN67" s="395"/>
      <c r="HO67" s="395"/>
      <c r="HP67" s="395"/>
      <c r="HQ67" s="395"/>
      <c r="HR67" s="395"/>
      <c r="HS67" s="395"/>
      <c r="HT67" s="395"/>
      <c r="HU67" s="395"/>
      <c r="HV67" s="395"/>
      <c r="HW67" s="395"/>
      <c r="HX67" s="395"/>
      <c r="HY67" s="395"/>
      <c r="HZ67" s="395"/>
      <c r="IA67" s="395"/>
      <c r="IB67" s="395"/>
      <c r="IC67" s="395"/>
      <c r="ID67" s="395"/>
      <c r="IE67" s="395"/>
      <c r="IF67" s="395"/>
      <c r="IG67" s="395"/>
      <c r="IH67" s="395"/>
      <c r="II67" s="395"/>
      <c r="IJ67" s="395"/>
      <c r="IK67" s="395"/>
      <c r="IL67" s="395"/>
      <c r="IM67" s="395"/>
      <c r="IN67" s="395"/>
      <c r="IO67" s="395"/>
      <c r="IP67" s="395"/>
      <c r="IQ67" s="395"/>
      <c r="IR67" s="395"/>
      <c r="IS67" s="395"/>
      <c r="IT67" s="395"/>
      <c r="IU67" s="395"/>
      <c r="IV67" s="395"/>
      <c r="IW67" s="395"/>
    </row>
    <row r="68" customFormat="false" ht="12.75" hidden="false" customHeight="false" outlineLevel="1" collapsed="false">
      <c r="A68" s="366"/>
      <c r="D68" s="368"/>
      <c r="E68" s="368"/>
      <c r="F68" s="368"/>
      <c r="G68" s="368"/>
      <c r="H68" s="368"/>
      <c r="I68" s="368"/>
      <c r="J68" s="368"/>
      <c r="K68" s="368"/>
      <c r="L68" s="368"/>
      <c r="M68" s="368"/>
      <c r="N68" s="368"/>
      <c r="O68" s="368"/>
      <c r="P68" s="368"/>
      <c r="Q68" s="368"/>
      <c r="R68" s="368"/>
      <c r="S68" s="368"/>
      <c r="T68" s="368"/>
      <c r="U68" s="368"/>
      <c r="V68" s="368"/>
      <c r="W68" s="368"/>
      <c r="X68" s="368"/>
      <c r="Y68" s="368"/>
      <c r="Z68" s="368"/>
    </row>
    <row r="69" customFormat="false" ht="12.75" hidden="false" customHeight="false" outlineLevel="1" collapsed="false">
      <c r="A69" s="367" t="s">
        <v>462</v>
      </c>
      <c r="D69" s="660"/>
      <c r="E69" s="660" t="n">
        <v>0</v>
      </c>
      <c r="F69" s="368" t="n">
        <f aca="false">Allocation!$I$8*CF!G24*7/12+Allocation!$K$8*CF!G24*5/12</f>
        <v>-0</v>
      </c>
      <c r="G69" s="660" t="n">
        <f aca="false">Allocation!$I$8*CF!H24</f>
        <v>-0</v>
      </c>
      <c r="H69" s="660" t="n">
        <f aca="false">Allocation!$I$8*CF!I24</f>
        <v>-0</v>
      </c>
      <c r="I69" s="660" t="n">
        <f aca="false">Allocation!$I$8*CF!J24</f>
        <v>-0</v>
      </c>
      <c r="J69" s="660" t="n">
        <f aca="false">Allocation!$I$8*CF!K24</f>
        <v>-0</v>
      </c>
      <c r="K69" s="660" t="n">
        <f aca="false">Allocation!$I$8*CF!L24</f>
        <v>-0</v>
      </c>
      <c r="L69" s="660" t="n">
        <f aca="false">Allocation!$I$8*CF!M24</f>
        <v>-619.853268520461</v>
      </c>
      <c r="M69" s="660" t="n">
        <f aca="false">Allocation!$I$8*CF!N24</f>
        <v>-701.253112971601</v>
      </c>
      <c r="N69" s="660" t="n">
        <f aca="false">Allocation!$I$8*CF!O24</f>
        <v>-755.276308444169</v>
      </c>
      <c r="O69" s="660" t="n">
        <f aca="false">Allocation!$I$8*CF!P24</f>
        <v>-840.175311412978</v>
      </c>
      <c r="P69" s="660" t="n">
        <f aca="false">Allocation!$I$8*CF!Q24</f>
        <v>-885.267600861989</v>
      </c>
      <c r="Q69" s="660" t="n">
        <f aca="false">Allocation!$I$8*CF!R24</f>
        <v>-964.784753874848</v>
      </c>
      <c r="R69" s="660" t="n">
        <f aca="false">Allocation!$I$8*CF!S24</f>
        <v>-1024.58819516161</v>
      </c>
      <c r="S69" s="660" t="n">
        <f aca="false">Allocation!$I$8*CF!T24</f>
        <v>-1077.72507196599</v>
      </c>
      <c r="T69" s="660" t="n">
        <f aca="false">Allocation!$I$8*CF!U24</f>
        <v>-1138.92431555426</v>
      </c>
      <c r="U69" s="660" t="n">
        <f aca="false">Allocation!$I$8*CF!V24</f>
        <v>-1547.8773201476</v>
      </c>
      <c r="V69" s="660" t="n">
        <f aca="false">Allocation!$I$8*CF!W24</f>
        <v>-1958.8245652507</v>
      </c>
      <c r="W69" s="660" t="n">
        <f aca="false">Allocation!$I$8*CF!X24</f>
        <v>-2026.51914255509</v>
      </c>
      <c r="X69" s="660" t="n">
        <f aca="false">Allocation!$I$8*CF!Y24</f>
        <v>-2087.36222660828</v>
      </c>
      <c r="Y69" s="660" t="n">
        <f aca="false">Allocation!$I$8*CF!Z24</f>
        <v>-2119.71688865651</v>
      </c>
      <c r="Z69" s="660" t="n">
        <f aca="false">Allocation!$I$8*CF!AA24</f>
        <v>-2169.70585884083</v>
      </c>
    </row>
    <row r="70" customFormat="false" ht="12.75" hidden="false" customHeight="false" outlineLevel="1" collapsed="false">
      <c r="A70" s="367" t="s">
        <v>463</v>
      </c>
      <c r="D70" s="660"/>
      <c r="E70" s="660" t="n">
        <f aca="false">Allocation!$K$8*CF!D25</f>
        <v>-0</v>
      </c>
      <c r="F70" s="666" t="n">
        <f aca="false">Allocation!$I$8*(-Tax!E39)*7/12+Allocation!$K$8*(-Tax!E39)*5/12</f>
        <v>1939.14006616833</v>
      </c>
      <c r="G70" s="660" t="n">
        <f aca="false">Allocation!$I$8*CF!H25</f>
        <v>3374.90483911392</v>
      </c>
      <c r="H70" s="660" t="n">
        <f aca="false">Allocation!$I$8*CF!I25</f>
        <v>2647.07934669815</v>
      </c>
      <c r="I70" s="660" t="n">
        <f aca="false">Allocation!$I$8*CF!J25</f>
        <v>-1664.2332687181</v>
      </c>
      <c r="J70" s="660" t="n">
        <f aca="false">Allocation!$I$8*CF!K25</f>
        <v>-2392.22073119031</v>
      </c>
      <c r="K70" s="660" t="n">
        <f aca="false">Allocation!$I$8*CF!L25</f>
        <v>-3184.53943362643</v>
      </c>
      <c r="L70" s="660" t="n">
        <f aca="false">Allocation!$I$8*CF!M25</f>
        <v>-3400.46178688722</v>
      </c>
      <c r="M70" s="660" t="n">
        <f aca="false">Allocation!$I$8*CF!N25</f>
        <v>-3778.50360132623</v>
      </c>
      <c r="N70" s="660" t="n">
        <f aca="false">Allocation!$I$8*CF!O25</f>
        <v>-4069.59227511942</v>
      </c>
      <c r="O70" s="660" t="n">
        <f aca="false">Allocation!$I$8*CF!P25</f>
        <v>-4527.04648463769</v>
      </c>
      <c r="P70" s="660" t="n">
        <f aca="false">Allocation!$I$8*CF!Q25</f>
        <v>-4770.01350314137</v>
      </c>
      <c r="Q70" s="660" t="n">
        <f aca="false">Allocation!$I$8*CF!R25</f>
        <v>-5198.46913987016</v>
      </c>
      <c r="R70" s="660" t="n">
        <f aca="false">Allocation!$I$8*CF!S25</f>
        <v>-5520.70302959392</v>
      </c>
      <c r="S70" s="660" t="n">
        <f aca="false">Allocation!$I$8*CF!T25</f>
        <v>-5807.01602650564</v>
      </c>
      <c r="T70" s="660" t="n">
        <f aca="false">Allocation!$I$8*CF!U25</f>
        <v>-6136.77080123572</v>
      </c>
      <c r="U70" s="660" t="n">
        <f aca="false">Allocation!$I$8*CF!V25</f>
        <v>-8340.2981325885</v>
      </c>
      <c r="V70" s="660" t="n">
        <f aca="false">Allocation!$I$8*CF!W25</f>
        <v>-10554.5708635818</v>
      </c>
      <c r="W70" s="660" t="n">
        <f aca="false">Allocation!$I$8*CF!X25</f>
        <v>-10919.323902682</v>
      </c>
      <c r="X70" s="660" t="n">
        <f aca="false">Allocation!$I$8*CF!Y25</f>
        <v>-11247.1596127248</v>
      </c>
      <c r="Y70" s="660" t="n">
        <f aca="false">Allocation!$I$8*CF!Z25</f>
        <v>-11421.4935369635</v>
      </c>
      <c r="Z70" s="660" t="n">
        <f aca="false">Allocation!$I$8*CF!AA25</f>
        <v>-11690.8449314516</v>
      </c>
    </row>
    <row r="71" customFormat="false" ht="12.75" hidden="false" customHeight="false" outlineLevel="1" collapsed="false">
      <c r="A71" s="367"/>
      <c r="D71" s="660"/>
      <c r="E71" s="660"/>
      <c r="F71" s="660"/>
      <c r="G71" s="660"/>
      <c r="H71" s="660"/>
      <c r="I71" s="660"/>
      <c r="J71" s="660"/>
      <c r="K71" s="660"/>
      <c r="L71" s="660"/>
      <c r="M71" s="660"/>
      <c r="N71" s="660"/>
      <c r="O71" s="660"/>
      <c r="P71" s="660"/>
      <c r="Q71" s="660"/>
      <c r="R71" s="660"/>
      <c r="S71" s="660"/>
      <c r="T71" s="660"/>
      <c r="U71" s="660"/>
      <c r="V71" s="660"/>
      <c r="W71" s="660"/>
      <c r="X71" s="660"/>
      <c r="Y71" s="660"/>
      <c r="Z71" s="660"/>
    </row>
    <row r="72" customFormat="false" ht="15.75" hidden="false" customHeight="false" outlineLevel="1" collapsed="false">
      <c r="A72" s="731" t="s">
        <v>313</v>
      </c>
      <c r="B72" s="344"/>
      <c r="C72" s="344"/>
      <c r="D72" s="669"/>
      <c r="E72" s="669" t="n">
        <f aca="false">E67+E70+E69</f>
        <v>0</v>
      </c>
      <c r="F72" s="669" t="n">
        <f aca="false">F67+F70+F69</f>
        <v>9595.12192752843</v>
      </c>
      <c r="G72" s="669" t="n">
        <f aca="false">G67+G70+G69</f>
        <v>7972.93743015586</v>
      </c>
      <c r="H72" s="669" t="n">
        <f aca="false">H67+H70+H69</f>
        <v>7288.14544597891</v>
      </c>
      <c r="I72" s="669" t="n">
        <f aca="false">I67+I70+I69</f>
        <v>14425.1707061007</v>
      </c>
      <c r="J72" s="669" t="n">
        <f aca="false">J67+J70+J69</f>
        <v>13859.6704725919</v>
      </c>
      <c r="K72" s="669" t="n">
        <f aca="false">K67+K70+K69</f>
        <v>13149.4067322057</v>
      </c>
      <c r="L72" s="669" t="n">
        <f aca="false">L67+L70+L69</f>
        <v>12540.706526357</v>
      </c>
      <c r="M72" s="669" t="n">
        <f aca="false">M67+M70+M69</f>
        <v>12717.0081364888</v>
      </c>
      <c r="N72" s="669" t="n">
        <f aca="false">N67+N70+N69</f>
        <v>12511.1204626637</v>
      </c>
      <c r="O72" s="669" t="n">
        <f aca="false">O67+O70+O69</f>
        <v>12670.8095312815</v>
      </c>
      <c r="P72" s="669" t="n">
        <f aca="false">P67+P70+P69</f>
        <v>13784.0379386257</v>
      </c>
      <c r="Q72" s="669" t="n">
        <f aca="false">Q67+Q70+Q69</f>
        <v>14931.7720976076</v>
      </c>
      <c r="R72" s="669" t="n">
        <f aca="false">R67+R70+R69</f>
        <v>14971.7849030235</v>
      </c>
      <c r="S72" s="669" t="n">
        <f aca="false">S67+S70+S69</f>
        <v>15262.9527902591</v>
      </c>
      <c r="T72" s="669" t="n">
        <f aca="false">T67+T70+T69</f>
        <v>15489.9943249055</v>
      </c>
      <c r="U72" s="669" t="n">
        <f aca="false">U67+U70+U69</f>
        <v>13380.5765834635</v>
      </c>
      <c r="V72" s="669" t="n">
        <f aca="false">V67+V70+V69</f>
        <v>11811.428339525</v>
      </c>
      <c r="W72" s="669" t="n">
        <f aca="false">W67+W70+W69</f>
        <v>12766.1844739884</v>
      </c>
      <c r="X72" s="669" t="n">
        <f aca="false">X67+X70+X69</f>
        <v>14352.96103557</v>
      </c>
      <c r="Y72" s="669" t="n">
        <f aca="false">Y67+Y70+Y69</f>
        <v>16006.1933453175</v>
      </c>
      <c r="Z72" s="669" t="n">
        <f aca="false">Z67+Z70+Z69</f>
        <v>22474.5299983863</v>
      </c>
      <c r="AA72" s="662"/>
      <c r="AB72" s="662"/>
      <c r="AC72" s="662"/>
      <c r="AD72" s="662"/>
      <c r="AE72" s="662"/>
      <c r="AF72" s="662"/>
      <c r="AG72" s="662"/>
      <c r="AH72" s="662"/>
      <c r="AI72" s="662"/>
      <c r="AJ72" s="662"/>
      <c r="AK72" s="662"/>
      <c r="AL72" s="662"/>
      <c r="AM72" s="662"/>
      <c r="AN72" s="662"/>
      <c r="AO72" s="662"/>
      <c r="AP72" s="662"/>
      <c r="AQ72" s="662"/>
      <c r="AR72" s="662"/>
      <c r="AS72" s="662"/>
      <c r="AT72" s="662"/>
      <c r="AU72" s="662"/>
      <c r="AV72" s="662"/>
      <c r="AW72" s="662"/>
      <c r="AX72" s="662"/>
      <c r="AY72" s="662"/>
      <c r="AZ72" s="662"/>
      <c r="BA72" s="662"/>
      <c r="BB72" s="662"/>
      <c r="BC72" s="662"/>
      <c r="BD72" s="662"/>
      <c r="BE72" s="662"/>
      <c r="BF72" s="662"/>
      <c r="BG72" s="662"/>
      <c r="BH72" s="662"/>
      <c r="BI72" s="662"/>
      <c r="BJ72" s="662"/>
      <c r="BK72" s="662"/>
      <c r="BL72" s="662"/>
      <c r="BM72" s="662"/>
      <c r="BN72" s="662"/>
      <c r="BO72" s="662"/>
      <c r="BP72" s="662"/>
      <c r="BQ72" s="662"/>
      <c r="BR72" s="662"/>
      <c r="BS72" s="662"/>
      <c r="BT72" s="662"/>
      <c r="BU72" s="662"/>
      <c r="BV72" s="662"/>
      <c r="BW72" s="662"/>
      <c r="BX72" s="662"/>
      <c r="BY72" s="662"/>
      <c r="BZ72" s="662"/>
      <c r="CA72" s="662"/>
      <c r="CB72" s="662"/>
      <c r="CC72" s="662"/>
      <c r="CD72" s="662"/>
      <c r="CE72" s="662"/>
      <c r="CF72" s="662"/>
      <c r="CG72" s="662"/>
      <c r="CH72" s="662"/>
      <c r="CI72" s="662"/>
      <c r="CJ72" s="662"/>
      <c r="CK72" s="662"/>
      <c r="CL72" s="662"/>
      <c r="CM72" s="662"/>
      <c r="CN72" s="662"/>
      <c r="CO72" s="662"/>
      <c r="CP72" s="662"/>
      <c r="CQ72" s="662"/>
      <c r="CR72" s="662"/>
      <c r="CS72" s="662"/>
      <c r="CT72" s="662"/>
      <c r="CU72" s="662"/>
      <c r="CV72" s="662"/>
      <c r="CW72" s="662"/>
      <c r="CX72" s="662"/>
      <c r="CY72" s="662"/>
      <c r="CZ72" s="662"/>
      <c r="DA72" s="662"/>
      <c r="DB72" s="662"/>
      <c r="DC72" s="662"/>
      <c r="DD72" s="662"/>
      <c r="DE72" s="662"/>
      <c r="DF72" s="662"/>
      <c r="DG72" s="662"/>
      <c r="DH72" s="662"/>
      <c r="DI72" s="662"/>
      <c r="DJ72" s="662"/>
      <c r="DK72" s="662"/>
      <c r="DL72" s="662"/>
      <c r="DM72" s="662"/>
      <c r="DN72" s="662"/>
      <c r="DO72" s="662"/>
      <c r="DP72" s="662"/>
      <c r="DQ72" s="662"/>
      <c r="DR72" s="662"/>
      <c r="DS72" s="662"/>
      <c r="DT72" s="662"/>
      <c r="DU72" s="662"/>
      <c r="DV72" s="662"/>
      <c r="DW72" s="662"/>
      <c r="DX72" s="662"/>
      <c r="DY72" s="662"/>
      <c r="DZ72" s="662"/>
      <c r="EA72" s="662"/>
      <c r="EB72" s="662"/>
      <c r="EC72" s="662"/>
      <c r="ED72" s="662"/>
      <c r="EE72" s="662"/>
      <c r="EF72" s="662"/>
      <c r="EG72" s="662"/>
      <c r="EH72" s="662"/>
      <c r="EI72" s="662"/>
      <c r="EJ72" s="662"/>
      <c r="EK72" s="662"/>
      <c r="EL72" s="662"/>
      <c r="EM72" s="662"/>
      <c r="EN72" s="662"/>
      <c r="EO72" s="662"/>
      <c r="EP72" s="662"/>
      <c r="EQ72" s="662"/>
      <c r="ER72" s="662"/>
      <c r="ES72" s="662"/>
      <c r="ET72" s="662"/>
      <c r="EU72" s="662"/>
      <c r="EV72" s="662"/>
      <c r="EW72" s="662"/>
      <c r="EX72" s="662"/>
      <c r="EY72" s="662"/>
      <c r="EZ72" s="662"/>
      <c r="FA72" s="662"/>
      <c r="FB72" s="662"/>
      <c r="FC72" s="662"/>
      <c r="FD72" s="662"/>
      <c r="FE72" s="662"/>
      <c r="FF72" s="662"/>
      <c r="FG72" s="662"/>
      <c r="FH72" s="662"/>
      <c r="FI72" s="662"/>
      <c r="FJ72" s="662"/>
      <c r="FK72" s="662"/>
      <c r="FL72" s="662"/>
      <c r="FM72" s="662"/>
      <c r="FN72" s="662"/>
      <c r="FO72" s="662"/>
      <c r="FP72" s="662"/>
      <c r="FQ72" s="662"/>
      <c r="FR72" s="662"/>
      <c r="FS72" s="662"/>
      <c r="FT72" s="662"/>
      <c r="FU72" s="662"/>
      <c r="FV72" s="662"/>
      <c r="FW72" s="662"/>
      <c r="FX72" s="662"/>
      <c r="FY72" s="662"/>
      <c r="FZ72" s="662"/>
      <c r="GA72" s="662"/>
      <c r="GB72" s="662"/>
      <c r="GC72" s="662"/>
      <c r="GD72" s="662"/>
      <c r="GE72" s="662"/>
      <c r="GF72" s="662"/>
      <c r="GG72" s="662"/>
      <c r="GH72" s="662"/>
      <c r="GI72" s="662"/>
      <c r="GJ72" s="662"/>
      <c r="GK72" s="662"/>
      <c r="GL72" s="662"/>
      <c r="GM72" s="662"/>
      <c r="GN72" s="662"/>
      <c r="GO72" s="662"/>
      <c r="GP72" s="662"/>
      <c r="GQ72" s="662"/>
      <c r="GR72" s="662"/>
      <c r="GS72" s="662"/>
      <c r="GT72" s="662"/>
      <c r="GU72" s="662"/>
      <c r="GV72" s="662"/>
      <c r="GW72" s="662"/>
      <c r="GX72" s="662"/>
      <c r="GY72" s="662"/>
      <c r="GZ72" s="662"/>
      <c r="HA72" s="662"/>
      <c r="HB72" s="662"/>
      <c r="HC72" s="662"/>
      <c r="HD72" s="662"/>
      <c r="HE72" s="662"/>
      <c r="HF72" s="662"/>
      <c r="HG72" s="662"/>
      <c r="HH72" s="662"/>
      <c r="HI72" s="662"/>
      <c r="HJ72" s="662"/>
      <c r="HK72" s="662"/>
      <c r="HL72" s="662"/>
      <c r="HM72" s="662"/>
      <c r="HN72" s="662"/>
      <c r="HO72" s="662"/>
      <c r="HP72" s="662"/>
      <c r="HQ72" s="662"/>
      <c r="HR72" s="662"/>
      <c r="HS72" s="662"/>
      <c r="HT72" s="662"/>
      <c r="HU72" s="662"/>
      <c r="HV72" s="662"/>
      <c r="HW72" s="662"/>
      <c r="HX72" s="662"/>
      <c r="HY72" s="662"/>
      <c r="HZ72" s="662"/>
      <c r="IA72" s="662"/>
      <c r="IB72" s="662"/>
      <c r="IC72" s="662"/>
      <c r="ID72" s="662"/>
      <c r="IE72" s="662"/>
      <c r="IF72" s="662"/>
      <c r="IG72" s="662"/>
      <c r="IH72" s="662"/>
      <c r="II72" s="662"/>
      <c r="IJ72" s="662"/>
      <c r="IK72" s="662"/>
      <c r="IL72" s="662"/>
      <c r="IM72" s="662"/>
      <c r="IN72" s="662"/>
      <c r="IO72" s="662"/>
      <c r="IP72" s="662"/>
      <c r="IQ72" s="662"/>
      <c r="IR72" s="662"/>
      <c r="IS72" s="662"/>
      <c r="IT72" s="662"/>
      <c r="IU72" s="662"/>
      <c r="IV72" s="662"/>
      <c r="IW72" s="662"/>
    </row>
    <row r="73" customFormat="false" ht="12.75" hidden="false" customHeight="false" outlineLevel="1" collapsed="false">
      <c r="A73" s="670"/>
      <c r="D73" s="368"/>
      <c r="E73" s="368"/>
      <c r="F73" s="368"/>
      <c r="G73" s="368"/>
      <c r="H73" s="368"/>
      <c r="I73" s="368"/>
      <c r="J73" s="368"/>
      <c r="K73" s="368"/>
      <c r="L73" s="368"/>
      <c r="M73" s="368"/>
      <c r="N73" s="368"/>
      <c r="O73" s="368"/>
      <c r="P73" s="368"/>
      <c r="Q73" s="368"/>
      <c r="R73" s="368"/>
      <c r="S73" s="368"/>
      <c r="T73" s="368"/>
      <c r="U73" s="368"/>
      <c r="V73" s="368"/>
      <c r="W73" s="368"/>
      <c r="X73" s="368"/>
      <c r="Y73" s="368"/>
      <c r="Z73" s="368"/>
    </row>
    <row r="74" customFormat="false" ht="12.75" hidden="false" customHeight="false" outlineLevel="1" collapsed="false">
      <c r="A74" s="388"/>
      <c r="D74" s="368"/>
      <c r="E74" s="368"/>
      <c r="F74" s="368"/>
      <c r="G74" s="368"/>
      <c r="H74" s="368"/>
      <c r="I74" s="368"/>
      <c r="J74" s="368"/>
      <c r="K74" s="368"/>
      <c r="L74" s="368"/>
      <c r="M74" s="368"/>
      <c r="N74" s="368"/>
      <c r="O74" s="368"/>
      <c r="P74" s="368"/>
      <c r="Q74" s="368"/>
      <c r="R74" s="368"/>
      <c r="S74" s="368"/>
      <c r="T74" s="368"/>
      <c r="U74" s="368"/>
      <c r="V74" s="368"/>
      <c r="W74" s="368"/>
      <c r="X74" s="368"/>
      <c r="Y74" s="368"/>
      <c r="Z74" s="368"/>
    </row>
    <row r="75" customFormat="false" ht="12.75" hidden="false" customHeight="true" outlineLevel="1" collapsed="false">
      <c r="A75" s="388" t="s">
        <v>464</v>
      </c>
      <c r="B75" s="664"/>
      <c r="C75" s="665" t="n">
        <f aca="false">$C$60</f>
        <v>0.5</v>
      </c>
      <c r="D75" s="667"/>
      <c r="E75" s="667" t="n">
        <f aca="false">$C$75*E54</f>
        <v>0</v>
      </c>
      <c r="F75" s="667" t="n">
        <f aca="false">$C$75*F54</f>
        <v>1316.83154728435</v>
      </c>
      <c r="G75" s="667" t="n">
        <f aca="false">$C$75*G54</f>
        <v>1087.02580855875</v>
      </c>
      <c r="H75" s="667" t="n">
        <f aca="false">$C$75*H54</f>
        <v>1181.71589869999</v>
      </c>
      <c r="I75" s="667" t="n">
        <f aca="false">$C$75*I54</f>
        <v>4317.51309485707</v>
      </c>
      <c r="J75" s="667" t="n">
        <f aca="false">$C$75*J54</f>
        <v>4488.547485877</v>
      </c>
      <c r="K75" s="667" t="n">
        <f aca="false">$C$75*K54</f>
        <v>4705.14603838269</v>
      </c>
      <c r="L75" s="667" t="n">
        <f aca="false">$C$75*L54</f>
        <v>4932.19020523469</v>
      </c>
      <c r="M75" s="667" t="n">
        <f aca="false">$C$75*M54</f>
        <v>5373.68630233083</v>
      </c>
      <c r="N75" s="667" t="n">
        <f aca="false">$C$75*N54</f>
        <v>5642.26530643591</v>
      </c>
      <c r="O75" s="667" t="n">
        <f aca="false">$C$75*O54</f>
        <v>6155.15013601084</v>
      </c>
      <c r="P75" s="667" t="n">
        <f aca="false">$C$75*P54</f>
        <v>6202.93631484407</v>
      </c>
      <c r="Q75" s="667" t="n">
        <f aca="false">$C$75*Q54</f>
        <v>6718.12773857918</v>
      </c>
      <c r="R75" s="667" t="n">
        <f aca="false">$C$75*R54</f>
        <v>7034.22153746701</v>
      </c>
      <c r="S75" s="667" t="n">
        <f aca="false">$C$75*S54</f>
        <v>7362.62184240239</v>
      </c>
      <c r="T75" s="667" t="n">
        <f aca="false">$C$75*T54</f>
        <v>7700.82620451888</v>
      </c>
      <c r="U75" s="667" t="n">
        <f aca="false">$C$75*U54</f>
        <v>8062.27320834397</v>
      </c>
      <c r="V75" s="667" t="n">
        <f aca="false">$C$75*V54</f>
        <v>8437.15328281162</v>
      </c>
      <c r="W75" s="667" t="n">
        <f aca="false">$C$75*W54</f>
        <v>8806.2729567516</v>
      </c>
      <c r="X75" s="667" t="n">
        <f aca="false">$C$75*X54</f>
        <v>9121.40908368438</v>
      </c>
      <c r="Y75" s="667" t="n">
        <f aca="false">$C$75*Y54</f>
        <v>9383.90410151531</v>
      </c>
      <c r="Z75" s="667" t="n">
        <f aca="false">$C$75*Z54</f>
        <v>9638.06284155306</v>
      </c>
    </row>
    <row r="76" customFormat="false" ht="12.75" hidden="false" customHeight="false" outlineLevel="1" collapsed="false">
      <c r="A76" s="388" t="s">
        <v>465</v>
      </c>
      <c r="B76" s="664"/>
      <c r="C76" s="665" t="n">
        <f aca="false">$C$60</f>
        <v>0.5</v>
      </c>
      <c r="D76" s="667"/>
      <c r="E76" s="667" t="n">
        <f aca="false">$C$76*E72</f>
        <v>0</v>
      </c>
      <c r="F76" s="667" t="n">
        <f aca="false">$C$76*F72</f>
        <v>4797.56096376421</v>
      </c>
      <c r="G76" s="667" t="n">
        <f aca="false">$C$76*G72</f>
        <v>3986.46871507793</v>
      </c>
      <c r="H76" s="667" t="n">
        <f aca="false">$C$76*H72</f>
        <v>3644.07272298946</v>
      </c>
      <c r="I76" s="667" t="n">
        <f aca="false">$C$76*I72</f>
        <v>7212.58535305033</v>
      </c>
      <c r="J76" s="667" t="n">
        <f aca="false">$C$76*J72</f>
        <v>6929.83523629596</v>
      </c>
      <c r="K76" s="667" t="n">
        <f aca="false">$C$76*K72</f>
        <v>6574.70336610283</v>
      </c>
      <c r="L76" s="667" t="n">
        <f aca="false">$C$76*L72</f>
        <v>6270.35326317852</v>
      </c>
      <c r="M76" s="667" t="n">
        <f aca="false">$C$76*M72</f>
        <v>6358.50406824439</v>
      </c>
      <c r="N76" s="667" t="n">
        <f aca="false">$C$76*N72</f>
        <v>6255.56023133184</v>
      </c>
      <c r="O76" s="667" t="n">
        <f aca="false">$C$76*O72</f>
        <v>6335.40476564077</v>
      </c>
      <c r="P76" s="667" t="n">
        <f aca="false">$C$76*P72</f>
        <v>6892.01896931287</v>
      </c>
      <c r="Q76" s="667" t="n">
        <f aca="false">$C$76*Q72</f>
        <v>7465.88604880381</v>
      </c>
      <c r="R76" s="667" t="n">
        <f aca="false">$C$76*R72</f>
        <v>7485.89245151173</v>
      </c>
      <c r="S76" s="667" t="n">
        <f aca="false">$C$76*S72</f>
        <v>7631.47639512957</v>
      </c>
      <c r="T76" s="667" t="n">
        <f aca="false">$C$76*T72</f>
        <v>7744.99716245276</v>
      </c>
      <c r="U76" s="667" t="n">
        <f aca="false">$C$76*U72</f>
        <v>6690.28829173177</v>
      </c>
      <c r="V76" s="667" t="n">
        <f aca="false">$C$76*V72</f>
        <v>5905.7141697625</v>
      </c>
      <c r="W76" s="667" t="n">
        <f aca="false">$C$76*W72</f>
        <v>6383.09223699421</v>
      </c>
      <c r="X76" s="667" t="n">
        <f aca="false">$C$76*X72</f>
        <v>7176.48051778498</v>
      </c>
      <c r="Y76" s="667" t="n">
        <f aca="false">$C$76*Y72</f>
        <v>8003.09667265875</v>
      </c>
      <c r="Z76" s="667" t="n">
        <f aca="false">$C$76*Z72</f>
        <v>11237.2649991931</v>
      </c>
    </row>
    <row r="77" customFormat="false" ht="12.75" hidden="false" customHeight="false" outlineLevel="1" collapsed="false">
      <c r="A77" s="388"/>
      <c r="D77" s="102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</row>
    <row r="78" customFormat="false" ht="12.75" hidden="false" customHeight="false" outlineLevel="1" collapsed="false">
      <c r="A78" s="398"/>
      <c r="D78" s="102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</row>
    <row r="79" customFormat="false" ht="12.75" hidden="false" customHeight="false" outlineLevel="1" collapsed="false">
      <c r="A79" s="398"/>
      <c r="D79" s="102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</row>
    <row r="80" customFormat="false" ht="12.75" hidden="false" customHeight="false" outlineLevel="1" collapsed="false">
      <c r="A80" s="398"/>
      <c r="D80" s="102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</row>
    <row r="81" customFormat="false" ht="12.75" hidden="false" customHeight="false" outlineLevel="1" collapsed="false">
      <c r="A81" s="245"/>
      <c r="B81" s="70"/>
      <c r="C81" s="70"/>
      <c r="D81" s="102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  <c r="Z81" s="102"/>
    </row>
    <row r="82" customFormat="false" ht="13.5" hidden="false" customHeight="false" outlineLevel="1" collapsed="false">
      <c r="A82" s="464"/>
      <c r="B82" s="732"/>
      <c r="C82" s="672"/>
      <c r="D82" s="672"/>
      <c r="E82" s="672"/>
      <c r="F82" s="672"/>
      <c r="G82" s="672"/>
      <c r="H82" s="672"/>
      <c r="I82" s="672"/>
      <c r="J82" s="672"/>
      <c r="K82" s="672"/>
      <c r="L82" s="672"/>
      <c r="M82" s="672"/>
      <c r="N82" s="672"/>
      <c r="O82" s="672"/>
      <c r="P82" s="672"/>
      <c r="Q82" s="102"/>
      <c r="R82" s="102"/>
      <c r="S82" s="102"/>
      <c r="T82" s="102"/>
      <c r="U82" s="102"/>
      <c r="V82" s="102"/>
      <c r="W82" s="102"/>
      <c r="X82" s="102"/>
      <c r="Y82" s="102"/>
      <c r="Z82" s="102"/>
    </row>
    <row r="83" customFormat="false" ht="12.75" hidden="false" customHeight="false" outlineLevel="1" collapsed="false">
      <c r="A83" s="464"/>
      <c r="B83" s="70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102"/>
      <c r="R83" s="102"/>
      <c r="S83" s="102"/>
      <c r="T83" s="102"/>
      <c r="U83" s="102"/>
      <c r="V83" s="102"/>
      <c r="W83" s="102"/>
      <c r="X83" s="102"/>
      <c r="Y83" s="102"/>
      <c r="Z83" s="102"/>
    </row>
    <row r="84" customFormat="false" ht="15.75" hidden="false" customHeight="false" outlineLevel="1" collapsed="false">
      <c r="A84" s="673"/>
      <c r="B84" s="70"/>
      <c r="C84" s="70"/>
      <c r="D84" s="70"/>
      <c r="E84" s="70"/>
      <c r="F84" s="70"/>
      <c r="G84" s="70"/>
      <c r="H84" s="70"/>
      <c r="I84" s="70"/>
      <c r="J84" s="674"/>
      <c r="K84" s="70"/>
      <c r="L84" s="70"/>
      <c r="M84" s="70"/>
      <c r="N84" s="70"/>
      <c r="O84" s="70"/>
      <c r="P84" s="70"/>
      <c r="Q84" s="102"/>
      <c r="R84" s="102"/>
      <c r="S84" s="102"/>
      <c r="T84" s="102"/>
      <c r="U84" s="102"/>
      <c r="V84" s="102"/>
      <c r="W84" s="102"/>
      <c r="X84" s="102"/>
      <c r="Y84" s="102"/>
      <c r="Z84" s="102"/>
    </row>
    <row r="85" customFormat="false" ht="12.75" hidden="false" customHeight="false" outlineLevel="1" collapsed="false">
      <c r="A85" s="395"/>
      <c r="B85" s="70"/>
      <c r="C85" s="674"/>
      <c r="D85" s="674"/>
      <c r="E85" s="674"/>
      <c r="F85" s="674"/>
      <c r="G85" s="674"/>
      <c r="H85" s="674"/>
      <c r="I85" s="674"/>
      <c r="J85" s="674"/>
      <c r="K85" s="674"/>
      <c r="L85" s="674"/>
      <c r="M85" s="674"/>
      <c r="N85" s="674"/>
      <c r="O85" s="674"/>
      <c r="P85" s="674"/>
      <c r="Q85" s="102"/>
      <c r="R85" s="102"/>
      <c r="S85" s="102"/>
      <c r="T85" s="102"/>
      <c r="U85" s="102"/>
      <c r="V85" s="102"/>
      <c r="W85" s="102"/>
      <c r="X85" s="102"/>
      <c r="Y85" s="102"/>
      <c r="Z85" s="102"/>
    </row>
    <row r="86" customFormat="false" ht="12.75" hidden="false" customHeight="false" outlineLevel="1" collapsed="false">
      <c r="A86" s="70"/>
      <c r="B86" s="70"/>
      <c r="C86" s="674"/>
      <c r="D86" s="674"/>
      <c r="E86" s="674"/>
      <c r="F86" s="674"/>
      <c r="G86" s="674"/>
      <c r="H86" s="674"/>
      <c r="I86" s="674"/>
      <c r="J86" s="674"/>
      <c r="K86" s="674"/>
      <c r="L86" s="674"/>
      <c r="M86" s="674"/>
      <c r="N86" s="674"/>
      <c r="O86" s="674"/>
      <c r="P86" s="674"/>
      <c r="Q86" s="102"/>
      <c r="R86" s="102"/>
      <c r="S86" s="102"/>
      <c r="T86" s="102"/>
      <c r="U86" s="102"/>
      <c r="V86" s="102"/>
      <c r="W86" s="102"/>
      <c r="X86" s="102"/>
      <c r="Y86" s="102"/>
      <c r="Z86" s="102"/>
    </row>
    <row r="87" customFormat="false" ht="12.75" hidden="false" customHeight="false" outlineLevel="1" collapsed="false">
      <c r="A87" s="70"/>
      <c r="B87" s="70"/>
      <c r="C87" s="674"/>
      <c r="D87" s="70"/>
      <c r="E87" s="70"/>
      <c r="F87" s="70"/>
      <c r="G87" s="70"/>
      <c r="H87" s="70"/>
      <c r="I87" s="674"/>
      <c r="J87" s="70"/>
      <c r="K87" s="70"/>
      <c r="L87" s="70"/>
      <c r="M87" s="70"/>
      <c r="N87" s="674"/>
      <c r="O87" s="674"/>
      <c r="P87" s="674"/>
      <c r="Q87" s="102"/>
      <c r="R87" s="102"/>
      <c r="S87" s="102"/>
      <c r="T87" s="102"/>
      <c r="U87" s="102"/>
      <c r="V87" s="102"/>
      <c r="W87" s="102"/>
      <c r="X87" s="102"/>
      <c r="Y87" s="102"/>
      <c r="Z87" s="102"/>
    </row>
    <row r="88" customFormat="false" ht="12.75" hidden="false" customHeight="false" outlineLevel="0" collapsed="false">
      <c r="A88" s="70"/>
      <c r="B88" s="70"/>
      <c r="C88" s="674"/>
      <c r="D88" s="674"/>
      <c r="E88" s="674"/>
      <c r="F88" s="674"/>
      <c r="G88" s="674"/>
      <c r="H88" s="674"/>
      <c r="I88" s="674"/>
      <c r="J88" s="674"/>
      <c r="K88" s="674"/>
      <c r="L88" s="674"/>
      <c r="M88" s="674"/>
      <c r="N88" s="674"/>
      <c r="O88" s="674"/>
      <c r="P88" s="674"/>
      <c r="Q88" s="321"/>
      <c r="R88" s="321"/>
      <c r="S88" s="321"/>
      <c r="T88" s="321"/>
      <c r="U88" s="321"/>
      <c r="V88" s="321"/>
      <c r="W88" s="321"/>
      <c r="X88" s="321"/>
      <c r="Y88" s="321"/>
      <c r="Z88" s="321"/>
    </row>
    <row r="89" customFormat="false" ht="12.75" hidden="false" customHeight="false" outlineLevel="1" collapsed="false">
      <c r="A89" s="70"/>
      <c r="B89" s="70"/>
      <c r="C89" s="674"/>
      <c r="D89" s="674"/>
      <c r="E89" s="674"/>
      <c r="F89" s="674"/>
      <c r="G89" s="674"/>
      <c r="H89" s="70"/>
      <c r="I89" s="674"/>
      <c r="J89" s="674"/>
      <c r="K89" s="674"/>
      <c r="L89" s="674"/>
      <c r="M89" s="674"/>
      <c r="N89" s="674"/>
      <c r="O89" s="674"/>
      <c r="P89" s="674"/>
      <c r="Q89" s="102"/>
      <c r="R89" s="102"/>
      <c r="S89" s="102"/>
      <c r="T89" s="102"/>
      <c r="U89" s="102"/>
      <c r="V89" s="102"/>
      <c r="W89" s="102"/>
      <c r="X89" s="102"/>
      <c r="Y89" s="102"/>
      <c r="Z89" s="102"/>
    </row>
    <row r="90" customFormat="false" ht="12.75" hidden="false" customHeight="false" outlineLevel="1" collapsed="false">
      <c r="A90" s="70"/>
      <c r="B90" s="70"/>
      <c r="C90" s="674"/>
      <c r="D90" s="674"/>
      <c r="E90" s="674"/>
      <c r="F90" s="674"/>
      <c r="G90" s="674"/>
      <c r="H90" s="70"/>
      <c r="I90" s="674"/>
      <c r="J90" s="674"/>
      <c r="K90" s="674"/>
      <c r="L90" s="674"/>
      <c r="M90" s="674"/>
      <c r="N90" s="674"/>
      <c r="O90" s="674"/>
      <c r="P90" s="674"/>
      <c r="Q90" s="102"/>
      <c r="R90" s="102"/>
      <c r="S90" s="102"/>
      <c r="T90" s="102"/>
      <c r="U90" s="102"/>
      <c r="V90" s="102"/>
      <c r="W90" s="102"/>
      <c r="X90" s="102"/>
      <c r="Y90" s="102"/>
      <c r="Z90" s="102"/>
    </row>
    <row r="91" customFormat="false" ht="12.75" hidden="false" customHeight="false" outlineLevel="1" collapsed="false">
      <c r="A91" s="70"/>
      <c r="B91" s="70"/>
      <c r="C91" s="674"/>
      <c r="D91" s="674"/>
      <c r="E91" s="674"/>
      <c r="F91" s="674"/>
      <c r="G91" s="674"/>
      <c r="H91" s="674"/>
      <c r="I91" s="674"/>
      <c r="J91" s="674"/>
      <c r="K91" s="674"/>
      <c r="L91" s="674"/>
      <c r="M91" s="674"/>
      <c r="N91" s="674"/>
      <c r="O91" s="674"/>
      <c r="P91" s="674"/>
      <c r="Q91" s="102"/>
      <c r="R91" s="102"/>
      <c r="S91" s="102"/>
      <c r="T91" s="102"/>
      <c r="U91" s="102"/>
      <c r="V91" s="102"/>
      <c r="W91" s="102"/>
      <c r="X91" s="102"/>
      <c r="Y91" s="102"/>
      <c r="Z91" s="102"/>
    </row>
    <row r="92" customFormat="false" ht="12.75" hidden="false" customHeight="false" outlineLevel="1" collapsed="false">
      <c r="A92" s="70"/>
      <c r="B92" s="70"/>
      <c r="C92" s="674"/>
      <c r="D92" s="674"/>
      <c r="E92" s="674"/>
      <c r="F92" s="674"/>
      <c r="G92" s="674"/>
      <c r="H92" s="674"/>
      <c r="I92" s="674"/>
      <c r="J92" s="674"/>
      <c r="K92" s="674"/>
      <c r="L92" s="674"/>
      <c r="M92" s="674"/>
      <c r="N92" s="674"/>
      <c r="O92" s="674"/>
      <c r="P92" s="674"/>
      <c r="Q92" s="102"/>
      <c r="R92" s="102"/>
      <c r="S92" s="102"/>
      <c r="T92" s="102"/>
      <c r="U92" s="102"/>
      <c r="V92" s="102"/>
      <c r="W92" s="102"/>
      <c r="X92" s="102"/>
      <c r="Y92" s="102"/>
      <c r="Z92" s="102"/>
    </row>
    <row r="93" customFormat="false" ht="12.75" hidden="false" customHeight="false" outlineLevel="1" collapsed="false">
      <c r="A93" s="70"/>
      <c r="B93" s="70"/>
      <c r="C93" s="674"/>
      <c r="D93" s="674"/>
      <c r="E93" s="674"/>
      <c r="F93" s="674"/>
      <c r="G93" s="674"/>
      <c r="H93" s="674"/>
      <c r="I93" s="674"/>
      <c r="J93" s="674"/>
      <c r="K93" s="674"/>
      <c r="L93" s="674"/>
      <c r="M93" s="674"/>
      <c r="N93" s="674"/>
      <c r="O93" s="674"/>
      <c r="P93" s="674"/>
      <c r="Q93" s="102"/>
      <c r="R93" s="102"/>
      <c r="S93" s="102"/>
      <c r="T93" s="102"/>
      <c r="U93" s="102"/>
      <c r="V93" s="102"/>
      <c r="W93" s="102"/>
      <c r="X93" s="102"/>
      <c r="Y93" s="102"/>
      <c r="Z93" s="102"/>
    </row>
    <row r="94" customFormat="false" ht="12.75" hidden="false" customHeight="false" outlineLevel="1" collapsed="false">
      <c r="A94" s="395"/>
      <c r="B94" s="70"/>
      <c r="C94" s="674"/>
      <c r="D94" s="674"/>
      <c r="E94" s="674"/>
      <c r="F94" s="674"/>
      <c r="G94" s="674"/>
      <c r="H94" s="674"/>
      <c r="I94" s="674"/>
      <c r="J94" s="674"/>
      <c r="K94" s="674"/>
      <c r="L94" s="674"/>
      <c r="M94" s="674"/>
      <c r="N94" s="674"/>
      <c r="O94" s="674"/>
      <c r="P94" s="674"/>
      <c r="Q94" s="102"/>
      <c r="R94" s="102"/>
      <c r="S94" s="102"/>
      <c r="T94" s="102"/>
      <c r="U94" s="102"/>
      <c r="V94" s="102"/>
      <c r="W94" s="102"/>
      <c r="X94" s="102"/>
      <c r="Y94" s="102"/>
      <c r="Z94" s="102"/>
    </row>
    <row r="95" customFormat="false" ht="12.75" hidden="false" customHeight="false" outlineLevel="1" collapsed="false">
      <c r="A95" s="395"/>
      <c r="B95" s="70"/>
      <c r="C95" s="674"/>
      <c r="D95" s="674"/>
      <c r="E95" s="674"/>
      <c r="F95" s="674"/>
      <c r="G95" s="674"/>
      <c r="H95" s="674"/>
      <c r="I95" s="674"/>
      <c r="J95" s="674"/>
      <c r="K95" s="674"/>
      <c r="L95" s="674"/>
      <c r="M95" s="674"/>
      <c r="N95" s="674"/>
      <c r="O95" s="674"/>
      <c r="P95" s="674"/>
      <c r="Q95" s="102"/>
      <c r="R95" s="102"/>
      <c r="S95" s="102"/>
      <c r="T95" s="102"/>
      <c r="U95" s="102"/>
      <c r="V95" s="102"/>
      <c r="W95" s="102"/>
      <c r="X95" s="102"/>
      <c r="Y95" s="102"/>
      <c r="Z95" s="102"/>
    </row>
    <row r="96" customFormat="false" ht="12.75" hidden="false" customHeight="false" outlineLevel="1" collapsed="false">
      <c r="A96" s="70"/>
      <c r="B96" s="70"/>
      <c r="C96" s="674"/>
      <c r="D96" s="674"/>
      <c r="E96" s="674"/>
      <c r="F96" s="674"/>
      <c r="G96" s="674"/>
      <c r="H96" s="674"/>
      <c r="I96" s="674"/>
      <c r="J96" s="674"/>
      <c r="K96" s="674"/>
      <c r="L96" s="674"/>
      <c r="M96" s="674"/>
      <c r="N96" s="674"/>
      <c r="O96" s="674"/>
      <c r="P96" s="674"/>
      <c r="Q96" s="102"/>
      <c r="R96" s="102"/>
      <c r="S96" s="102"/>
      <c r="T96" s="102"/>
      <c r="U96" s="102"/>
      <c r="V96" s="102"/>
      <c r="W96" s="102"/>
      <c r="X96" s="102"/>
      <c r="Y96" s="102"/>
      <c r="Z96" s="102"/>
    </row>
    <row r="97" customFormat="false" ht="12.75" hidden="false" customHeight="false" outlineLevel="1" collapsed="false">
      <c r="A97" s="395"/>
      <c r="B97" s="70"/>
      <c r="C97" s="674"/>
      <c r="D97" s="674"/>
      <c r="E97" s="674"/>
      <c r="F97" s="674"/>
      <c r="G97" s="674"/>
      <c r="H97" s="674"/>
      <c r="I97" s="674"/>
      <c r="J97" s="674"/>
      <c r="K97" s="674"/>
      <c r="L97" s="674"/>
      <c r="M97" s="674"/>
      <c r="N97" s="674"/>
      <c r="O97" s="674"/>
      <c r="P97" s="674"/>
      <c r="Q97" s="102"/>
      <c r="R97" s="102"/>
      <c r="S97" s="102"/>
      <c r="T97" s="102"/>
      <c r="U97" s="102"/>
      <c r="V97" s="102"/>
      <c r="W97" s="102"/>
      <c r="X97" s="102"/>
      <c r="Y97" s="102"/>
      <c r="Z97" s="102"/>
    </row>
    <row r="98" customFormat="false" ht="12.75" hidden="false" customHeight="false" outlineLevel="1" collapsed="false">
      <c r="A98" s="70"/>
      <c r="B98" s="70"/>
      <c r="C98" s="674"/>
      <c r="D98" s="674"/>
      <c r="E98" s="674"/>
      <c r="F98" s="674"/>
      <c r="G98" s="674"/>
      <c r="H98" s="674"/>
      <c r="I98" s="674"/>
      <c r="J98" s="674"/>
      <c r="K98" s="674"/>
      <c r="L98" s="674"/>
      <c r="M98" s="674"/>
      <c r="N98" s="674"/>
      <c r="O98" s="674"/>
      <c r="P98" s="674"/>
      <c r="Q98" s="102"/>
      <c r="R98" s="102"/>
      <c r="S98" s="102"/>
      <c r="T98" s="102"/>
      <c r="U98" s="102"/>
      <c r="V98" s="102"/>
      <c r="W98" s="102"/>
      <c r="X98" s="102"/>
      <c r="Y98" s="102"/>
      <c r="Z98" s="102"/>
    </row>
    <row r="99" customFormat="false" ht="12.75" hidden="false" customHeight="false" outlineLevel="1" collapsed="false">
      <c r="A99" s="70"/>
      <c r="B99" s="395"/>
      <c r="C99" s="675"/>
      <c r="D99" s="675"/>
      <c r="E99" s="675"/>
      <c r="F99" s="675"/>
      <c r="G99" s="675"/>
      <c r="H99" s="675"/>
      <c r="I99" s="675"/>
      <c r="J99" s="675"/>
      <c r="K99" s="675"/>
      <c r="L99" s="675"/>
      <c r="M99" s="675"/>
      <c r="N99" s="675"/>
      <c r="O99" s="675"/>
      <c r="P99" s="675"/>
      <c r="Q99" s="102"/>
      <c r="R99" s="102"/>
      <c r="S99" s="102"/>
      <c r="T99" s="102"/>
      <c r="U99" s="102"/>
      <c r="V99" s="102"/>
      <c r="W99" s="102"/>
      <c r="X99" s="102"/>
      <c r="Y99" s="102"/>
      <c r="Z99" s="102"/>
    </row>
    <row r="100" customFormat="false" ht="12.75" hidden="false" customHeight="false" outlineLevel="1" collapsed="false">
      <c r="A100" s="70"/>
      <c r="B100" s="395"/>
      <c r="C100" s="675"/>
      <c r="D100" s="675"/>
      <c r="E100" s="675"/>
      <c r="F100" s="675"/>
      <c r="G100" s="675"/>
      <c r="H100" s="675"/>
      <c r="I100" s="675"/>
      <c r="J100" s="675"/>
      <c r="K100" s="675"/>
      <c r="L100" s="675"/>
      <c r="M100" s="675"/>
      <c r="N100" s="675"/>
      <c r="O100" s="675"/>
      <c r="P100" s="675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</row>
    <row r="101" customFormat="false" ht="12.75" hidden="false" customHeight="false" outlineLevel="1" collapsed="false">
      <c r="A101" s="395"/>
      <c r="B101" s="395"/>
      <c r="C101" s="675"/>
      <c r="D101" s="675"/>
      <c r="E101" s="675"/>
      <c r="F101" s="675"/>
      <c r="G101" s="675"/>
      <c r="H101" s="675"/>
      <c r="I101" s="675"/>
      <c r="J101" s="675"/>
      <c r="K101" s="675"/>
      <c r="L101" s="675"/>
      <c r="M101" s="675"/>
      <c r="N101" s="675"/>
      <c r="O101" s="675"/>
      <c r="P101" s="675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</row>
    <row r="102" customFormat="false" ht="12.75" hidden="false" customHeight="false" outlineLevel="1" collapsed="false">
      <c r="A102" s="395"/>
      <c r="B102" s="70"/>
      <c r="C102" s="675"/>
      <c r="D102" s="675"/>
      <c r="E102" s="675"/>
      <c r="F102" s="675"/>
      <c r="G102" s="675"/>
      <c r="H102" s="675"/>
      <c r="I102" s="675"/>
      <c r="J102" s="675"/>
      <c r="K102" s="675"/>
      <c r="L102" s="675"/>
      <c r="M102" s="675"/>
      <c r="N102" s="675"/>
      <c r="O102" s="675"/>
      <c r="P102" s="675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</row>
    <row r="103" customFormat="false" ht="14.25" hidden="false" customHeight="false" outlineLevel="1" collapsed="false">
      <c r="A103" s="676"/>
      <c r="B103" s="70"/>
      <c r="C103" s="675"/>
      <c r="D103" s="675"/>
      <c r="E103" s="675"/>
      <c r="F103" s="675"/>
      <c r="G103" s="675"/>
      <c r="H103" s="675"/>
      <c r="I103" s="675"/>
      <c r="J103" s="675"/>
      <c r="K103" s="675"/>
      <c r="L103" s="675"/>
      <c r="M103" s="675"/>
      <c r="N103" s="675"/>
      <c r="O103" s="675"/>
      <c r="P103" s="675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</row>
    <row r="104" customFormat="false" ht="14.25" hidden="false" customHeight="false" outlineLevel="1" collapsed="false">
      <c r="A104" s="70"/>
      <c r="B104" s="676"/>
      <c r="C104" s="675"/>
      <c r="D104" s="675"/>
      <c r="E104" s="675"/>
      <c r="F104" s="675"/>
      <c r="G104" s="675"/>
      <c r="H104" s="675"/>
      <c r="I104" s="675"/>
      <c r="J104" s="675"/>
      <c r="K104" s="675"/>
      <c r="L104" s="675"/>
      <c r="M104" s="675"/>
      <c r="N104" s="675"/>
      <c r="O104" s="675"/>
      <c r="P104" s="675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</row>
    <row r="105" customFormat="false" ht="15.75" hidden="false" customHeight="false" outlineLevel="1" collapsed="false">
      <c r="A105" s="673"/>
      <c r="B105" s="70"/>
      <c r="C105" s="70"/>
      <c r="D105" s="674"/>
      <c r="E105" s="674"/>
      <c r="F105" s="70"/>
      <c r="G105" s="70"/>
      <c r="H105" s="674"/>
      <c r="I105" s="70"/>
      <c r="J105" s="70"/>
      <c r="K105" s="70"/>
      <c r="L105" s="70"/>
      <c r="M105" s="70"/>
      <c r="N105" s="70"/>
      <c r="O105" s="70"/>
      <c r="P105" s="70"/>
      <c r="Q105" s="102"/>
      <c r="R105" s="102"/>
      <c r="S105" s="102"/>
      <c r="T105" s="102"/>
      <c r="U105" s="102"/>
      <c r="V105" s="102"/>
      <c r="W105" s="102"/>
      <c r="X105" s="102"/>
      <c r="Y105" s="102"/>
      <c r="Z105" s="102"/>
    </row>
    <row r="106" customFormat="false" ht="12.75" hidden="false" customHeight="false" outlineLevel="1" collapsed="false">
      <c r="A106" s="395"/>
      <c r="B106" s="70"/>
      <c r="C106" s="677"/>
      <c r="D106" s="674"/>
      <c r="E106" s="674"/>
      <c r="F106" s="674"/>
      <c r="G106" s="674"/>
      <c r="H106" s="678"/>
      <c r="I106" s="679"/>
      <c r="J106" s="679"/>
      <c r="K106" s="679"/>
      <c r="L106" s="679"/>
      <c r="M106" s="679"/>
      <c r="N106" s="679"/>
      <c r="O106" s="679"/>
      <c r="P106" s="679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</row>
    <row r="107" customFormat="false" ht="12.75" hidden="false" customHeight="false" outlineLevel="1" collapsed="false">
      <c r="A107" s="395"/>
      <c r="B107" s="70"/>
      <c r="C107" s="674"/>
      <c r="D107" s="674"/>
      <c r="E107" s="674"/>
      <c r="F107" s="674"/>
      <c r="G107" s="674"/>
      <c r="H107" s="674"/>
      <c r="I107" s="674"/>
      <c r="J107" s="674"/>
      <c r="K107" s="674"/>
      <c r="L107" s="674"/>
      <c r="M107" s="674"/>
      <c r="N107" s="674"/>
      <c r="O107" s="674"/>
      <c r="P107" s="674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</row>
    <row r="108" customFormat="false" ht="12.75" hidden="false" customHeight="false" outlineLevel="1" collapsed="false">
      <c r="A108" s="70"/>
      <c r="B108" s="70"/>
      <c r="C108" s="674"/>
      <c r="D108" s="674"/>
      <c r="E108" s="674"/>
      <c r="F108" s="674"/>
      <c r="G108" s="674"/>
      <c r="H108" s="674"/>
      <c r="I108" s="674"/>
      <c r="J108" s="674"/>
      <c r="K108" s="674"/>
      <c r="L108" s="674"/>
      <c r="M108" s="674"/>
      <c r="N108" s="674"/>
      <c r="O108" s="674"/>
      <c r="P108" s="674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</row>
    <row r="109" customFormat="false" ht="12.75" hidden="false" customHeight="false" outlineLevel="1" collapsed="false">
      <c r="A109" s="70"/>
      <c r="B109" s="70"/>
      <c r="C109" s="674"/>
      <c r="D109" s="674"/>
      <c r="E109" s="674"/>
      <c r="F109" s="674"/>
      <c r="G109" s="674"/>
      <c r="H109" s="674"/>
      <c r="I109" s="674"/>
      <c r="J109" s="674"/>
      <c r="K109" s="674"/>
      <c r="L109" s="674"/>
      <c r="M109" s="674"/>
      <c r="N109" s="674"/>
      <c r="O109" s="674"/>
      <c r="P109" s="674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</row>
    <row r="110" customFormat="false" ht="12.75" hidden="false" customHeight="false" outlineLevel="1" collapsed="false">
      <c r="A110" s="70"/>
      <c r="B110" s="70"/>
      <c r="C110" s="674"/>
      <c r="D110" s="674"/>
      <c r="E110" s="674"/>
      <c r="F110" s="674"/>
      <c r="G110" s="674"/>
      <c r="H110" s="674"/>
      <c r="I110" s="674"/>
      <c r="J110" s="674"/>
      <c r="K110" s="674"/>
      <c r="L110" s="674"/>
      <c r="M110" s="674"/>
      <c r="N110" s="674"/>
      <c r="O110" s="674"/>
      <c r="P110" s="674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</row>
    <row r="111" customFormat="false" ht="12.75" hidden="false" customHeight="false" outlineLevel="1" collapsed="false">
      <c r="A111" s="70"/>
      <c r="B111" s="395"/>
      <c r="C111" s="675"/>
      <c r="D111" s="675"/>
      <c r="E111" s="675"/>
      <c r="F111" s="675"/>
      <c r="G111" s="675"/>
      <c r="H111" s="675"/>
      <c r="I111" s="675"/>
      <c r="J111" s="675"/>
      <c r="K111" s="675"/>
      <c r="L111" s="675"/>
      <c r="M111" s="675"/>
      <c r="N111" s="675"/>
      <c r="O111" s="675"/>
      <c r="P111" s="675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</row>
    <row r="112" customFormat="false" ht="12.75" hidden="false" customHeight="false" outlineLevel="1" collapsed="false">
      <c r="A112" s="395"/>
      <c r="B112" s="395"/>
      <c r="C112" s="675"/>
      <c r="D112" s="675"/>
      <c r="E112" s="675"/>
      <c r="F112" s="675"/>
      <c r="G112" s="675"/>
      <c r="H112" s="675"/>
      <c r="I112" s="675"/>
      <c r="J112" s="675"/>
      <c r="K112" s="675"/>
      <c r="L112" s="675"/>
      <c r="M112" s="675"/>
      <c r="N112" s="675"/>
      <c r="O112" s="675"/>
      <c r="P112" s="675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</row>
    <row r="113" customFormat="false" ht="12.75" hidden="false" customHeight="false" outlineLevel="1" collapsed="false">
      <c r="A113" s="395"/>
      <c r="B113" s="70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</row>
    <row r="114" customFormat="false" ht="12.75" hidden="false" customHeight="false" outlineLevel="1" collapsed="false">
      <c r="A114" s="70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</row>
    <row r="115" customFormat="false" ht="12.75" hidden="false" customHeight="false" outlineLevel="1" collapsed="false">
      <c r="A115" s="70"/>
      <c r="B115" s="395"/>
      <c r="C115" s="675"/>
      <c r="D115" s="675"/>
      <c r="E115" s="675"/>
      <c r="F115" s="675"/>
      <c r="G115" s="675"/>
      <c r="H115" s="675"/>
      <c r="I115" s="675"/>
      <c r="J115" s="675"/>
      <c r="K115" s="675"/>
      <c r="L115" s="675"/>
      <c r="M115" s="675"/>
      <c r="N115" s="675"/>
      <c r="O115" s="675"/>
      <c r="P115" s="675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</row>
    <row r="116" customFormat="false" ht="14.25" hidden="false" customHeight="false" outlineLevel="1" collapsed="false">
      <c r="A116" s="676"/>
      <c r="B116" s="70"/>
      <c r="C116" s="674"/>
      <c r="D116" s="674"/>
      <c r="E116" s="674"/>
      <c r="F116" s="674"/>
      <c r="G116" s="674"/>
      <c r="H116" s="674"/>
      <c r="I116" s="674"/>
      <c r="J116" s="674"/>
      <c r="K116" s="674"/>
      <c r="L116" s="674"/>
      <c r="M116" s="674"/>
      <c r="N116" s="674"/>
      <c r="O116" s="674"/>
      <c r="P116" s="674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</row>
    <row r="117" customFormat="false" ht="12.75" hidden="false" customHeight="false" outlineLevel="1" collapsed="false">
      <c r="A117" s="366"/>
      <c r="B117" s="70"/>
      <c r="C117" s="70"/>
      <c r="D117" s="102"/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</row>
    <row r="118" customFormat="false" ht="12.75" hidden="false" customHeight="false" outlineLevel="1" collapsed="false">
      <c r="A118" s="367"/>
      <c r="B118" s="70"/>
      <c r="C118" s="70"/>
      <c r="D118" s="102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</row>
    <row r="119" customFormat="false" ht="12.75" hidden="false" customHeight="false" outlineLevel="1" collapsed="false">
      <c r="A119" s="367"/>
      <c r="B119" s="70"/>
      <c r="C119" s="70"/>
      <c r="D119" s="102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</row>
    <row r="120" customFormat="false" ht="12.75" hidden="false" customHeight="false" outlineLevel="1" collapsed="false">
      <c r="A120" s="367"/>
      <c r="B120" s="70"/>
      <c r="C120" s="70"/>
      <c r="D120" s="102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  <c r="Z120" s="102"/>
    </row>
    <row r="121" customFormat="false" ht="12.75" hidden="false" customHeight="false" outlineLevel="1" collapsed="false">
      <c r="A121" s="367"/>
      <c r="B121" s="70"/>
      <c r="C121" s="70"/>
      <c r="D121" s="70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</row>
    <row r="122" customFormat="false" ht="12.75" hidden="false" customHeight="false" outlineLevel="1" collapsed="false">
      <c r="A122" s="367"/>
      <c r="B122" s="70"/>
      <c r="C122" s="70"/>
      <c r="D122" s="70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</row>
    <row r="123" customFormat="false" ht="12.75" hidden="false" customHeight="false" outlineLevel="1" collapsed="false">
      <c r="A123" s="367"/>
      <c r="B123" s="70"/>
      <c r="C123" s="70"/>
      <c r="D123" s="70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</row>
    <row r="124" customFormat="false" ht="12.75" hidden="false" customHeight="false" outlineLevel="1" collapsed="false">
      <c r="A124" s="367"/>
      <c r="B124" s="70"/>
      <c r="C124" s="70"/>
      <c r="D124" s="70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</row>
    <row r="125" customFormat="false" ht="12.75" hidden="false" customHeight="false" outlineLevel="1" collapsed="false">
      <c r="A125" s="388"/>
      <c r="B125" s="70"/>
      <c r="C125" s="70"/>
      <c r="D125" s="70"/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</row>
    <row r="126" customFormat="false" ht="12.75" hidden="false" customHeight="false" outlineLevel="1" collapsed="false">
      <c r="A126" s="670"/>
      <c r="B126" s="70"/>
      <c r="C126" s="70"/>
      <c r="D126" s="70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</row>
    <row r="127" customFormat="false" ht="12.75" hidden="false" customHeight="false" outlineLevel="1" collapsed="false">
      <c r="A127" s="367"/>
      <c r="B127" s="70"/>
      <c r="C127" s="70"/>
      <c r="D127" s="70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</row>
    <row r="128" customFormat="false" ht="12.75" hidden="false" customHeight="false" outlineLevel="1" collapsed="false">
      <c r="A128" s="367"/>
      <c r="B128" s="70"/>
      <c r="C128" s="70"/>
      <c r="D128" s="70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</row>
    <row r="129" customFormat="false" ht="12.75" hidden="false" customHeight="false" outlineLevel="1" collapsed="false">
      <c r="A129" s="681"/>
      <c r="B129" s="70"/>
      <c r="C129" s="70"/>
      <c r="D129" s="70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  <c r="Z129" s="102"/>
    </row>
    <row r="130" customFormat="false" ht="12.75" hidden="false" customHeight="false" outlineLevel="1" collapsed="false">
      <c r="A130" s="681"/>
      <c r="B130" s="70"/>
      <c r="C130" s="70"/>
      <c r="D130" s="70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  <c r="Z130" s="102"/>
    </row>
    <row r="131" customFormat="false" ht="12.75" hidden="false" customHeight="false" outlineLevel="1" collapsed="false">
      <c r="A131" s="367"/>
      <c r="B131" s="70"/>
      <c r="C131" s="70"/>
      <c r="D131" s="70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</row>
    <row r="132" customFormat="false" ht="12.75" hidden="false" customHeight="false" outlineLevel="1" collapsed="false">
      <c r="A132" s="681"/>
      <c r="B132" s="70"/>
      <c r="C132" s="70"/>
      <c r="D132" s="70"/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</row>
    <row r="133" customFormat="false" ht="12.75" hidden="false" customHeight="false" outlineLevel="1" collapsed="false">
      <c r="A133" s="367"/>
      <c r="B133" s="70"/>
      <c r="C133" s="70"/>
      <c r="D133" s="70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</row>
    <row r="134" customFormat="false" ht="12.75" hidden="false" customHeight="false" outlineLevel="1" collapsed="false">
      <c r="A134" s="367"/>
      <c r="B134" s="70"/>
      <c r="C134" s="70"/>
      <c r="D134" s="70"/>
      <c r="E134" s="102"/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</row>
    <row r="135" customFormat="false" ht="12.75" hidden="false" customHeight="false" outlineLevel="1" collapsed="false">
      <c r="A135" s="367"/>
      <c r="B135" s="70"/>
      <c r="C135" s="70"/>
      <c r="D135" s="70"/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102"/>
      <c r="Y135" s="102"/>
      <c r="Z135" s="102"/>
    </row>
    <row r="136" customFormat="false" ht="12.75" hidden="false" customHeight="false" outlineLevel="1" collapsed="false">
      <c r="A136" s="681"/>
      <c r="B136" s="70"/>
      <c r="C136" s="70"/>
      <c r="D136" s="70"/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102"/>
      <c r="Y136" s="102"/>
      <c r="Z136" s="102"/>
    </row>
    <row r="137" customFormat="false" ht="12.75" hidden="false" customHeight="false" outlineLevel="1" collapsed="false">
      <c r="A137" s="366"/>
      <c r="B137" s="70"/>
      <c r="C137" s="70"/>
      <c r="D137" s="70"/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  <c r="Z137" s="102"/>
    </row>
    <row r="138" customFormat="false" ht="12.75" hidden="false" customHeight="false" outlineLevel="1" collapsed="false">
      <c r="A138" s="388"/>
      <c r="B138" s="70"/>
      <c r="C138" s="70"/>
      <c r="D138" s="70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</row>
    <row r="139" customFormat="false" ht="12.75" hidden="false" customHeight="false" outlineLevel="1" collapsed="false">
      <c r="A139" s="388"/>
      <c r="B139" s="70"/>
      <c r="C139" s="70"/>
      <c r="D139" s="70"/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  <c r="Z139" s="102"/>
    </row>
    <row r="140" customFormat="false" ht="15" hidden="false" customHeight="true" outlineLevel="1" collapsed="false">
      <c r="A140" s="388"/>
      <c r="B140" s="70"/>
      <c r="C140" s="70"/>
      <c r="D140" s="70"/>
      <c r="E140" s="70"/>
      <c r="F140" s="245"/>
      <c r="G140" s="245"/>
      <c r="H140" s="245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</row>
    <row r="141" customFormat="false" ht="12.75" hidden="false" customHeight="false" outlineLevel="1" collapsed="false">
      <c r="A141" s="388"/>
      <c r="B141" s="70"/>
      <c r="C141" s="70"/>
      <c r="D141" s="70"/>
      <c r="E141" s="70"/>
      <c r="F141" s="245"/>
      <c r="G141" s="245"/>
      <c r="H141" s="245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102"/>
      <c r="Y141" s="102"/>
      <c r="Z141" s="102"/>
    </row>
    <row r="142" customFormat="false" ht="14.25" hidden="false" customHeight="true" outlineLevel="1" collapsed="false">
      <c r="A142" s="388"/>
      <c r="B142" s="70"/>
      <c r="C142" s="70"/>
      <c r="D142" s="70"/>
      <c r="E142" s="70"/>
      <c r="F142" s="245"/>
      <c r="G142" s="245"/>
      <c r="H142" s="245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  <c r="Z142" s="102"/>
    </row>
    <row r="143" customFormat="false" ht="12.75" hidden="false" customHeight="false" outlineLevel="1" collapsed="false">
      <c r="A143" s="388"/>
      <c r="B143" s="70"/>
      <c r="C143" s="70"/>
      <c r="D143" s="70"/>
      <c r="E143" s="70"/>
      <c r="F143" s="245"/>
      <c r="G143" s="245"/>
      <c r="H143" s="245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</row>
    <row r="144" customFormat="false" ht="12.75" hidden="false" customHeight="false" outlineLevel="1" collapsed="false">
      <c r="A144" s="388"/>
      <c r="B144" s="70"/>
      <c r="C144" s="70"/>
      <c r="D144" s="70"/>
      <c r="E144" s="70"/>
      <c r="F144" s="245"/>
      <c r="G144" s="245"/>
      <c r="H144" s="245"/>
      <c r="I144" s="245"/>
      <c r="J144" s="245"/>
      <c r="K144" s="245"/>
      <c r="L144" s="245"/>
      <c r="M144" s="245"/>
      <c r="N144" s="245"/>
      <c r="O144" s="245"/>
      <c r="P144" s="245"/>
      <c r="Q144" s="245"/>
      <c r="R144" s="245"/>
      <c r="S144" s="245"/>
      <c r="T144" s="245"/>
      <c r="U144" s="245"/>
      <c r="V144" s="245"/>
      <c r="W144" s="245"/>
      <c r="X144" s="245"/>
      <c r="Y144" s="245"/>
      <c r="Z144" s="245"/>
    </row>
    <row r="145" customFormat="false" ht="12.75" hidden="false" customHeight="false" outlineLevel="1" collapsed="false">
      <c r="A145" s="398"/>
      <c r="B145" s="70"/>
      <c r="C145" s="70"/>
      <c r="D145" s="70"/>
      <c r="E145" s="70"/>
      <c r="F145" s="245"/>
      <c r="G145" s="245"/>
      <c r="H145" s="245"/>
      <c r="I145" s="245"/>
      <c r="J145" s="245"/>
      <c r="K145" s="245"/>
      <c r="L145" s="245"/>
      <c r="M145" s="245"/>
      <c r="N145" s="245"/>
      <c r="O145" s="245"/>
      <c r="P145" s="245"/>
      <c r="Q145" s="245"/>
      <c r="R145" s="245"/>
      <c r="S145" s="245"/>
      <c r="T145" s="245"/>
      <c r="U145" s="245"/>
      <c r="V145" s="245"/>
      <c r="W145" s="245"/>
      <c r="X145" s="245"/>
      <c r="Y145" s="245"/>
      <c r="Z145" s="245"/>
    </row>
    <row r="146" customFormat="false" ht="12.75" hidden="false" customHeight="false" outlineLevel="1" collapsed="false">
      <c r="A146" s="398"/>
      <c r="B146" s="70"/>
      <c r="C146" s="70"/>
      <c r="D146" s="70"/>
      <c r="E146" s="70"/>
      <c r="F146" s="245"/>
      <c r="G146" s="245"/>
      <c r="H146" s="245"/>
      <c r="I146" s="245"/>
      <c r="J146" s="245"/>
      <c r="K146" s="245"/>
      <c r="L146" s="245"/>
      <c r="M146" s="245"/>
      <c r="N146" s="245"/>
      <c r="O146" s="245"/>
      <c r="P146" s="245"/>
      <c r="Q146" s="245"/>
      <c r="R146" s="245"/>
      <c r="S146" s="245"/>
      <c r="T146" s="245"/>
      <c r="U146" s="245"/>
      <c r="V146" s="245"/>
      <c r="W146" s="245"/>
      <c r="X146" s="245"/>
      <c r="Y146" s="245"/>
      <c r="Z146" s="245"/>
    </row>
    <row r="147" customFormat="false" ht="12.75" hidden="false" customHeight="false" outlineLevel="1" collapsed="false">
      <c r="A147" s="398"/>
      <c r="B147" s="70"/>
      <c r="C147" s="70"/>
      <c r="D147" s="70"/>
      <c r="E147" s="70"/>
      <c r="F147" s="245"/>
      <c r="G147" s="245"/>
      <c r="H147" s="245"/>
      <c r="I147" s="245"/>
      <c r="J147" s="245"/>
      <c r="K147" s="245"/>
      <c r="L147" s="245"/>
      <c r="M147" s="245"/>
      <c r="N147" s="245"/>
      <c r="O147" s="245"/>
      <c r="P147" s="245"/>
      <c r="Q147" s="245"/>
      <c r="R147" s="245"/>
      <c r="S147" s="245"/>
      <c r="T147" s="245"/>
      <c r="U147" s="245"/>
      <c r="V147" s="245"/>
      <c r="W147" s="245"/>
      <c r="X147" s="245"/>
      <c r="Y147" s="245"/>
      <c r="Z147" s="245"/>
    </row>
    <row r="148" customFormat="false" ht="12.75" hidden="false" customHeight="false" outlineLevel="1" collapsed="false">
      <c r="A148" s="245"/>
      <c r="B148" s="70"/>
      <c r="C148" s="70"/>
      <c r="D148" s="70"/>
      <c r="E148" s="70"/>
      <c r="F148" s="245"/>
      <c r="G148" s="245"/>
      <c r="H148" s="245"/>
      <c r="I148" s="245"/>
      <c r="J148" s="245"/>
      <c r="K148" s="245"/>
      <c r="L148" s="245"/>
      <c r="M148" s="245"/>
      <c r="N148" s="245"/>
      <c r="O148" s="245"/>
      <c r="P148" s="245"/>
      <c r="Q148" s="245"/>
      <c r="R148" s="245"/>
      <c r="S148" s="245"/>
      <c r="T148" s="245"/>
      <c r="U148" s="245"/>
      <c r="V148" s="245"/>
      <c r="W148" s="245"/>
      <c r="X148" s="245"/>
      <c r="Y148" s="245"/>
      <c r="Z148" s="245"/>
    </row>
    <row r="149" customFormat="false" ht="12.75" hidden="false" customHeight="false" outlineLevel="1" collapsed="false">
      <c r="A149" s="70"/>
      <c r="B149" s="70"/>
      <c r="C149" s="70"/>
      <c r="D149" s="70"/>
      <c r="E149" s="70"/>
      <c r="F149" s="245"/>
      <c r="G149" s="245"/>
      <c r="H149" s="245"/>
      <c r="I149" s="245"/>
      <c r="J149" s="245"/>
      <c r="K149" s="245"/>
      <c r="L149" s="245"/>
      <c r="M149" s="245"/>
      <c r="N149" s="245"/>
      <c r="O149" s="245"/>
      <c r="P149" s="245"/>
      <c r="Q149" s="245"/>
      <c r="R149" s="245"/>
      <c r="S149" s="245"/>
      <c r="T149" s="245"/>
      <c r="U149" s="245"/>
      <c r="V149" s="245"/>
      <c r="W149" s="245"/>
      <c r="X149" s="245"/>
      <c r="Y149" s="245"/>
      <c r="Z149" s="245"/>
    </row>
    <row r="150" customFormat="false" ht="12.75" hidden="false" customHeight="false" outlineLevel="1" collapsed="false">
      <c r="A150" s="70"/>
      <c r="B150" s="70"/>
      <c r="C150" s="70"/>
      <c r="D150" s="70"/>
      <c r="E150" s="70"/>
      <c r="F150" s="245"/>
      <c r="G150" s="245"/>
      <c r="H150" s="245"/>
      <c r="I150" s="245"/>
      <c r="J150" s="245"/>
      <c r="K150" s="245"/>
      <c r="L150" s="245"/>
      <c r="M150" s="245"/>
      <c r="N150" s="245"/>
      <c r="O150" s="245"/>
      <c r="P150" s="245"/>
      <c r="Q150" s="245"/>
      <c r="R150" s="245"/>
      <c r="S150" s="245"/>
      <c r="T150" s="245"/>
      <c r="U150" s="245"/>
      <c r="V150" s="245"/>
      <c r="W150" s="245"/>
      <c r="X150" s="245"/>
      <c r="Y150" s="245"/>
      <c r="Z150" s="245"/>
    </row>
    <row r="151" customFormat="false" ht="12.75" hidden="false" customHeight="false" outlineLevel="1" collapsed="false">
      <c r="A151" s="70"/>
      <c r="B151" s="70"/>
      <c r="C151" s="70"/>
      <c r="D151" s="70"/>
      <c r="E151" s="70"/>
      <c r="F151" s="245"/>
      <c r="G151" s="245"/>
      <c r="H151" s="245"/>
      <c r="I151" s="245"/>
      <c r="J151" s="245"/>
      <c r="K151" s="245"/>
      <c r="L151" s="245"/>
      <c r="M151" s="245"/>
      <c r="N151" s="245"/>
      <c r="O151" s="245"/>
      <c r="P151" s="245"/>
      <c r="Q151" s="245"/>
      <c r="R151" s="245"/>
      <c r="S151" s="245"/>
      <c r="T151" s="245"/>
      <c r="U151" s="245"/>
      <c r="V151" s="245"/>
      <c r="W151" s="245"/>
      <c r="X151" s="245"/>
      <c r="Y151" s="245"/>
      <c r="Z151" s="245"/>
    </row>
    <row r="152" customFormat="false" ht="18.75" hidden="false" customHeight="false" outlineLevel="1" collapsed="false">
      <c r="A152" s="682"/>
      <c r="B152" s="70"/>
      <c r="C152" s="70"/>
      <c r="D152" s="70"/>
      <c r="E152" s="70"/>
      <c r="F152" s="245"/>
      <c r="G152" s="245"/>
      <c r="H152" s="245"/>
      <c r="I152" s="245"/>
      <c r="J152" s="245"/>
      <c r="K152" s="245"/>
      <c r="L152" s="245"/>
      <c r="M152" s="245"/>
      <c r="N152" s="245"/>
      <c r="O152" s="245"/>
      <c r="P152" s="245"/>
      <c r="Q152" s="245"/>
      <c r="R152" s="245"/>
      <c r="S152" s="245"/>
      <c r="T152" s="245"/>
      <c r="U152" s="245"/>
      <c r="V152" s="245"/>
      <c r="W152" s="245"/>
      <c r="X152" s="245"/>
      <c r="Y152" s="245"/>
      <c r="Z152" s="245"/>
    </row>
    <row r="153" customFormat="false" ht="12.75" hidden="false" customHeight="false" outlineLevel="1" collapsed="false">
      <c r="A153" s="395"/>
      <c r="B153" s="70"/>
      <c r="C153" s="70"/>
      <c r="D153" s="70"/>
      <c r="E153" s="70"/>
      <c r="F153" s="245"/>
      <c r="G153" s="245"/>
      <c r="H153" s="245"/>
      <c r="I153" s="245"/>
      <c r="J153" s="245"/>
      <c r="K153" s="245"/>
      <c r="L153" s="245"/>
      <c r="M153" s="245"/>
      <c r="N153" s="245"/>
      <c r="O153" s="245"/>
      <c r="P153" s="245"/>
      <c r="Q153" s="245"/>
      <c r="R153" s="245"/>
      <c r="S153" s="245"/>
      <c r="T153" s="245"/>
      <c r="U153" s="245"/>
      <c r="V153" s="245"/>
      <c r="W153" s="245"/>
      <c r="X153" s="245"/>
      <c r="Y153" s="245"/>
      <c r="Z153" s="245"/>
    </row>
    <row r="154" customFormat="false" ht="12.75" hidden="false" customHeight="false" outlineLevel="1" collapsed="false">
      <c r="A154" s="395"/>
      <c r="B154" s="70"/>
      <c r="C154" s="70"/>
      <c r="D154" s="70"/>
      <c r="E154" s="70"/>
      <c r="F154" s="245"/>
      <c r="G154" s="245"/>
      <c r="H154" s="245"/>
      <c r="I154" s="245"/>
      <c r="J154" s="245"/>
      <c r="K154" s="245"/>
      <c r="L154" s="245"/>
      <c r="M154" s="245"/>
      <c r="N154" s="245"/>
      <c r="O154" s="245"/>
      <c r="P154" s="245"/>
      <c r="Q154" s="245"/>
      <c r="R154" s="245"/>
      <c r="S154" s="245"/>
      <c r="T154" s="245"/>
      <c r="U154" s="245"/>
      <c r="V154" s="245"/>
      <c r="W154" s="245"/>
      <c r="X154" s="245"/>
      <c r="Y154" s="245"/>
      <c r="Z154" s="245"/>
    </row>
    <row r="155" customFormat="false" ht="12.75" hidden="false" customHeight="false" outlineLevel="1" collapsed="false">
      <c r="A155" s="70"/>
      <c r="B155" s="70"/>
      <c r="C155" s="70"/>
      <c r="D155" s="70"/>
      <c r="E155" s="70"/>
      <c r="F155" s="245"/>
      <c r="G155" s="245"/>
      <c r="H155" s="245"/>
      <c r="I155" s="245"/>
      <c r="J155" s="245"/>
      <c r="K155" s="245"/>
      <c r="L155" s="245"/>
      <c r="M155" s="245"/>
      <c r="N155" s="245"/>
      <c r="O155" s="245"/>
      <c r="P155" s="245"/>
      <c r="Q155" s="245"/>
      <c r="R155" s="245"/>
      <c r="S155" s="245"/>
      <c r="T155" s="245"/>
      <c r="U155" s="245"/>
      <c r="V155" s="245"/>
      <c r="W155" s="245"/>
      <c r="X155" s="245"/>
      <c r="Y155" s="245"/>
      <c r="Z155" s="245"/>
    </row>
    <row r="156" customFormat="false" ht="12.75" hidden="false" customHeight="false" outlineLevel="1" collapsed="false">
      <c r="A156" s="70"/>
      <c r="B156" s="70"/>
      <c r="C156" s="70"/>
      <c r="D156" s="70"/>
      <c r="E156" s="70"/>
      <c r="F156" s="245"/>
      <c r="G156" s="245"/>
      <c r="H156" s="245"/>
      <c r="I156" s="245"/>
      <c r="J156" s="245"/>
      <c r="K156" s="245"/>
      <c r="L156" s="245"/>
      <c r="M156" s="245"/>
      <c r="N156" s="245"/>
      <c r="O156" s="245"/>
      <c r="P156" s="245"/>
      <c r="Q156" s="245"/>
      <c r="R156" s="245"/>
      <c r="S156" s="245"/>
      <c r="T156" s="245"/>
      <c r="U156" s="245"/>
      <c r="V156" s="245"/>
      <c r="W156" s="245"/>
      <c r="X156" s="245"/>
      <c r="Y156" s="245"/>
      <c r="Z156" s="245"/>
    </row>
    <row r="157" customFormat="false" ht="12.75" hidden="false" customHeight="false" outlineLevel="1" collapsed="false">
      <c r="A157" s="322"/>
      <c r="B157" s="322"/>
      <c r="C157" s="322"/>
      <c r="D157" s="322"/>
      <c r="E157" s="321"/>
      <c r="F157" s="321"/>
      <c r="G157" s="321"/>
      <c r="H157" s="321"/>
      <c r="I157" s="321"/>
      <c r="J157" s="321"/>
      <c r="K157" s="321"/>
      <c r="L157" s="321"/>
      <c r="M157" s="321"/>
      <c r="N157" s="321"/>
      <c r="O157" s="321"/>
      <c r="P157" s="321"/>
      <c r="Q157" s="321"/>
      <c r="R157" s="321"/>
      <c r="S157" s="321"/>
      <c r="T157" s="321"/>
      <c r="U157" s="321"/>
      <c r="V157" s="321"/>
      <c r="W157" s="321"/>
      <c r="X157" s="321"/>
      <c r="Y157" s="321"/>
      <c r="Z157" s="321"/>
    </row>
    <row r="158" customFormat="false" ht="12.75" hidden="false" customHeight="false" outlineLevel="1" collapsed="false">
      <c r="A158" s="388"/>
      <c r="B158" s="70"/>
      <c r="C158" s="70"/>
      <c r="D158" s="70"/>
      <c r="E158" s="70"/>
      <c r="F158" s="245"/>
      <c r="G158" s="245"/>
      <c r="H158" s="245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</row>
    <row r="159" customFormat="false" ht="12.75" hidden="false" customHeight="false" outlineLevel="1" collapsed="false">
      <c r="A159" s="367"/>
      <c r="B159" s="70"/>
      <c r="C159" s="70"/>
      <c r="D159" s="70"/>
      <c r="E159" s="70"/>
      <c r="F159" s="245"/>
      <c r="G159" s="245"/>
      <c r="H159" s="245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</row>
    <row r="160" customFormat="false" ht="12.75" hidden="false" customHeight="false" outlineLevel="1" collapsed="false">
      <c r="A160" s="367"/>
      <c r="B160" s="70"/>
      <c r="C160" s="70"/>
      <c r="D160" s="70"/>
      <c r="E160" s="70"/>
      <c r="F160" s="245"/>
      <c r="G160" s="245"/>
      <c r="H160" s="245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</row>
    <row r="161" customFormat="false" ht="12.75" hidden="false" customHeight="false" outlineLevel="1" collapsed="false">
      <c r="A161" s="366"/>
      <c r="B161" s="70"/>
      <c r="C161" s="70"/>
      <c r="D161" s="70"/>
      <c r="E161" s="70"/>
      <c r="F161" s="245"/>
      <c r="G161" s="245"/>
      <c r="H161" s="245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</row>
    <row r="162" customFormat="false" ht="12.75" hidden="false" customHeight="false" outlineLevel="1" collapsed="false">
      <c r="A162" s="245"/>
      <c r="B162" s="70"/>
      <c r="C162" s="70"/>
      <c r="D162" s="70"/>
      <c r="E162" s="70"/>
      <c r="F162" s="245"/>
      <c r="G162" s="245"/>
      <c r="H162" s="245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</row>
    <row r="163" customFormat="false" ht="12.75" hidden="false" customHeight="false" outlineLevel="1" collapsed="false">
      <c r="A163" s="388"/>
      <c r="B163" s="70"/>
      <c r="C163" s="70"/>
      <c r="D163" s="70"/>
      <c r="E163" s="70"/>
      <c r="F163" s="245"/>
      <c r="G163" s="245"/>
      <c r="H163" s="245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</row>
    <row r="164" customFormat="false" ht="12.75" hidden="false" customHeight="false" outlineLevel="1" collapsed="false">
      <c r="A164" s="367"/>
      <c r="B164" s="70"/>
      <c r="C164" s="70"/>
      <c r="D164" s="70"/>
      <c r="E164" s="70"/>
      <c r="F164" s="245"/>
      <c r="G164" s="245"/>
      <c r="H164" s="245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</row>
    <row r="165" customFormat="false" ht="12.75" hidden="false" customHeight="false" outlineLevel="1" collapsed="false">
      <c r="A165" s="367"/>
      <c r="B165" s="70"/>
      <c r="C165" s="70"/>
      <c r="D165" s="70"/>
      <c r="E165" s="70"/>
      <c r="F165" s="245"/>
      <c r="G165" s="245"/>
      <c r="H165" s="245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</row>
    <row r="166" customFormat="false" ht="12.75" hidden="false" customHeight="false" outlineLevel="1" collapsed="false">
      <c r="A166" s="367"/>
      <c r="B166" s="70"/>
      <c r="C166" s="70"/>
      <c r="D166" s="70"/>
      <c r="E166" s="102"/>
      <c r="F166" s="245"/>
      <c r="G166" s="245"/>
      <c r="H166" s="245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</row>
    <row r="167" customFormat="false" ht="12.75" hidden="false" customHeight="false" outlineLevel="1" collapsed="false">
      <c r="A167" s="367"/>
      <c r="B167" s="70"/>
      <c r="C167" s="70"/>
      <c r="D167" s="70"/>
      <c r="E167" s="70"/>
      <c r="F167" s="245"/>
      <c r="G167" s="245"/>
      <c r="H167" s="245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</row>
    <row r="168" customFormat="false" ht="12.75" hidden="false" customHeight="false" outlineLevel="1" collapsed="false">
      <c r="A168" s="245"/>
      <c r="B168" s="70"/>
      <c r="C168" s="70"/>
      <c r="D168" s="70"/>
      <c r="E168" s="70"/>
      <c r="F168" s="245"/>
      <c r="G168" s="245"/>
      <c r="H168" s="245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</row>
    <row r="169" customFormat="false" ht="12.75" hidden="false" customHeight="false" outlineLevel="1" collapsed="false">
      <c r="A169" s="388"/>
      <c r="B169" s="70"/>
      <c r="C169" s="70"/>
      <c r="D169" s="70"/>
      <c r="E169" s="70"/>
      <c r="F169" s="245"/>
      <c r="G169" s="245"/>
      <c r="H169" s="245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</row>
    <row r="170" customFormat="false" ht="12.75" hidden="false" customHeight="false" outlineLevel="1" collapsed="false">
      <c r="A170" s="245"/>
      <c r="B170" s="70"/>
      <c r="C170" s="70"/>
      <c r="D170" s="70"/>
      <c r="E170" s="70"/>
      <c r="F170" s="245"/>
      <c r="G170" s="245"/>
      <c r="H170" s="245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</row>
    <row r="171" customFormat="false" ht="12.75" hidden="false" customHeight="false" outlineLevel="1" collapsed="false">
      <c r="A171" s="388"/>
      <c r="B171" s="70"/>
      <c r="C171" s="70"/>
      <c r="D171" s="70"/>
      <c r="E171" s="70"/>
      <c r="F171" s="245"/>
      <c r="G171" s="245"/>
      <c r="H171" s="245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</row>
    <row r="172" customFormat="false" ht="12.75" hidden="false" customHeight="false" outlineLevel="1" collapsed="false">
      <c r="A172" s="367"/>
      <c r="B172" s="70"/>
      <c r="C172" s="70"/>
      <c r="D172" s="70"/>
      <c r="E172" s="70"/>
      <c r="F172" s="245"/>
      <c r="G172" s="245"/>
      <c r="H172" s="245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</row>
    <row r="173" customFormat="false" ht="12.75" hidden="false" customHeight="false" outlineLevel="1" collapsed="false">
      <c r="A173" s="388"/>
      <c r="B173" s="70"/>
      <c r="C173" s="70"/>
      <c r="D173" s="70"/>
      <c r="E173" s="70"/>
      <c r="F173" s="245"/>
      <c r="G173" s="245"/>
      <c r="H173" s="245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</row>
    <row r="174" customFormat="false" ht="12.75" hidden="false" customHeight="false" outlineLevel="1" collapsed="false">
      <c r="A174" s="681"/>
      <c r="B174" s="70"/>
      <c r="C174" s="70"/>
      <c r="D174" s="70"/>
      <c r="E174" s="70"/>
      <c r="F174" s="245"/>
      <c r="G174" s="245"/>
      <c r="H174" s="245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</row>
    <row r="175" customFormat="false" ht="12.75" hidden="false" customHeight="false" outlineLevel="1" collapsed="false">
      <c r="A175" s="367"/>
      <c r="B175" s="70"/>
      <c r="C175" s="70"/>
      <c r="D175" s="70"/>
      <c r="E175" s="70"/>
      <c r="F175" s="245"/>
      <c r="G175" s="245"/>
      <c r="H175" s="245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</row>
    <row r="176" customFormat="false" ht="12.75" hidden="false" customHeight="false" outlineLevel="1" collapsed="false">
      <c r="A176" s="366"/>
      <c r="B176" s="70"/>
      <c r="C176" s="70"/>
      <c r="D176" s="70"/>
      <c r="E176" s="70"/>
      <c r="F176" s="245"/>
      <c r="G176" s="245"/>
      <c r="H176" s="245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</row>
    <row r="177" customFormat="false" ht="12.75" hidden="false" customHeight="false" outlineLevel="1" collapsed="false">
      <c r="A177" s="367"/>
      <c r="B177" s="70"/>
      <c r="C177" s="70"/>
      <c r="D177" s="70"/>
      <c r="E177" s="70"/>
      <c r="F177" s="245"/>
      <c r="G177" s="245"/>
      <c r="H177" s="245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</row>
    <row r="178" customFormat="false" ht="12.75" hidden="false" customHeight="false" outlineLevel="1" collapsed="false">
      <c r="A178" s="366"/>
      <c r="B178" s="70"/>
      <c r="C178" s="70"/>
      <c r="D178" s="70"/>
      <c r="E178" s="70"/>
      <c r="F178" s="245"/>
      <c r="G178" s="245"/>
      <c r="H178" s="245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</row>
    <row r="179" customFormat="false" ht="12.75" hidden="false" customHeight="false" outlineLevel="1" collapsed="false">
      <c r="A179" s="367"/>
      <c r="B179" s="70"/>
      <c r="C179" s="70"/>
      <c r="D179" s="70"/>
      <c r="E179" s="70"/>
      <c r="F179" s="245"/>
      <c r="G179" s="245"/>
      <c r="H179" s="245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</row>
    <row r="180" customFormat="false" ht="12.75" hidden="false" customHeight="false" outlineLevel="1" collapsed="false">
      <c r="A180" s="367"/>
      <c r="B180" s="70"/>
      <c r="C180" s="70"/>
      <c r="D180" s="70"/>
      <c r="E180" s="70"/>
      <c r="F180" s="245"/>
      <c r="G180" s="245"/>
      <c r="H180" s="245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</row>
    <row r="181" customFormat="false" ht="12.75" hidden="false" customHeight="false" outlineLevel="1" collapsed="false">
      <c r="A181" s="367"/>
      <c r="B181" s="70"/>
      <c r="C181" s="70"/>
      <c r="D181" s="70"/>
      <c r="E181" s="70"/>
      <c r="F181" s="245"/>
      <c r="G181" s="245"/>
      <c r="H181" s="245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</row>
    <row r="182" customFormat="false" ht="12.75" hidden="false" customHeight="false" outlineLevel="1" collapsed="false">
      <c r="A182" s="367"/>
      <c r="B182" s="70"/>
      <c r="C182" s="70"/>
      <c r="D182" s="70"/>
      <c r="E182" s="70"/>
      <c r="F182" s="245"/>
      <c r="G182" s="245"/>
      <c r="H182" s="245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</row>
    <row r="183" customFormat="false" ht="12.75" hidden="false" customHeight="false" outlineLevel="1" collapsed="false">
      <c r="A183" s="367"/>
      <c r="B183" s="70"/>
      <c r="C183" s="70"/>
      <c r="D183" s="70"/>
      <c r="E183" s="70"/>
      <c r="F183" s="245"/>
      <c r="G183" s="245"/>
      <c r="H183" s="245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</row>
    <row r="184" customFormat="false" ht="12.75" hidden="false" customHeight="false" outlineLevel="1" collapsed="false">
      <c r="A184" s="367"/>
      <c r="B184" s="70"/>
      <c r="C184" s="70"/>
      <c r="D184" s="70"/>
      <c r="E184" s="70"/>
      <c r="F184" s="245"/>
      <c r="G184" s="245"/>
      <c r="H184" s="245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</row>
    <row r="185" customFormat="false" ht="12.75" hidden="false" customHeight="false" outlineLevel="1" collapsed="false">
      <c r="A185" s="388"/>
      <c r="B185" s="70"/>
      <c r="C185" s="70"/>
      <c r="D185" s="70"/>
      <c r="E185" s="70"/>
      <c r="F185" s="245"/>
      <c r="G185" s="245"/>
      <c r="H185" s="245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</row>
    <row r="186" customFormat="false" ht="12.75" hidden="false" customHeight="false" outlineLevel="1" collapsed="false">
      <c r="A186" s="670"/>
      <c r="B186" s="70"/>
      <c r="C186" s="70"/>
      <c r="D186" s="70"/>
      <c r="E186" s="70"/>
      <c r="F186" s="245"/>
      <c r="G186" s="245"/>
      <c r="H186" s="245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</row>
    <row r="187" customFormat="false" ht="12.75" hidden="false" customHeight="false" outlineLevel="1" collapsed="false">
      <c r="A187" s="367"/>
      <c r="B187" s="70"/>
      <c r="C187" s="70"/>
      <c r="D187" s="70"/>
      <c r="E187" s="70"/>
      <c r="F187" s="245"/>
      <c r="G187" s="245"/>
      <c r="H187" s="245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</row>
    <row r="188" customFormat="false" ht="12.75" hidden="false" customHeight="false" outlineLevel="1" collapsed="false">
      <c r="A188" s="681"/>
      <c r="B188" s="70"/>
      <c r="C188" s="70"/>
      <c r="D188" s="70"/>
      <c r="E188" s="70"/>
      <c r="F188" s="245"/>
      <c r="G188" s="245"/>
      <c r="H188" s="245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</row>
    <row r="189" customFormat="false" ht="12.75" hidden="false" customHeight="false" outlineLevel="1" collapsed="false">
      <c r="A189" s="681"/>
      <c r="B189" s="70"/>
      <c r="C189" s="70"/>
      <c r="D189" s="70"/>
      <c r="E189" s="70"/>
      <c r="F189" s="245"/>
      <c r="G189" s="245"/>
      <c r="H189" s="245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</row>
    <row r="190" customFormat="false" ht="12.75" hidden="false" customHeight="false" outlineLevel="1" collapsed="false">
      <c r="A190" s="367"/>
      <c r="B190" s="70"/>
      <c r="C190" s="70"/>
      <c r="D190" s="70"/>
      <c r="E190" s="70"/>
      <c r="F190" s="245"/>
      <c r="G190" s="245"/>
      <c r="H190" s="245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</row>
    <row r="191" customFormat="false" ht="12.75" hidden="false" customHeight="false" outlineLevel="1" collapsed="false">
      <c r="A191" s="367"/>
      <c r="B191" s="70"/>
      <c r="C191" s="70"/>
      <c r="D191" s="70"/>
      <c r="E191" s="70"/>
      <c r="F191" s="245"/>
      <c r="G191" s="245"/>
      <c r="H191" s="245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</row>
    <row r="192" customFormat="false" ht="12.75" hidden="false" customHeight="false" outlineLevel="1" collapsed="false">
      <c r="A192" s="366"/>
      <c r="B192" s="70"/>
      <c r="C192" s="70"/>
      <c r="D192" s="70"/>
      <c r="E192" s="70"/>
      <c r="F192" s="245"/>
      <c r="G192" s="245"/>
      <c r="H192" s="245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</row>
    <row r="193" customFormat="false" ht="12.75" hidden="false" customHeight="false" outlineLevel="1" collapsed="false">
      <c r="A193" s="388"/>
      <c r="B193" s="70"/>
      <c r="C193" s="70"/>
      <c r="D193" s="70"/>
      <c r="E193" s="70"/>
      <c r="F193" s="245"/>
      <c r="G193" s="245"/>
      <c r="H193" s="245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</row>
    <row r="194" customFormat="false" ht="12.75" hidden="false" customHeight="false" outlineLevel="1" collapsed="false">
      <c r="A194" s="388"/>
      <c r="B194" s="70"/>
      <c r="C194" s="70"/>
      <c r="D194" s="70"/>
      <c r="E194" s="70"/>
      <c r="F194" s="245"/>
      <c r="G194" s="245"/>
      <c r="H194" s="245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</row>
    <row r="195" customFormat="false" ht="12.75" hidden="false" customHeight="false" outlineLevel="1" collapsed="false">
      <c r="A195" s="388"/>
      <c r="B195" s="70"/>
      <c r="C195" s="70"/>
      <c r="D195" s="70"/>
      <c r="E195" s="70"/>
      <c r="F195" s="245"/>
      <c r="G195" s="245"/>
      <c r="H195" s="245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</row>
    <row r="196" customFormat="false" ht="12.75" hidden="false" customHeight="false" outlineLevel="1" collapsed="false">
      <c r="A196" s="388"/>
      <c r="B196" s="70"/>
      <c r="C196" s="70"/>
      <c r="D196" s="70"/>
      <c r="E196" s="70"/>
      <c r="F196" s="245"/>
      <c r="G196" s="245"/>
      <c r="H196" s="245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</row>
    <row r="197" customFormat="false" ht="12.75" hidden="false" customHeight="false" outlineLevel="1" collapsed="false">
      <c r="A197" s="388"/>
      <c r="B197" s="70"/>
      <c r="C197" s="70"/>
      <c r="D197" s="70"/>
      <c r="E197" s="70"/>
      <c r="F197" s="245"/>
      <c r="G197" s="245"/>
      <c r="H197" s="245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</row>
    <row r="198" customFormat="false" ht="12.75" hidden="false" customHeight="false" outlineLevel="1" collapsed="false">
      <c r="A198" s="388"/>
      <c r="B198" s="70"/>
      <c r="C198" s="70"/>
      <c r="D198" s="70"/>
      <c r="E198" s="70"/>
      <c r="F198" s="245"/>
      <c r="G198" s="245"/>
      <c r="H198" s="245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</row>
    <row r="199" customFormat="false" ht="12.75" hidden="false" customHeight="false" outlineLevel="1" collapsed="false">
      <c r="A199" s="388"/>
      <c r="B199" s="70"/>
      <c r="C199" s="70"/>
      <c r="D199" s="70"/>
      <c r="E199" s="70"/>
      <c r="F199" s="245"/>
      <c r="G199" s="245"/>
      <c r="H199" s="245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</row>
    <row r="200" customFormat="false" ht="12.75" hidden="false" customHeight="false" outlineLevel="1" collapsed="false">
      <c r="A200" s="70"/>
      <c r="B200" s="70"/>
      <c r="C200" s="70"/>
      <c r="D200" s="70"/>
      <c r="E200" s="70"/>
      <c r="F200" s="245"/>
      <c r="G200" s="245"/>
      <c r="H200" s="245"/>
      <c r="I200" s="245"/>
      <c r="J200" s="245"/>
      <c r="K200" s="245"/>
      <c r="L200" s="245"/>
      <c r="M200" s="245"/>
      <c r="N200" s="245"/>
      <c r="O200" s="245"/>
      <c r="P200" s="245"/>
      <c r="Q200" s="245"/>
      <c r="R200" s="245"/>
      <c r="S200" s="245"/>
      <c r="T200" s="245"/>
      <c r="U200" s="245"/>
      <c r="V200" s="245"/>
      <c r="W200" s="245"/>
      <c r="X200" s="245"/>
      <c r="Y200" s="245"/>
      <c r="Z200" s="245"/>
    </row>
    <row r="201" customFormat="false" ht="12.75" hidden="false" customHeight="false" outlineLevel="1" collapsed="false">
      <c r="A201" s="70"/>
      <c r="B201" s="70"/>
      <c r="C201" s="70"/>
      <c r="D201" s="70"/>
      <c r="E201" s="70"/>
      <c r="F201" s="245"/>
      <c r="G201" s="245"/>
      <c r="H201" s="245"/>
      <c r="I201" s="245"/>
      <c r="J201" s="245"/>
      <c r="K201" s="245"/>
      <c r="L201" s="245"/>
      <c r="M201" s="245"/>
      <c r="N201" s="245"/>
      <c r="O201" s="245"/>
      <c r="P201" s="245"/>
      <c r="Q201" s="245"/>
      <c r="R201" s="245"/>
      <c r="S201" s="245"/>
      <c r="T201" s="245"/>
      <c r="U201" s="245"/>
      <c r="V201" s="245"/>
      <c r="W201" s="245"/>
      <c r="X201" s="245"/>
      <c r="Y201" s="245"/>
      <c r="Z201" s="245"/>
    </row>
    <row r="202" customFormat="false" ht="12.75" hidden="false" customHeight="false" outlineLevel="1" collapsed="false">
      <c r="A202" s="70"/>
      <c r="B202" s="70"/>
      <c r="C202" s="70"/>
      <c r="D202" s="70"/>
      <c r="E202" s="70"/>
      <c r="F202" s="70"/>
      <c r="G202" s="70"/>
      <c r="H202" s="70"/>
      <c r="I202" s="245"/>
      <c r="J202" s="245"/>
      <c r="K202" s="245"/>
      <c r="L202" s="245"/>
      <c r="M202" s="245"/>
      <c r="N202" s="245"/>
      <c r="O202" s="245"/>
      <c r="P202" s="245"/>
      <c r="Q202" s="245"/>
      <c r="R202" s="245"/>
      <c r="S202" s="245"/>
      <c r="T202" s="245"/>
      <c r="U202" s="245"/>
      <c r="V202" s="245"/>
      <c r="W202" s="245"/>
      <c r="X202" s="245"/>
      <c r="Y202" s="245"/>
      <c r="Z202" s="245"/>
    </row>
    <row r="203" customFormat="false" ht="18.75" hidden="false" customHeight="false" outlineLevel="1" collapsed="false">
      <c r="A203" s="683"/>
      <c r="B203" s="683"/>
      <c r="C203" s="683"/>
      <c r="D203" s="683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</row>
    <row r="204" customFormat="false" ht="12.75" hidden="false" customHeight="false" outlineLevel="1" collapsed="false">
      <c r="A204" s="395"/>
      <c r="B204" s="395"/>
      <c r="C204" s="395"/>
      <c r="D204" s="395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</row>
    <row r="205" customFormat="false" ht="12.75" hidden="false" customHeight="false" outlineLevel="1" collapsed="false">
      <c r="A205" s="395"/>
      <c r="B205" s="684"/>
      <c r="C205" s="684"/>
      <c r="D205" s="684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</row>
    <row r="206" customFormat="false" ht="12.75" hidden="false" customHeight="false" outlineLevel="1" collapsed="false">
      <c r="A206" s="70"/>
      <c r="B206" s="70"/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</row>
    <row r="207" customFormat="false" ht="12.75" hidden="false" customHeight="false" outlineLevel="1" collapsed="false">
      <c r="A207" s="322"/>
      <c r="B207" s="321"/>
      <c r="C207" s="321"/>
      <c r="D207" s="321"/>
      <c r="E207" s="321"/>
      <c r="F207" s="321"/>
      <c r="G207" s="321"/>
      <c r="H207" s="321"/>
      <c r="I207" s="321"/>
      <c r="J207" s="321"/>
      <c r="K207" s="321"/>
      <c r="L207" s="321"/>
      <c r="M207" s="321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</row>
    <row r="208" customFormat="false" ht="12.75" hidden="false" customHeight="false" outlineLevel="1" collapsed="false">
      <c r="A208" s="395"/>
      <c r="B208" s="395"/>
      <c r="C208" s="395"/>
      <c r="D208" s="395"/>
      <c r="E208" s="395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</row>
    <row r="209" customFormat="false" ht="12.75" hidden="false" customHeight="false" outlineLevel="1" collapsed="false">
      <c r="A209" s="685"/>
      <c r="B209" s="395"/>
      <c r="C209" s="395"/>
      <c r="D209" s="395"/>
      <c r="E209" s="395"/>
      <c r="F209" s="686"/>
      <c r="G209" s="686"/>
      <c r="H209" s="686"/>
      <c r="I209" s="686"/>
      <c r="J209" s="686"/>
      <c r="K209" s="686"/>
      <c r="L209" s="686"/>
      <c r="M209" s="686"/>
      <c r="N209" s="70"/>
      <c r="O209" s="686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</row>
    <row r="210" customFormat="false" ht="12.75" hidden="false" customHeight="false" outlineLevel="1" collapsed="false">
      <c r="A210" s="685"/>
      <c r="B210" s="395"/>
      <c r="C210" s="395"/>
      <c r="D210" s="395"/>
      <c r="E210" s="395"/>
      <c r="F210" s="686"/>
      <c r="G210" s="686"/>
      <c r="H210" s="686"/>
      <c r="I210" s="686"/>
      <c r="J210" s="686"/>
      <c r="K210" s="686"/>
      <c r="L210" s="686"/>
      <c r="M210" s="686"/>
      <c r="N210" s="70"/>
      <c r="O210" s="686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</row>
    <row r="211" customFormat="false" ht="12.75" hidden="false" customHeight="false" outlineLevel="1" collapsed="false">
      <c r="A211" s="685"/>
      <c r="B211" s="685"/>
      <c r="C211" s="685"/>
      <c r="D211" s="685"/>
      <c r="E211" s="685"/>
      <c r="F211" s="686"/>
      <c r="G211" s="686"/>
      <c r="H211" s="686"/>
      <c r="I211" s="686"/>
      <c r="J211" s="686"/>
      <c r="K211" s="686"/>
      <c r="L211" s="686"/>
      <c r="M211" s="686"/>
      <c r="N211" s="70"/>
      <c r="O211" s="686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</row>
    <row r="212" customFormat="false" ht="12.75" hidden="false" customHeight="false" outlineLevel="1" collapsed="false">
      <c r="A212" s="685"/>
      <c r="B212" s="685"/>
      <c r="C212" s="685"/>
      <c r="D212" s="685"/>
      <c r="E212" s="685"/>
      <c r="F212" s="686"/>
      <c r="G212" s="686"/>
      <c r="H212" s="686"/>
      <c r="I212" s="686"/>
      <c r="J212" s="686"/>
      <c r="K212" s="686"/>
      <c r="L212" s="686"/>
      <c r="M212" s="686"/>
      <c r="N212" s="70"/>
      <c r="O212" s="686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</row>
    <row r="213" customFormat="false" ht="12.75" hidden="false" customHeight="false" outlineLevel="1" collapsed="false">
      <c r="A213" s="685"/>
      <c r="B213" s="322"/>
      <c r="C213" s="322"/>
      <c r="D213" s="322"/>
      <c r="E213" s="322"/>
      <c r="F213" s="686"/>
      <c r="G213" s="686"/>
      <c r="H213" s="686"/>
      <c r="I213" s="686"/>
      <c r="J213" s="686"/>
      <c r="K213" s="686"/>
      <c r="L213" s="686"/>
      <c r="M213" s="686"/>
      <c r="N213" s="70"/>
      <c r="O213" s="686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</row>
    <row r="214" customFormat="false" ht="12.75" hidden="false" customHeight="false" outlineLevel="1" collapsed="false">
      <c r="A214" s="70"/>
      <c r="B214" s="70"/>
      <c r="C214" s="70"/>
      <c r="D214" s="70"/>
      <c r="E214" s="70"/>
      <c r="F214" s="686"/>
      <c r="G214" s="686"/>
      <c r="H214" s="686"/>
      <c r="I214" s="686"/>
      <c r="J214" s="686"/>
      <c r="K214" s="686"/>
      <c r="L214" s="686"/>
      <c r="M214" s="686"/>
      <c r="N214" s="70"/>
      <c r="O214" s="686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</row>
    <row r="215" customFormat="false" ht="12.75" hidden="false" customHeight="false" outlineLevel="1" collapsed="false">
      <c r="A215" s="395"/>
      <c r="B215" s="395"/>
      <c r="C215" s="395"/>
      <c r="D215" s="395"/>
      <c r="E215" s="395"/>
      <c r="F215" s="686"/>
      <c r="G215" s="686"/>
      <c r="H215" s="686"/>
      <c r="I215" s="686"/>
      <c r="J215" s="686"/>
      <c r="K215" s="686"/>
      <c r="L215" s="686"/>
      <c r="M215" s="686"/>
      <c r="N215" s="70"/>
      <c r="O215" s="686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</row>
    <row r="216" customFormat="false" ht="12.75" hidden="false" customHeight="false" outlineLevel="1" collapsed="false">
      <c r="A216" s="685"/>
      <c r="B216" s="395"/>
      <c r="C216" s="395"/>
      <c r="D216" s="395"/>
      <c r="E216" s="395"/>
      <c r="F216" s="686"/>
      <c r="G216" s="686"/>
      <c r="H216" s="686"/>
      <c r="I216" s="686"/>
      <c r="J216" s="686"/>
      <c r="K216" s="686"/>
      <c r="L216" s="686"/>
      <c r="M216" s="686"/>
      <c r="N216" s="70"/>
      <c r="O216" s="686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</row>
    <row r="217" customFormat="false" ht="12.75" hidden="false" customHeight="false" outlineLevel="1" collapsed="false">
      <c r="A217" s="685"/>
      <c r="B217" s="395"/>
      <c r="C217" s="395"/>
      <c r="D217" s="395"/>
      <c r="E217" s="395"/>
      <c r="F217" s="686"/>
      <c r="G217" s="686"/>
      <c r="H217" s="686"/>
      <c r="I217" s="686"/>
      <c r="J217" s="686"/>
      <c r="K217" s="686"/>
      <c r="L217" s="686"/>
      <c r="M217" s="686"/>
      <c r="N217" s="70"/>
      <c r="O217" s="686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</row>
    <row r="218" customFormat="false" ht="12.75" hidden="false" customHeight="false" outlineLevel="1" collapsed="false">
      <c r="A218" s="685"/>
      <c r="B218" s="395"/>
      <c r="C218" s="395"/>
      <c r="D218" s="395"/>
      <c r="E218" s="395"/>
      <c r="F218" s="686"/>
      <c r="G218" s="686"/>
      <c r="H218" s="686"/>
      <c r="I218" s="686"/>
      <c r="J218" s="686"/>
      <c r="K218" s="686"/>
      <c r="L218" s="686"/>
      <c r="M218" s="686"/>
      <c r="N218" s="70"/>
      <c r="O218" s="686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</row>
    <row r="219" customFormat="false" ht="12.75" hidden="false" customHeight="false" outlineLevel="1" collapsed="false">
      <c r="A219" s="685"/>
      <c r="B219" s="395"/>
      <c r="C219" s="395"/>
      <c r="D219" s="395"/>
      <c r="E219" s="395"/>
      <c r="F219" s="686"/>
      <c r="G219" s="686"/>
      <c r="H219" s="686"/>
      <c r="I219" s="686"/>
      <c r="J219" s="686"/>
      <c r="K219" s="686"/>
      <c r="L219" s="686"/>
      <c r="M219" s="686"/>
      <c r="N219" s="70"/>
      <c r="O219" s="686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</row>
    <row r="220" customFormat="false" ht="12.75" hidden="false" customHeight="false" outlineLevel="1" collapsed="false">
      <c r="A220" s="685"/>
      <c r="B220" s="395"/>
      <c r="C220" s="395"/>
      <c r="D220" s="395"/>
      <c r="E220" s="395"/>
      <c r="F220" s="686"/>
      <c r="G220" s="686"/>
      <c r="H220" s="686"/>
      <c r="I220" s="686"/>
      <c r="J220" s="686"/>
      <c r="K220" s="686"/>
      <c r="L220" s="686"/>
      <c r="M220" s="686"/>
      <c r="N220" s="70"/>
      <c r="O220" s="686"/>
      <c r="P220" s="70"/>
      <c r="Q220" s="70"/>
      <c r="R220" s="70"/>
      <c r="S220" s="70"/>
      <c r="T220" s="70"/>
      <c r="U220" s="70"/>
      <c r="V220" s="70"/>
      <c r="W220" s="70"/>
      <c r="X220" s="70"/>
      <c r="Y220" s="70"/>
      <c r="Z220" s="70"/>
    </row>
    <row r="221" customFormat="false" ht="12.75" hidden="false" customHeight="false" outlineLevel="1" collapsed="false">
      <c r="A221" s="685"/>
      <c r="B221" s="395"/>
      <c r="C221" s="395"/>
      <c r="D221" s="395"/>
      <c r="E221" s="395"/>
      <c r="F221" s="686"/>
      <c r="G221" s="686"/>
      <c r="H221" s="686"/>
      <c r="I221" s="686"/>
      <c r="J221" s="686"/>
      <c r="K221" s="686"/>
      <c r="L221" s="686"/>
      <c r="M221" s="686"/>
      <c r="N221" s="70"/>
      <c r="O221" s="686"/>
      <c r="P221" s="70"/>
      <c r="Q221" s="70"/>
      <c r="R221" s="70"/>
      <c r="S221" s="70"/>
      <c r="T221" s="70"/>
      <c r="U221" s="70"/>
      <c r="V221" s="70"/>
      <c r="W221" s="70"/>
      <c r="X221" s="70"/>
      <c r="Y221" s="70"/>
      <c r="Z221" s="70"/>
    </row>
    <row r="222" customFormat="false" ht="12.75" hidden="false" customHeight="false" outlineLevel="1" collapsed="false">
      <c r="A222" s="685"/>
      <c r="B222" s="395"/>
      <c r="C222" s="395"/>
      <c r="D222" s="395"/>
      <c r="E222" s="395"/>
      <c r="F222" s="686"/>
      <c r="G222" s="686"/>
      <c r="H222" s="686"/>
      <c r="I222" s="686"/>
      <c r="J222" s="686"/>
      <c r="K222" s="686"/>
      <c r="L222" s="686"/>
      <c r="M222" s="686"/>
      <c r="N222" s="70"/>
      <c r="O222" s="686"/>
      <c r="P222" s="70"/>
      <c r="Q222" s="70"/>
      <c r="R222" s="70"/>
      <c r="S222" s="70"/>
      <c r="T222" s="70"/>
      <c r="U222" s="70"/>
      <c r="V222" s="70"/>
      <c r="W222" s="70"/>
      <c r="X222" s="70"/>
      <c r="Y222" s="70"/>
      <c r="Z222" s="70"/>
    </row>
    <row r="223" customFormat="false" ht="12.75" hidden="false" customHeight="false" outlineLevel="1" collapsed="false">
      <c r="A223" s="685"/>
      <c r="B223" s="395"/>
      <c r="C223" s="395"/>
      <c r="D223" s="395"/>
      <c r="E223" s="395"/>
      <c r="F223" s="686"/>
      <c r="G223" s="686"/>
      <c r="H223" s="686"/>
      <c r="I223" s="686"/>
      <c r="J223" s="686"/>
      <c r="K223" s="686"/>
      <c r="L223" s="686"/>
      <c r="M223" s="686"/>
      <c r="N223" s="70"/>
      <c r="O223" s="686"/>
      <c r="P223" s="70"/>
      <c r="Q223" s="70"/>
      <c r="R223" s="70"/>
      <c r="S223" s="70"/>
      <c r="T223" s="70"/>
      <c r="U223" s="70"/>
      <c r="V223" s="70"/>
      <c r="W223" s="70"/>
      <c r="X223" s="70"/>
      <c r="Y223" s="70"/>
      <c r="Z223" s="70"/>
    </row>
    <row r="224" customFormat="false" ht="12.75" hidden="false" customHeight="false" outlineLevel="1" collapsed="false">
      <c r="A224" s="685"/>
      <c r="B224" s="395"/>
      <c r="C224" s="395"/>
      <c r="D224" s="395"/>
      <c r="E224" s="395"/>
      <c r="F224" s="686"/>
      <c r="G224" s="686"/>
      <c r="H224" s="686"/>
      <c r="I224" s="686"/>
      <c r="J224" s="686"/>
      <c r="K224" s="686"/>
      <c r="L224" s="686"/>
      <c r="M224" s="686"/>
      <c r="N224" s="70"/>
      <c r="O224" s="686"/>
      <c r="P224" s="70"/>
      <c r="Q224" s="70"/>
      <c r="R224" s="70"/>
      <c r="S224" s="70"/>
      <c r="T224" s="70"/>
      <c r="U224" s="70"/>
      <c r="V224" s="70"/>
      <c r="W224" s="70"/>
      <c r="X224" s="70"/>
      <c r="Y224" s="70"/>
      <c r="Z224" s="70"/>
    </row>
    <row r="225" customFormat="false" ht="12.75" hidden="false" customHeight="false" outlineLevel="1" collapsed="false">
      <c r="A225" s="685"/>
      <c r="B225" s="685"/>
      <c r="C225" s="685"/>
      <c r="D225" s="685"/>
      <c r="E225" s="685"/>
      <c r="F225" s="686"/>
      <c r="G225" s="686"/>
      <c r="H225" s="686"/>
      <c r="I225" s="686"/>
      <c r="J225" s="686"/>
      <c r="K225" s="686"/>
      <c r="L225" s="686"/>
      <c r="M225" s="686"/>
      <c r="N225" s="70"/>
      <c r="O225" s="686"/>
      <c r="P225" s="70"/>
      <c r="Q225" s="70"/>
      <c r="R225" s="70"/>
      <c r="S225" s="70"/>
      <c r="T225" s="70"/>
      <c r="U225" s="70"/>
      <c r="V225" s="70"/>
      <c r="W225" s="70"/>
      <c r="X225" s="70"/>
      <c r="Y225" s="70"/>
      <c r="Z225" s="70"/>
    </row>
    <row r="226" customFormat="false" ht="12.75" hidden="false" customHeight="false" outlineLevel="1" collapsed="false">
      <c r="A226" s="685"/>
      <c r="B226" s="685"/>
      <c r="C226" s="685"/>
      <c r="D226" s="685"/>
      <c r="E226" s="685"/>
      <c r="F226" s="686"/>
      <c r="G226" s="686"/>
      <c r="H226" s="686"/>
      <c r="I226" s="686"/>
      <c r="J226" s="686"/>
      <c r="K226" s="686"/>
      <c r="L226" s="686"/>
      <c r="M226" s="686"/>
      <c r="N226" s="70"/>
      <c r="O226" s="686"/>
      <c r="P226" s="70"/>
      <c r="Q226" s="70"/>
      <c r="R226" s="70"/>
      <c r="S226" s="70"/>
      <c r="T226" s="70"/>
      <c r="U226" s="70"/>
      <c r="V226" s="70"/>
      <c r="W226" s="70"/>
      <c r="X226" s="70"/>
      <c r="Y226" s="70"/>
      <c r="Z226" s="70"/>
    </row>
    <row r="227" customFormat="false" ht="12.75" hidden="false" customHeight="false" outlineLevel="1" collapsed="false">
      <c r="A227" s="395"/>
      <c r="B227" s="395"/>
      <c r="C227" s="395"/>
      <c r="D227" s="395"/>
      <c r="E227" s="395"/>
      <c r="F227" s="686"/>
      <c r="G227" s="686"/>
      <c r="H227" s="686"/>
      <c r="I227" s="686"/>
      <c r="J227" s="686"/>
      <c r="K227" s="686"/>
      <c r="L227" s="686"/>
      <c r="M227" s="686"/>
      <c r="N227" s="70"/>
      <c r="O227" s="686"/>
      <c r="P227" s="70"/>
      <c r="Q227" s="70"/>
      <c r="R227" s="70"/>
      <c r="S227" s="70"/>
      <c r="T227" s="70"/>
      <c r="U227" s="70"/>
      <c r="V227" s="70"/>
      <c r="W227" s="70"/>
      <c r="X227" s="70"/>
      <c r="Y227" s="70"/>
      <c r="Z227" s="70"/>
    </row>
    <row r="228" customFormat="false" ht="12.75" hidden="false" customHeight="false" outlineLevel="1" collapsed="false">
      <c r="A228" s="685"/>
      <c r="B228" s="685"/>
      <c r="C228" s="685"/>
      <c r="D228" s="685"/>
      <c r="E228" s="685"/>
      <c r="F228" s="686"/>
      <c r="G228" s="686"/>
      <c r="H228" s="686"/>
      <c r="I228" s="686"/>
      <c r="J228" s="686"/>
      <c r="K228" s="686"/>
      <c r="L228" s="686"/>
      <c r="M228" s="686"/>
      <c r="N228" s="70"/>
      <c r="O228" s="686"/>
      <c r="P228" s="70"/>
      <c r="Q228" s="70"/>
      <c r="R228" s="70"/>
      <c r="S228" s="70"/>
      <c r="T228" s="70"/>
      <c r="U228" s="70"/>
      <c r="V228" s="70"/>
      <c r="W228" s="70"/>
      <c r="X228" s="70"/>
      <c r="Y228" s="70"/>
      <c r="Z228" s="70"/>
    </row>
    <row r="229" customFormat="false" ht="12.75" hidden="false" customHeight="false" outlineLevel="1" collapsed="false">
      <c r="A229" s="685"/>
      <c r="B229" s="685"/>
      <c r="C229" s="685"/>
      <c r="D229" s="685"/>
      <c r="E229" s="685"/>
      <c r="F229" s="686"/>
      <c r="G229" s="686"/>
      <c r="H229" s="686"/>
      <c r="I229" s="686"/>
      <c r="J229" s="686"/>
      <c r="K229" s="686"/>
      <c r="L229" s="686"/>
      <c r="M229" s="686"/>
      <c r="N229" s="70"/>
      <c r="O229" s="686"/>
      <c r="P229" s="70"/>
      <c r="Q229" s="70"/>
      <c r="R229" s="70"/>
      <c r="S229" s="70"/>
      <c r="T229" s="70"/>
      <c r="U229" s="70"/>
      <c r="V229" s="70"/>
      <c r="W229" s="70"/>
      <c r="X229" s="70"/>
      <c r="Y229" s="70"/>
      <c r="Z229" s="70"/>
    </row>
    <row r="230" customFormat="false" ht="12.75" hidden="false" customHeight="false" outlineLevel="1" collapsed="false">
      <c r="A230" s="395"/>
      <c r="B230" s="395"/>
      <c r="C230" s="395"/>
      <c r="D230" s="395"/>
      <c r="E230" s="395"/>
      <c r="F230" s="686"/>
      <c r="G230" s="686"/>
      <c r="H230" s="686"/>
      <c r="I230" s="686"/>
      <c r="J230" s="686"/>
      <c r="K230" s="686"/>
      <c r="L230" s="686"/>
      <c r="M230" s="686"/>
      <c r="N230" s="70"/>
      <c r="O230" s="686"/>
      <c r="P230" s="70"/>
      <c r="Q230" s="70"/>
      <c r="R230" s="70"/>
      <c r="S230" s="70"/>
      <c r="T230" s="70"/>
      <c r="U230" s="70"/>
      <c r="V230" s="70"/>
      <c r="W230" s="70"/>
      <c r="X230" s="70"/>
      <c r="Y230" s="70"/>
      <c r="Z230" s="70"/>
    </row>
    <row r="231" customFormat="false" ht="12.75" hidden="false" customHeight="false" outlineLevel="1" collapsed="false">
      <c r="A231" s="395"/>
      <c r="B231" s="395"/>
      <c r="C231" s="395"/>
      <c r="D231" s="395"/>
      <c r="E231" s="395"/>
      <c r="F231" s="686"/>
      <c r="G231" s="686"/>
      <c r="H231" s="686"/>
      <c r="I231" s="686"/>
      <c r="J231" s="686"/>
      <c r="K231" s="686"/>
      <c r="L231" s="686"/>
      <c r="M231" s="686"/>
      <c r="N231" s="70"/>
      <c r="O231" s="686"/>
      <c r="P231" s="70"/>
      <c r="Q231" s="70"/>
      <c r="R231" s="70"/>
      <c r="S231" s="70"/>
      <c r="T231" s="70"/>
      <c r="U231" s="70"/>
      <c r="V231" s="70"/>
      <c r="W231" s="70"/>
      <c r="X231" s="70"/>
      <c r="Y231" s="70"/>
      <c r="Z231" s="70"/>
    </row>
    <row r="232" customFormat="false" ht="12.75" hidden="false" customHeight="false" outlineLevel="1" collapsed="false">
      <c r="A232" s="70"/>
      <c r="B232" s="395"/>
      <c r="C232" s="395"/>
      <c r="D232" s="395"/>
      <c r="E232" s="395"/>
      <c r="F232" s="686"/>
      <c r="G232" s="686"/>
      <c r="H232" s="686"/>
      <c r="I232" s="686"/>
      <c r="J232" s="686"/>
      <c r="K232" s="686"/>
      <c r="L232" s="686"/>
      <c r="M232" s="686"/>
      <c r="N232" s="70"/>
      <c r="O232" s="686"/>
      <c r="P232" s="70"/>
      <c r="Q232" s="70"/>
      <c r="R232" s="70"/>
      <c r="S232" s="70"/>
      <c r="T232" s="70"/>
      <c r="U232" s="70"/>
      <c r="V232" s="70"/>
      <c r="W232" s="70"/>
      <c r="X232" s="70"/>
      <c r="Y232" s="70"/>
      <c r="Z232" s="70"/>
    </row>
    <row r="233" customFormat="false" ht="12.75" hidden="false" customHeight="false" outlineLevel="1" collapsed="false">
      <c r="A233" s="70"/>
      <c r="B233" s="687"/>
      <c r="C233" s="687"/>
      <c r="D233" s="687"/>
      <c r="E233" s="687"/>
      <c r="F233" s="686"/>
      <c r="G233" s="686"/>
      <c r="H233" s="686"/>
      <c r="I233" s="686"/>
      <c r="J233" s="686"/>
      <c r="K233" s="686"/>
      <c r="L233" s="686"/>
      <c r="M233" s="686"/>
      <c r="N233" s="70"/>
      <c r="O233" s="686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</row>
    <row r="234" customFormat="false" ht="12.75" hidden="false" customHeight="false" outlineLevel="1" collapsed="false">
      <c r="A234" s="395"/>
      <c r="B234" s="687"/>
      <c r="C234" s="687"/>
      <c r="D234" s="687"/>
      <c r="E234" s="687"/>
      <c r="F234" s="686"/>
      <c r="G234" s="686"/>
      <c r="H234" s="686"/>
      <c r="I234" s="686"/>
      <c r="J234" s="686"/>
      <c r="K234" s="686"/>
      <c r="L234" s="686"/>
      <c r="M234" s="686"/>
      <c r="N234" s="70"/>
      <c r="O234" s="686"/>
      <c r="P234" s="70"/>
      <c r="Q234" s="70"/>
      <c r="R234" s="70"/>
      <c r="S234" s="70"/>
      <c r="T234" s="70"/>
      <c r="U234" s="70"/>
      <c r="V234" s="70"/>
      <c r="W234" s="70"/>
      <c r="X234" s="70"/>
      <c r="Y234" s="70"/>
      <c r="Z234" s="70"/>
    </row>
    <row r="235" customFormat="false" ht="12.75" hidden="false" customHeight="false" outlineLevel="1" collapsed="false">
      <c r="A235" s="685"/>
      <c r="B235" s="687"/>
      <c r="C235" s="687"/>
      <c r="D235" s="687"/>
      <c r="E235" s="687"/>
      <c r="F235" s="686"/>
      <c r="G235" s="686"/>
      <c r="H235" s="686"/>
      <c r="I235" s="686"/>
      <c r="J235" s="686"/>
      <c r="K235" s="686"/>
      <c r="L235" s="686"/>
      <c r="M235" s="686"/>
      <c r="N235" s="70"/>
      <c r="O235" s="686"/>
      <c r="P235" s="70"/>
      <c r="Q235" s="70"/>
      <c r="R235" s="70"/>
      <c r="S235" s="70"/>
      <c r="T235" s="70"/>
      <c r="U235" s="70"/>
      <c r="V235" s="70"/>
      <c r="W235" s="70"/>
      <c r="X235" s="70"/>
      <c r="Y235" s="70"/>
      <c r="Z235" s="70"/>
    </row>
    <row r="236" customFormat="false" ht="12.75" hidden="false" customHeight="false" outlineLevel="1" collapsed="false">
      <c r="A236" s="395"/>
      <c r="B236" s="395"/>
      <c r="C236" s="395"/>
      <c r="D236" s="395"/>
      <c r="E236" s="395"/>
      <c r="F236" s="686"/>
      <c r="G236" s="686"/>
      <c r="H236" s="686"/>
      <c r="I236" s="686"/>
      <c r="J236" s="686"/>
      <c r="K236" s="686"/>
      <c r="L236" s="686"/>
      <c r="M236" s="686"/>
      <c r="N236" s="70"/>
      <c r="O236" s="686"/>
      <c r="P236" s="70"/>
      <c r="Q236" s="70"/>
      <c r="R236" s="70"/>
      <c r="S236" s="70"/>
      <c r="T236" s="70"/>
      <c r="U236" s="70"/>
      <c r="V236" s="70"/>
      <c r="W236" s="70"/>
      <c r="X236" s="70"/>
      <c r="Y236" s="70"/>
      <c r="Z236" s="70"/>
    </row>
    <row r="237" customFormat="false" ht="12.75" hidden="false" customHeight="false" outlineLevel="1" collapsed="false">
      <c r="A237" s="70"/>
      <c r="B237" s="70"/>
      <c r="C237" s="70"/>
      <c r="D237" s="70"/>
      <c r="E237" s="70"/>
      <c r="F237" s="686"/>
      <c r="G237" s="686"/>
      <c r="H237" s="686"/>
      <c r="I237" s="686"/>
      <c r="J237" s="686"/>
      <c r="K237" s="686"/>
      <c r="L237" s="686"/>
      <c r="M237" s="686"/>
      <c r="N237" s="70"/>
      <c r="O237" s="686"/>
      <c r="P237" s="70"/>
      <c r="Q237" s="70"/>
      <c r="R237" s="70"/>
      <c r="S237" s="70"/>
      <c r="T237" s="70"/>
      <c r="U237" s="70"/>
      <c r="V237" s="70"/>
      <c r="W237" s="70"/>
      <c r="X237" s="70"/>
      <c r="Y237" s="70"/>
      <c r="Z237" s="70"/>
    </row>
    <row r="238" customFormat="false" ht="12.75" hidden="false" customHeight="false" outlineLevel="1" collapsed="false">
      <c r="A238" s="395"/>
      <c r="B238" s="395"/>
      <c r="C238" s="395"/>
      <c r="D238" s="395"/>
      <c r="E238" s="395"/>
      <c r="F238" s="686"/>
      <c r="G238" s="686"/>
      <c r="H238" s="686"/>
      <c r="I238" s="686"/>
      <c r="J238" s="686"/>
      <c r="K238" s="686"/>
      <c r="L238" s="686"/>
      <c r="M238" s="686"/>
      <c r="N238" s="70"/>
      <c r="O238" s="686"/>
      <c r="P238" s="70"/>
      <c r="Q238" s="70"/>
      <c r="R238" s="70"/>
      <c r="S238" s="70"/>
      <c r="T238" s="70"/>
      <c r="U238" s="70"/>
      <c r="V238" s="70"/>
      <c r="W238" s="70"/>
      <c r="X238" s="70"/>
      <c r="Y238" s="70"/>
      <c r="Z238" s="70"/>
    </row>
    <row r="239" customFormat="false" ht="12.75" hidden="false" customHeight="false" outlineLevel="1" collapsed="false">
      <c r="A239" s="685"/>
      <c r="B239" s="685"/>
      <c r="C239" s="685"/>
      <c r="D239" s="685"/>
      <c r="E239" s="685"/>
      <c r="F239" s="686"/>
      <c r="G239" s="686"/>
      <c r="H239" s="686"/>
      <c r="I239" s="686"/>
      <c r="J239" s="686"/>
      <c r="K239" s="686"/>
      <c r="L239" s="686"/>
      <c r="M239" s="686"/>
      <c r="N239" s="70"/>
      <c r="O239" s="686"/>
      <c r="P239" s="70"/>
      <c r="Q239" s="70"/>
      <c r="R239" s="70"/>
      <c r="S239" s="70"/>
      <c r="T239" s="70"/>
      <c r="U239" s="70"/>
      <c r="V239" s="70"/>
      <c r="W239" s="70"/>
      <c r="X239" s="70"/>
      <c r="Y239" s="70"/>
      <c r="Z239" s="70"/>
    </row>
    <row r="240" customFormat="false" ht="12.75" hidden="false" customHeight="false" outlineLevel="1" collapsed="false">
      <c r="A240" s="685"/>
      <c r="B240" s="685"/>
      <c r="C240" s="685"/>
      <c r="D240" s="685"/>
      <c r="E240" s="685"/>
      <c r="F240" s="686"/>
      <c r="G240" s="686"/>
      <c r="H240" s="686"/>
      <c r="I240" s="686"/>
      <c r="J240" s="686"/>
      <c r="K240" s="686"/>
      <c r="L240" s="686"/>
      <c r="M240" s="686"/>
      <c r="N240" s="70"/>
      <c r="O240" s="686"/>
      <c r="P240" s="70"/>
      <c r="Q240" s="70"/>
      <c r="R240" s="70"/>
      <c r="S240" s="70"/>
      <c r="T240" s="70"/>
      <c r="U240" s="70"/>
      <c r="V240" s="70"/>
      <c r="W240" s="70"/>
      <c r="X240" s="70"/>
      <c r="Y240" s="70"/>
      <c r="Z240" s="70"/>
    </row>
    <row r="241" customFormat="false" ht="12.75" hidden="false" customHeight="false" outlineLevel="1" collapsed="false">
      <c r="A241" s="685"/>
      <c r="B241" s="685"/>
      <c r="C241" s="685"/>
      <c r="D241" s="685"/>
      <c r="E241" s="685"/>
      <c r="F241" s="686"/>
      <c r="G241" s="686"/>
      <c r="H241" s="686"/>
      <c r="I241" s="686"/>
      <c r="J241" s="686"/>
      <c r="K241" s="686"/>
      <c r="L241" s="686"/>
      <c r="M241" s="686"/>
      <c r="N241" s="70"/>
      <c r="O241" s="686"/>
      <c r="P241" s="70"/>
      <c r="Q241" s="70"/>
      <c r="R241" s="70"/>
      <c r="S241" s="70"/>
      <c r="T241" s="70"/>
      <c r="U241" s="70"/>
      <c r="V241" s="70"/>
      <c r="W241" s="70"/>
      <c r="X241" s="70"/>
      <c r="Y241" s="70"/>
      <c r="Z241" s="70"/>
    </row>
    <row r="242" customFormat="false" ht="12.75" hidden="false" customHeight="false" outlineLevel="1" collapsed="false">
      <c r="A242" s="685"/>
      <c r="B242" s="685"/>
      <c r="C242" s="685"/>
      <c r="D242" s="685"/>
      <c r="E242" s="685"/>
      <c r="F242" s="686"/>
      <c r="G242" s="686"/>
      <c r="H242" s="686"/>
      <c r="I242" s="686"/>
      <c r="J242" s="686"/>
      <c r="K242" s="686"/>
      <c r="L242" s="686"/>
      <c r="M242" s="686"/>
      <c r="N242" s="70"/>
      <c r="O242" s="686"/>
      <c r="P242" s="70"/>
      <c r="Q242" s="70"/>
      <c r="R242" s="70"/>
      <c r="S242" s="70"/>
      <c r="T242" s="70"/>
      <c r="U242" s="70"/>
      <c r="V242" s="70"/>
      <c r="W242" s="70"/>
      <c r="X242" s="70"/>
      <c r="Y242" s="70"/>
      <c r="Z242" s="70"/>
    </row>
    <row r="243" customFormat="false" ht="12.75" hidden="false" customHeight="false" outlineLevel="1" collapsed="false">
      <c r="A243" s="685"/>
      <c r="B243" s="685"/>
      <c r="C243" s="685"/>
      <c r="D243" s="685"/>
      <c r="E243" s="685"/>
      <c r="F243" s="686"/>
      <c r="G243" s="686"/>
      <c r="H243" s="686"/>
      <c r="I243" s="686"/>
      <c r="J243" s="686"/>
      <c r="K243" s="686"/>
      <c r="L243" s="686"/>
      <c r="M243" s="686"/>
      <c r="N243" s="70"/>
      <c r="O243" s="686"/>
      <c r="P243" s="70"/>
      <c r="Q243" s="70"/>
      <c r="R243" s="70"/>
      <c r="S243" s="70"/>
      <c r="T243" s="70"/>
      <c r="U243" s="70"/>
      <c r="V243" s="70"/>
      <c r="W243" s="70"/>
      <c r="X243" s="70"/>
      <c r="Y243" s="70"/>
      <c r="Z243" s="70"/>
    </row>
    <row r="244" customFormat="false" ht="12.75" hidden="false" customHeight="false" outlineLevel="1" collapsed="false">
      <c r="A244" s="685"/>
      <c r="B244" s="70"/>
      <c r="C244" s="70"/>
      <c r="D244" s="70"/>
      <c r="E244" s="70"/>
      <c r="F244" s="686"/>
      <c r="G244" s="686"/>
      <c r="H244" s="686"/>
      <c r="I244" s="686"/>
      <c r="J244" s="686"/>
      <c r="K244" s="686"/>
      <c r="L244" s="686"/>
      <c r="M244" s="686"/>
      <c r="N244" s="70"/>
      <c r="O244" s="686"/>
      <c r="P244" s="70"/>
      <c r="Q244" s="70"/>
      <c r="R244" s="70"/>
      <c r="S244" s="70"/>
      <c r="T244" s="70"/>
      <c r="U244" s="70"/>
      <c r="V244" s="70"/>
      <c r="W244" s="70"/>
      <c r="X244" s="70"/>
      <c r="Y244" s="70"/>
      <c r="Z244" s="70"/>
    </row>
    <row r="245" customFormat="false" ht="12.75" hidden="false" customHeight="false" outlineLevel="1" collapsed="false">
      <c r="A245" s="395"/>
      <c r="B245" s="395"/>
      <c r="C245" s="395"/>
      <c r="D245" s="395"/>
      <c r="E245" s="395"/>
      <c r="F245" s="686"/>
      <c r="G245" s="686"/>
      <c r="H245" s="686"/>
      <c r="I245" s="686"/>
      <c r="J245" s="686"/>
      <c r="K245" s="686"/>
      <c r="L245" s="686"/>
      <c r="M245" s="686"/>
      <c r="N245" s="70"/>
      <c r="O245" s="686"/>
      <c r="P245" s="70"/>
      <c r="Q245" s="70"/>
      <c r="R245" s="70"/>
      <c r="S245" s="70"/>
      <c r="T245" s="70"/>
      <c r="U245" s="70"/>
      <c r="V245" s="70"/>
      <c r="W245" s="70"/>
      <c r="X245" s="70"/>
      <c r="Y245" s="70"/>
      <c r="Z245" s="70"/>
    </row>
    <row r="246" customFormat="false" ht="12.75" hidden="false" customHeight="false" outlineLevel="1" collapsed="false">
      <c r="A246" s="395"/>
      <c r="B246" s="395"/>
      <c r="C246" s="395"/>
      <c r="D246" s="395"/>
      <c r="E246" s="395"/>
      <c r="F246" s="686"/>
      <c r="G246" s="686"/>
      <c r="H246" s="686"/>
      <c r="I246" s="686"/>
      <c r="J246" s="686"/>
      <c r="K246" s="686"/>
      <c r="L246" s="686"/>
      <c r="M246" s="686"/>
      <c r="N246" s="70"/>
      <c r="O246" s="686"/>
      <c r="P246" s="70"/>
      <c r="Q246" s="70"/>
      <c r="R246" s="70"/>
      <c r="S246" s="70"/>
      <c r="T246" s="70"/>
      <c r="U246" s="70"/>
      <c r="V246" s="70"/>
      <c r="W246" s="70"/>
      <c r="X246" s="70"/>
      <c r="Y246" s="70"/>
      <c r="Z246" s="70"/>
    </row>
    <row r="247" customFormat="false" ht="12.75" hidden="false" customHeight="false" outlineLevel="1" collapsed="false">
      <c r="A247" s="70"/>
      <c r="B247" s="70"/>
      <c r="C247" s="70"/>
      <c r="D247" s="70"/>
      <c r="E247" s="70"/>
      <c r="F247" s="686"/>
      <c r="G247" s="686"/>
      <c r="H247" s="686"/>
      <c r="I247" s="686"/>
      <c r="J247" s="686"/>
      <c r="K247" s="686"/>
      <c r="L247" s="686"/>
      <c r="M247" s="686"/>
      <c r="N247" s="70"/>
      <c r="O247" s="686"/>
      <c r="P247" s="70"/>
      <c r="Q247" s="70"/>
      <c r="R247" s="70"/>
      <c r="S247" s="70"/>
      <c r="T247" s="70"/>
      <c r="U247" s="70"/>
      <c r="V247" s="70"/>
      <c r="W247" s="70"/>
      <c r="X247" s="70"/>
      <c r="Y247" s="70"/>
      <c r="Z247" s="70"/>
    </row>
    <row r="248" customFormat="false" ht="12.75" hidden="false" customHeight="false" outlineLevel="1" collapsed="false">
      <c r="A248" s="395"/>
      <c r="B248" s="688"/>
      <c r="C248" s="688"/>
      <c r="D248" s="688"/>
      <c r="E248" s="70"/>
      <c r="F248" s="686"/>
      <c r="G248" s="686"/>
      <c r="H248" s="686"/>
      <c r="I248" s="686"/>
      <c r="J248" s="686"/>
      <c r="K248" s="686"/>
      <c r="L248" s="686"/>
      <c r="M248" s="686"/>
      <c r="N248" s="70"/>
      <c r="O248" s="686"/>
      <c r="P248" s="70"/>
      <c r="Q248" s="70"/>
      <c r="R248" s="70"/>
      <c r="S248" s="70"/>
      <c r="T248" s="70"/>
      <c r="U248" s="70"/>
      <c r="V248" s="70"/>
      <c r="W248" s="70"/>
      <c r="X248" s="70"/>
      <c r="Y248" s="70"/>
      <c r="Z248" s="70"/>
    </row>
    <row r="249" customFormat="false" ht="12.75" hidden="false" customHeight="false" outlineLevel="1" collapsed="false">
      <c r="A249" s="395"/>
      <c r="B249" s="684"/>
      <c r="C249" s="684"/>
      <c r="D249" s="684"/>
      <c r="E249" s="684"/>
      <c r="F249" s="686"/>
      <c r="G249" s="686"/>
      <c r="H249" s="686"/>
      <c r="I249" s="686"/>
      <c r="J249" s="686"/>
      <c r="K249" s="686"/>
      <c r="L249" s="686"/>
      <c r="M249" s="686"/>
      <c r="N249" s="70"/>
      <c r="O249" s="686"/>
      <c r="P249" s="70"/>
      <c r="Q249" s="70"/>
      <c r="R249" s="70"/>
      <c r="S249" s="70"/>
      <c r="T249" s="70"/>
      <c r="U249" s="70"/>
      <c r="V249" s="70"/>
      <c r="W249" s="70"/>
      <c r="X249" s="70"/>
      <c r="Y249" s="70"/>
      <c r="Z249" s="70"/>
    </row>
    <row r="250" customFormat="false" ht="12.75" hidden="false" customHeight="false" outlineLevel="1" collapsed="false">
      <c r="A250" s="70"/>
      <c r="B250" s="70"/>
      <c r="C250" s="70"/>
      <c r="D250" s="70"/>
      <c r="E250" s="70"/>
      <c r="F250" s="70"/>
      <c r="G250" s="70"/>
      <c r="H250" s="70"/>
      <c r="I250" s="70"/>
      <c r="J250" s="70"/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  <c r="Z250" s="70"/>
    </row>
    <row r="251" customFormat="false" ht="12.75" hidden="false" customHeight="false" outlineLevel="1" collapsed="false">
      <c r="A251" s="395"/>
      <c r="B251" s="689"/>
      <c r="C251" s="689"/>
      <c r="D251" s="689"/>
      <c r="E251" s="70"/>
      <c r="F251" s="70"/>
      <c r="G251" s="70"/>
      <c r="H251" s="102"/>
      <c r="I251" s="102"/>
      <c r="J251" s="102"/>
      <c r="K251" s="102"/>
      <c r="L251" s="102"/>
      <c r="M251" s="102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  <c r="Z251" s="70"/>
    </row>
    <row r="252" customFormat="false" ht="12.75" hidden="false" customHeight="false" outlineLevel="1" collapsed="false">
      <c r="A252" s="395"/>
      <c r="B252" s="70"/>
      <c r="C252" s="70"/>
      <c r="D252" s="70"/>
      <c r="E252" s="70"/>
      <c r="F252" s="70"/>
      <c r="G252" s="70"/>
      <c r="H252" s="102"/>
      <c r="I252" s="102"/>
      <c r="J252" s="102"/>
      <c r="K252" s="102"/>
      <c r="L252" s="102"/>
      <c r="M252" s="102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  <c r="Z252" s="70"/>
    </row>
    <row r="253" customFormat="false" ht="12.75" hidden="false" customHeight="false" outlineLevel="1" collapsed="false">
      <c r="A253" s="395"/>
      <c r="B253" s="70"/>
      <c r="C253" s="70"/>
      <c r="D253" s="70"/>
      <c r="E253" s="70"/>
      <c r="F253" s="70"/>
      <c r="G253" s="70"/>
      <c r="H253" s="102"/>
      <c r="I253" s="102"/>
      <c r="J253" s="102"/>
      <c r="K253" s="102"/>
      <c r="L253" s="102"/>
      <c r="M253" s="102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  <c r="Z253" s="70"/>
    </row>
    <row r="254" customFormat="false" ht="12.75" hidden="false" customHeight="false" outlineLevel="1" collapsed="false">
      <c r="A254" s="395"/>
      <c r="B254" s="70"/>
      <c r="C254" s="70"/>
      <c r="D254" s="70"/>
      <c r="E254" s="70"/>
      <c r="F254" s="70"/>
      <c r="G254" s="70"/>
      <c r="H254" s="102"/>
      <c r="I254" s="102"/>
      <c r="J254" s="102"/>
      <c r="K254" s="102"/>
      <c r="L254" s="102"/>
      <c r="M254" s="102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  <c r="Z254" s="70"/>
    </row>
    <row r="255" customFormat="false" ht="12.75" hidden="false" customHeight="false" outlineLevel="1" collapsed="false">
      <c r="A255" s="70"/>
      <c r="B255" s="70"/>
      <c r="C255" s="70"/>
      <c r="D255" s="70"/>
      <c r="E255" s="70"/>
      <c r="F255" s="70"/>
      <c r="G255" s="70"/>
      <c r="H255" s="70"/>
      <c r="I255" s="70"/>
      <c r="J255" s="70"/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  <c r="Z255" s="70"/>
    </row>
    <row r="256" customFormat="false" ht="18.75" hidden="false" customHeight="false" outlineLevel="1" collapsed="false">
      <c r="A256" s="682"/>
      <c r="B256" s="70"/>
      <c r="C256" s="70"/>
      <c r="D256" s="70"/>
      <c r="E256" s="70"/>
      <c r="F256" s="70"/>
      <c r="G256" s="70"/>
      <c r="H256" s="70"/>
      <c r="I256" s="70"/>
      <c r="J256" s="70"/>
      <c r="K256" s="70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  <c r="Z256" s="70"/>
    </row>
    <row r="257" customFormat="false" ht="12.75" hidden="false" customHeight="false" outlineLevel="1" collapsed="false">
      <c r="A257" s="395"/>
      <c r="B257" s="70"/>
      <c r="C257" s="70"/>
      <c r="D257" s="70"/>
      <c r="E257" s="70"/>
      <c r="F257" s="70"/>
      <c r="G257" s="70"/>
      <c r="H257" s="70"/>
      <c r="I257" s="70"/>
      <c r="J257" s="70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  <c r="Z257" s="70"/>
    </row>
    <row r="258" customFormat="false" ht="12.75" hidden="false" customHeight="false" outlineLevel="1" collapsed="false">
      <c r="A258" s="70"/>
      <c r="B258" s="70"/>
      <c r="C258" s="70"/>
      <c r="D258" s="70"/>
      <c r="E258" s="70"/>
      <c r="F258" s="70"/>
      <c r="G258" s="70"/>
      <c r="H258" s="70"/>
      <c r="I258" s="70"/>
      <c r="J258" s="70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  <c r="Z258" s="70"/>
    </row>
    <row r="259" customFormat="false" ht="12.75" hidden="false" customHeight="false" outlineLevel="1" collapsed="false">
      <c r="A259" s="70"/>
      <c r="B259" s="70"/>
      <c r="C259" s="70"/>
      <c r="D259" s="70"/>
      <c r="E259" s="70"/>
      <c r="F259" s="70"/>
      <c r="G259" s="70"/>
      <c r="H259" s="70"/>
      <c r="I259" s="70"/>
      <c r="J259" s="70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  <c r="Z259" s="70"/>
    </row>
    <row r="260" customFormat="false" ht="12.75" hidden="false" customHeight="false" outlineLevel="1" collapsed="false">
      <c r="A260" s="690"/>
      <c r="B260" s="691"/>
      <c r="C260" s="691"/>
      <c r="D260" s="691"/>
      <c r="E260" s="691"/>
      <c r="F260" s="691"/>
      <c r="G260" s="691"/>
      <c r="H260" s="691"/>
      <c r="I260" s="691"/>
      <c r="J260" s="691"/>
      <c r="K260" s="691"/>
      <c r="L260" s="691"/>
      <c r="M260" s="691"/>
      <c r="N260" s="691"/>
      <c r="O260" s="691"/>
      <c r="P260" s="691"/>
      <c r="Q260" s="691"/>
      <c r="R260" s="691"/>
      <c r="S260" s="691"/>
      <c r="T260" s="691"/>
      <c r="U260" s="691"/>
      <c r="V260" s="691"/>
      <c r="W260" s="691"/>
      <c r="X260" s="691"/>
      <c r="Y260" s="691"/>
      <c r="Z260" s="691"/>
      <c r="AA260" s="691"/>
      <c r="AB260" s="691"/>
      <c r="AC260" s="691"/>
      <c r="AD260" s="691"/>
      <c r="AE260" s="691"/>
      <c r="AF260" s="691"/>
      <c r="AG260" s="691"/>
      <c r="AH260" s="691"/>
      <c r="AI260" s="691"/>
      <c r="AJ260" s="691"/>
      <c r="AK260" s="691"/>
      <c r="AL260" s="691"/>
      <c r="AM260" s="691"/>
      <c r="AN260" s="691"/>
      <c r="AO260" s="691"/>
      <c r="AP260" s="691"/>
      <c r="AQ260" s="691"/>
      <c r="AR260" s="691"/>
      <c r="AS260" s="691"/>
      <c r="AT260" s="691"/>
      <c r="AU260" s="691"/>
      <c r="AV260" s="691"/>
      <c r="AW260" s="691"/>
      <c r="AX260" s="691"/>
      <c r="AY260" s="691"/>
      <c r="AZ260" s="691"/>
      <c r="BA260" s="691"/>
      <c r="BB260" s="691"/>
      <c r="BC260" s="691"/>
      <c r="BD260" s="691"/>
      <c r="BE260" s="691"/>
      <c r="BF260" s="691"/>
      <c r="BG260" s="691"/>
      <c r="BH260" s="691"/>
      <c r="BI260" s="691"/>
      <c r="BJ260" s="691"/>
      <c r="BK260" s="691"/>
      <c r="BL260" s="691"/>
      <c r="BM260" s="691"/>
      <c r="BN260" s="691"/>
      <c r="BO260" s="691"/>
      <c r="BP260" s="691"/>
      <c r="BQ260" s="691"/>
      <c r="BR260" s="691"/>
      <c r="BS260" s="691"/>
      <c r="BT260" s="691"/>
      <c r="BU260" s="691"/>
      <c r="BV260" s="691"/>
      <c r="BW260" s="691"/>
      <c r="BX260" s="691"/>
      <c r="BY260" s="691"/>
      <c r="BZ260" s="691"/>
      <c r="CA260" s="691"/>
      <c r="CB260" s="691"/>
      <c r="CC260" s="691"/>
      <c r="CD260" s="691"/>
      <c r="CE260" s="691"/>
      <c r="CF260" s="691"/>
      <c r="CG260" s="691"/>
      <c r="CH260" s="691"/>
      <c r="CI260" s="691"/>
      <c r="CJ260" s="691"/>
      <c r="CK260" s="691"/>
      <c r="CL260" s="691"/>
      <c r="CM260" s="691"/>
      <c r="CN260" s="691"/>
      <c r="CO260" s="691"/>
      <c r="CP260" s="691"/>
      <c r="CQ260" s="691"/>
      <c r="CR260" s="691"/>
      <c r="CS260" s="691"/>
      <c r="CT260" s="691"/>
      <c r="CU260" s="691"/>
      <c r="CV260" s="691"/>
      <c r="CW260" s="691"/>
      <c r="CX260" s="691"/>
      <c r="CY260" s="691"/>
      <c r="CZ260" s="691"/>
      <c r="DA260" s="691"/>
      <c r="DB260" s="691"/>
      <c r="DC260" s="691"/>
      <c r="DD260" s="691"/>
      <c r="DE260" s="691"/>
      <c r="DF260" s="691"/>
      <c r="DG260" s="691"/>
      <c r="DH260" s="691"/>
      <c r="DI260" s="691"/>
      <c r="DJ260" s="691"/>
      <c r="DK260" s="691"/>
      <c r="DL260" s="691"/>
      <c r="DM260" s="691"/>
      <c r="DN260" s="691"/>
      <c r="DO260" s="691"/>
      <c r="DP260" s="691"/>
      <c r="DQ260" s="691"/>
      <c r="DR260" s="691"/>
      <c r="DS260" s="691"/>
      <c r="DT260" s="691"/>
      <c r="DU260" s="691"/>
      <c r="DV260" s="691"/>
      <c r="DW260" s="691"/>
      <c r="DX260" s="691"/>
      <c r="DY260" s="691"/>
      <c r="DZ260" s="691"/>
      <c r="EA260" s="691"/>
      <c r="EB260" s="691"/>
      <c r="EC260" s="691"/>
      <c r="ED260" s="691"/>
      <c r="EE260" s="691"/>
      <c r="EF260" s="691"/>
      <c r="EG260" s="691"/>
      <c r="EH260" s="691"/>
      <c r="EI260" s="691"/>
      <c r="EJ260" s="691"/>
      <c r="EK260" s="691"/>
      <c r="EL260" s="691"/>
      <c r="EM260" s="691"/>
      <c r="EN260" s="691"/>
      <c r="EO260" s="691"/>
      <c r="EP260" s="691"/>
      <c r="EQ260" s="691"/>
      <c r="ER260" s="691"/>
      <c r="ES260" s="691"/>
      <c r="ET260" s="691"/>
      <c r="EU260" s="691"/>
      <c r="EV260" s="691"/>
      <c r="EW260" s="691"/>
      <c r="EX260" s="691"/>
      <c r="EY260" s="691"/>
      <c r="EZ260" s="691"/>
      <c r="FA260" s="691"/>
      <c r="FB260" s="691"/>
      <c r="FC260" s="691"/>
      <c r="FD260" s="691"/>
      <c r="FE260" s="691"/>
      <c r="FF260" s="691"/>
      <c r="FG260" s="691"/>
      <c r="FH260" s="691"/>
      <c r="FI260" s="691"/>
      <c r="FJ260" s="691"/>
      <c r="FK260" s="691"/>
      <c r="FL260" s="691"/>
      <c r="FM260" s="691"/>
      <c r="FN260" s="691"/>
      <c r="FO260" s="691"/>
      <c r="FP260" s="691"/>
      <c r="FQ260" s="691"/>
      <c r="FR260" s="691"/>
      <c r="FS260" s="691"/>
      <c r="FT260" s="691"/>
      <c r="FU260" s="691"/>
      <c r="FV260" s="691"/>
      <c r="FW260" s="691"/>
      <c r="FX260" s="691"/>
      <c r="FY260" s="691"/>
      <c r="FZ260" s="691"/>
      <c r="GA260" s="691"/>
      <c r="GB260" s="691"/>
      <c r="GC260" s="691"/>
      <c r="GD260" s="691"/>
      <c r="GE260" s="691"/>
      <c r="GF260" s="691"/>
      <c r="GG260" s="691"/>
      <c r="GH260" s="691"/>
      <c r="GI260" s="691"/>
      <c r="GJ260" s="691"/>
      <c r="GK260" s="691"/>
      <c r="GL260" s="691"/>
      <c r="GM260" s="691"/>
      <c r="GN260" s="691"/>
      <c r="GO260" s="691"/>
      <c r="GP260" s="691"/>
      <c r="GQ260" s="691"/>
      <c r="GR260" s="691"/>
      <c r="GS260" s="691"/>
      <c r="GT260" s="691"/>
      <c r="GU260" s="691"/>
      <c r="GV260" s="691"/>
      <c r="GW260" s="691"/>
      <c r="GX260" s="691"/>
      <c r="GY260" s="691"/>
      <c r="GZ260" s="691"/>
      <c r="HA260" s="691"/>
      <c r="HB260" s="691"/>
      <c r="HC260" s="691"/>
      <c r="HD260" s="691"/>
      <c r="HE260" s="691"/>
      <c r="HF260" s="691"/>
      <c r="HG260" s="691"/>
      <c r="HH260" s="691"/>
      <c r="HI260" s="691"/>
      <c r="HJ260" s="691"/>
      <c r="HK260" s="691"/>
      <c r="HL260" s="691"/>
      <c r="HM260" s="691"/>
      <c r="HN260" s="691"/>
      <c r="HO260" s="691"/>
      <c r="HP260" s="691"/>
      <c r="HQ260" s="691"/>
      <c r="HR260" s="691"/>
      <c r="HS260" s="691"/>
      <c r="HT260" s="691"/>
      <c r="HU260" s="691"/>
      <c r="HV260" s="691"/>
      <c r="HW260" s="691"/>
      <c r="HX260" s="691"/>
      <c r="HY260" s="691"/>
      <c r="HZ260" s="691"/>
      <c r="IA260" s="691"/>
      <c r="IB260" s="691"/>
      <c r="IC260" s="691"/>
      <c r="ID260" s="691"/>
      <c r="IE260" s="691"/>
      <c r="IF260" s="691"/>
      <c r="IG260" s="691"/>
      <c r="IH260" s="691"/>
      <c r="II260" s="691"/>
      <c r="IJ260" s="691"/>
      <c r="IK260" s="691"/>
      <c r="IL260" s="691"/>
      <c r="IM260" s="691"/>
      <c r="IN260" s="691"/>
      <c r="IO260" s="691"/>
      <c r="IP260" s="691"/>
      <c r="IQ260" s="691"/>
      <c r="IR260" s="691"/>
      <c r="IS260" s="691"/>
      <c r="IT260" s="691"/>
      <c r="IU260" s="691"/>
      <c r="IV260" s="691"/>
      <c r="IW260" s="691"/>
    </row>
    <row r="261" customFormat="false" ht="12.75" hidden="false" customHeight="false" outlineLevel="1" collapsed="false">
      <c r="A261" s="395"/>
      <c r="B261" s="70"/>
      <c r="C261" s="70"/>
      <c r="D261" s="70"/>
      <c r="E261" s="70"/>
      <c r="F261" s="70"/>
      <c r="G261" s="70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  <c r="Z261" s="70"/>
    </row>
    <row r="262" customFormat="false" ht="12.75" hidden="false" customHeight="false" outlineLevel="1" collapsed="false">
      <c r="A262" s="395"/>
      <c r="B262" s="70"/>
      <c r="C262" s="70"/>
      <c r="D262" s="70"/>
      <c r="E262" s="70"/>
      <c r="F262" s="70"/>
      <c r="G262" s="70"/>
      <c r="H262" s="417"/>
      <c r="I262" s="417"/>
      <c r="J262" s="417"/>
      <c r="K262" s="417"/>
      <c r="L262" s="417"/>
      <c r="M262" s="417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  <c r="Y262" s="70"/>
      <c r="Z262" s="70"/>
    </row>
    <row r="263" customFormat="false" ht="12.75" hidden="false" customHeight="false" outlineLevel="1" collapsed="false">
      <c r="A263" s="395"/>
      <c r="B263" s="70"/>
      <c r="C263" s="70"/>
      <c r="D263" s="70"/>
      <c r="E263" s="70"/>
      <c r="F263" s="70"/>
      <c r="G263" s="70"/>
      <c r="H263" s="417"/>
      <c r="I263" s="417"/>
      <c r="J263" s="417"/>
      <c r="K263" s="417"/>
      <c r="L263" s="417"/>
      <c r="M263" s="417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  <c r="Z263" s="70"/>
    </row>
    <row r="264" customFormat="false" ht="12.75" hidden="false" customHeight="false" outlineLevel="1" collapsed="false">
      <c r="A264" s="70"/>
      <c r="B264" s="692"/>
      <c r="C264" s="692"/>
      <c r="D264" s="692"/>
      <c r="E264" s="692"/>
      <c r="F264" s="70"/>
      <c r="G264" s="70"/>
      <c r="H264" s="693"/>
      <c r="I264" s="693"/>
      <c r="J264" s="693"/>
      <c r="K264" s="693"/>
      <c r="L264" s="693"/>
      <c r="M264" s="693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  <c r="Z264" s="70"/>
    </row>
    <row r="265" customFormat="false" ht="12.75" hidden="false" customHeight="false" outlineLevel="1" collapsed="false">
      <c r="A265" s="395"/>
      <c r="B265" s="694"/>
      <c r="C265" s="694"/>
      <c r="D265" s="694"/>
      <c r="E265" s="694"/>
      <c r="F265" s="70"/>
      <c r="G265" s="70"/>
      <c r="H265" s="70"/>
      <c r="I265" s="70"/>
      <c r="J265" s="70"/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  <c r="Z265" s="70"/>
    </row>
    <row r="266" customFormat="false" ht="12.75" hidden="false" customHeight="false" outlineLevel="1" collapsed="false">
      <c r="A266" s="690"/>
      <c r="B266" s="70"/>
      <c r="C266" s="70"/>
      <c r="D266" s="70"/>
      <c r="E266" s="70"/>
      <c r="F266" s="70"/>
      <c r="G266" s="70"/>
      <c r="H266" s="70"/>
      <c r="I266" s="70"/>
      <c r="J266" s="70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  <c r="Z266" s="70"/>
    </row>
    <row r="267" customFormat="false" ht="12.75" hidden="false" customHeight="false" outlineLevel="1" collapsed="false">
      <c r="A267" s="695"/>
      <c r="B267" s="70"/>
      <c r="C267" s="70"/>
      <c r="D267" s="70"/>
      <c r="E267" s="70"/>
      <c r="F267" s="70"/>
      <c r="G267" s="70"/>
      <c r="H267" s="102"/>
      <c r="I267" s="102"/>
      <c r="J267" s="102"/>
      <c r="K267" s="102"/>
      <c r="L267" s="102"/>
      <c r="M267" s="102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  <c r="Z267" s="70"/>
    </row>
    <row r="268" customFormat="false" ht="12.75" hidden="false" customHeight="false" outlineLevel="1" collapsed="false">
      <c r="A268" s="695"/>
      <c r="B268" s="70"/>
      <c r="C268" s="70"/>
      <c r="D268" s="70"/>
      <c r="E268" s="70"/>
      <c r="F268" s="70"/>
      <c r="G268" s="70"/>
      <c r="H268" s="102"/>
      <c r="I268" s="102"/>
      <c r="J268" s="102"/>
      <c r="K268" s="102"/>
      <c r="L268" s="102"/>
      <c r="M268" s="102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  <c r="Y268" s="70"/>
      <c r="Z268" s="70"/>
    </row>
    <row r="269" customFormat="false" ht="12.75" hidden="false" customHeight="false" outlineLevel="1" collapsed="false">
      <c r="A269" s="695"/>
      <c r="B269" s="70"/>
      <c r="C269" s="70"/>
      <c r="D269" s="70"/>
      <c r="E269" s="70"/>
      <c r="F269" s="70"/>
      <c r="G269" s="70"/>
      <c r="H269" s="102"/>
      <c r="I269" s="102"/>
      <c r="J269" s="102"/>
      <c r="K269" s="102"/>
      <c r="L269" s="102"/>
      <c r="M269" s="102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  <c r="Z269" s="70"/>
    </row>
    <row r="270" customFormat="false" ht="12.75" hidden="false" customHeight="false" outlineLevel="1" collapsed="false">
      <c r="A270" s="695"/>
      <c r="B270" s="70"/>
      <c r="C270" s="70"/>
      <c r="D270" s="70"/>
      <c r="E270" s="70"/>
      <c r="F270" s="70"/>
      <c r="G270" s="70"/>
      <c r="H270" s="102"/>
      <c r="I270" s="102"/>
      <c r="J270" s="102"/>
      <c r="K270" s="102"/>
      <c r="L270" s="102"/>
      <c r="M270" s="102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  <c r="Z270" s="70"/>
    </row>
    <row r="271" customFormat="false" ht="12.75" hidden="false" customHeight="false" outlineLevel="1" collapsed="false">
      <c r="A271" s="695"/>
      <c r="B271" s="70"/>
      <c r="C271" s="70"/>
      <c r="D271" s="70"/>
      <c r="E271" s="70"/>
      <c r="F271" s="70"/>
      <c r="G271" s="70"/>
      <c r="H271" s="417"/>
      <c r="I271" s="417"/>
      <c r="J271" s="417"/>
      <c r="K271" s="417"/>
      <c r="L271" s="417"/>
      <c r="M271" s="417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  <c r="Z271" s="70"/>
    </row>
    <row r="272" customFormat="false" ht="12.75" hidden="false" customHeight="false" outlineLevel="1" collapsed="false">
      <c r="A272" s="395"/>
      <c r="B272" s="70"/>
      <c r="C272" s="70"/>
      <c r="D272" s="70"/>
      <c r="E272" s="70"/>
      <c r="F272" s="70"/>
      <c r="G272" s="70"/>
      <c r="H272" s="696"/>
      <c r="I272" s="696"/>
      <c r="J272" s="696"/>
      <c r="K272" s="696"/>
      <c r="L272" s="696"/>
      <c r="M272" s="696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  <c r="Z272" s="70"/>
    </row>
    <row r="273" customFormat="false" ht="12.75" hidden="false" customHeight="false" outlineLevel="1" collapsed="false">
      <c r="A273" s="695"/>
      <c r="B273" s="697"/>
      <c r="C273" s="697"/>
      <c r="D273" s="697"/>
      <c r="E273" s="697"/>
      <c r="F273" s="70"/>
      <c r="G273" s="70"/>
      <c r="H273" s="698"/>
      <c r="I273" s="698"/>
      <c r="J273" s="698"/>
      <c r="K273" s="698"/>
      <c r="L273" s="698"/>
      <c r="M273" s="698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  <c r="Z273" s="70"/>
    </row>
    <row r="274" customFormat="false" ht="12.75" hidden="false" customHeight="false" outlineLevel="1" collapsed="false">
      <c r="A274" s="695"/>
      <c r="B274" s="70"/>
      <c r="C274" s="70"/>
      <c r="D274" s="70"/>
      <c r="E274" s="70"/>
      <c r="F274" s="70"/>
      <c r="G274" s="70"/>
      <c r="H274" s="698"/>
      <c r="I274" s="698"/>
      <c r="J274" s="698"/>
      <c r="K274" s="698"/>
      <c r="L274" s="698"/>
      <c r="M274" s="698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  <c r="Z274" s="70"/>
    </row>
    <row r="275" customFormat="false" ht="12.75" hidden="false" customHeight="false" outlineLevel="1" collapsed="false">
      <c r="A275" s="695"/>
      <c r="B275" s="70"/>
      <c r="C275" s="70"/>
      <c r="D275" s="70"/>
      <c r="E275" s="70"/>
      <c r="F275" s="70"/>
      <c r="G275" s="70"/>
      <c r="H275" s="698"/>
      <c r="I275" s="698"/>
      <c r="J275" s="698"/>
      <c r="K275" s="698"/>
      <c r="L275" s="698"/>
      <c r="M275" s="698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  <c r="Z275" s="70"/>
    </row>
    <row r="276" customFormat="false" ht="12.75" hidden="false" customHeight="false" outlineLevel="1" collapsed="false">
      <c r="A276" s="695"/>
      <c r="B276" s="70"/>
      <c r="C276" s="70"/>
      <c r="D276" s="70"/>
      <c r="E276" s="70"/>
      <c r="F276" s="70"/>
      <c r="G276" s="70"/>
      <c r="H276" s="698"/>
      <c r="I276" s="698"/>
      <c r="J276" s="698"/>
      <c r="K276" s="698"/>
      <c r="L276" s="698"/>
      <c r="M276" s="698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/>
    </row>
    <row r="277" customFormat="false" ht="12.75" hidden="false" customHeight="false" outlineLevel="1" collapsed="false">
      <c r="A277" s="695"/>
      <c r="B277" s="70"/>
      <c r="C277" s="70"/>
      <c r="D277" s="70"/>
      <c r="E277" s="70"/>
      <c r="F277" s="70"/>
      <c r="G277" s="70"/>
      <c r="H277" s="696"/>
      <c r="I277" s="696"/>
      <c r="J277" s="696"/>
      <c r="K277" s="696"/>
      <c r="L277" s="696"/>
      <c r="M277" s="696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/>
    </row>
    <row r="278" customFormat="false" ht="12.75" hidden="false" customHeight="false" outlineLevel="1" collapsed="false">
      <c r="A278" s="395"/>
      <c r="B278" s="70"/>
      <c r="C278" s="70"/>
      <c r="D278" s="70"/>
      <c r="E278" s="70"/>
      <c r="F278" s="70"/>
      <c r="G278" s="70"/>
      <c r="H278" s="70"/>
      <c r="I278" s="70"/>
      <c r="J278" s="70"/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/>
    </row>
    <row r="279" customFormat="false" ht="12.75" hidden="false" customHeight="false" outlineLevel="1" collapsed="false">
      <c r="A279" s="70"/>
      <c r="B279" s="70"/>
      <c r="C279" s="70"/>
      <c r="D279" s="70"/>
      <c r="E279" s="70"/>
      <c r="F279" s="70"/>
      <c r="G279" s="70"/>
      <c r="H279" s="102"/>
      <c r="I279" s="102"/>
      <c r="J279" s="102"/>
      <c r="K279" s="102"/>
      <c r="L279" s="102"/>
      <c r="M279" s="102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/>
    </row>
    <row r="280" customFormat="false" ht="12.75" hidden="false" customHeight="false" outlineLevel="1" collapsed="false">
      <c r="A280" s="70"/>
      <c r="B280" s="70"/>
      <c r="C280" s="70"/>
      <c r="D280" s="70"/>
      <c r="E280" s="70"/>
      <c r="F280" s="70"/>
      <c r="G280" s="70"/>
      <c r="H280" s="102"/>
      <c r="I280" s="102"/>
      <c r="J280" s="102"/>
      <c r="K280" s="102"/>
      <c r="L280" s="102"/>
      <c r="M280" s="102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  <c r="Z280" s="70"/>
    </row>
    <row r="281" customFormat="false" ht="12.75" hidden="false" customHeight="false" outlineLevel="1" collapsed="false">
      <c r="A281" s="70"/>
      <c r="B281" s="70"/>
      <c r="C281" s="70"/>
      <c r="D281" s="70"/>
      <c r="E281" s="70"/>
      <c r="F281" s="70"/>
      <c r="G281" s="70"/>
      <c r="H281" s="102"/>
      <c r="I281" s="102"/>
      <c r="J281" s="102"/>
      <c r="K281" s="102"/>
      <c r="L281" s="102"/>
      <c r="M281" s="102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  <c r="Z281" s="70"/>
    </row>
    <row r="282" customFormat="false" ht="12.75" hidden="false" customHeight="false" outlineLevel="1" collapsed="false">
      <c r="A282" s="70"/>
      <c r="B282" s="70"/>
      <c r="C282" s="70"/>
      <c r="D282" s="70"/>
      <c r="E282" s="70"/>
      <c r="F282" s="639"/>
      <c r="G282" s="639"/>
      <c r="H282" s="102"/>
      <c r="I282" s="102"/>
      <c r="J282" s="102"/>
      <c r="K282" s="102"/>
      <c r="L282" s="102"/>
      <c r="M282" s="102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  <c r="Z282" s="70"/>
    </row>
    <row r="283" customFormat="false" ht="12.75" hidden="false" customHeight="false" outlineLevel="1" collapsed="false">
      <c r="A283" s="70"/>
      <c r="B283" s="70"/>
      <c r="C283" s="70"/>
      <c r="D283" s="70"/>
      <c r="E283" s="70"/>
      <c r="F283" s="70"/>
      <c r="G283" s="70"/>
      <c r="H283" s="70"/>
      <c r="I283" s="70"/>
      <c r="J283" s="70"/>
      <c r="K283" s="70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  <c r="Z283" s="70"/>
    </row>
    <row r="284" customFormat="false" ht="12.75" hidden="false" customHeight="false" outlineLevel="1" collapsed="false">
      <c r="A284" s="395"/>
      <c r="B284" s="70"/>
      <c r="C284" s="70"/>
      <c r="D284" s="70"/>
      <c r="E284" s="70"/>
      <c r="F284" s="70"/>
      <c r="G284" s="70"/>
      <c r="H284" s="70"/>
      <c r="I284" s="70"/>
      <c r="J284" s="70"/>
      <c r="K284" s="70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  <c r="Z284" s="70"/>
    </row>
    <row r="285" customFormat="false" ht="12.75" hidden="false" customHeight="false" outlineLevel="1" collapsed="false">
      <c r="A285" s="70"/>
      <c r="B285" s="70"/>
      <c r="C285" s="70"/>
      <c r="D285" s="70"/>
      <c r="E285" s="70"/>
      <c r="F285" s="70"/>
      <c r="G285" s="70"/>
      <c r="H285" s="417"/>
      <c r="I285" s="417"/>
      <c r="J285" s="417"/>
      <c r="K285" s="417"/>
      <c r="L285" s="417"/>
      <c r="M285" s="417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  <c r="Z285" s="70"/>
    </row>
    <row r="286" customFormat="false" ht="12.75" hidden="false" customHeight="false" outlineLevel="1" collapsed="false">
      <c r="A286" s="695"/>
      <c r="B286" s="70"/>
      <c r="C286" s="70"/>
      <c r="D286" s="70"/>
      <c r="E286" s="70"/>
      <c r="F286" s="70"/>
      <c r="G286" s="70"/>
      <c r="H286" s="417"/>
      <c r="I286" s="417"/>
      <c r="J286" s="417"/>
      <c r="K286" s="417"/>
      <c r="L286" s="417"/>
      <c r="M286" s="417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  <c r="Z286" s="70"/>
    </row>
    <row r="287" customFormat="false" ht="12.75" hidden="false" customHeight="false" outlineLevel="1" collapsed="false">
      <c r="A287" s="695"/>
      <c r="B287" s="70"/>
      <c r="C287" s="70"/>
      <c r="D287" s="70"/>
      <c r="E287" s="70"/>
      <c r="F287" s="70"/>
      <c r="G287" s="70"/>
      <c r="H287" s="417"/>
      <c r="I287" s="417"/>
      <c r="J287" s="417"/>
      <c r="K287" s="417"/>
      <c r="L287" s="417"/>
      <c r="M287" s="417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  <c r="Z287" s="70"/>
    </row>
    <row r="288" customFormat="false" ht="12.75" hidden="false" customHeight="false" outlineLevel="1" collapsed="false">
      <c r="A288" s="695"/>
      <c r="B288" s="70"/>
      <c r="C288" s="70"/>
      <c r="D288" s="70"/>
      <c r="E288" s="70"/>
      <c r="F288" s="639"/>
      <c r="G288" s="639"/>
      <c r="H288" s="417"/>
      <c r="I288" s="417"/>
      <c r="J288" s="417"/>
      <c r="K288" s="417"/>
      <c r="L288" s="417"/>
      <c r="M288" s="417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  <c r="Z288" s="70"/>
    </row>
    <row r="289" customFormat="false" ht="12.75" hidden="false" customHeight="false" outlineLevel="1" collapsed="false">
      <c r="A289" s="70"/>
      <c r="B289" s="70"/>
      <c r="C289" s="70"/>
      <c r="D289" s="70"/>
      <c r="E289" s="70"/>
      <c r="F289" s="70"/>
      <c r="G289" s="70"/>
      <c r="H289" s="417"/>
      <c r="I289" s="417"/>
      <c r="J289" s="417"/>
      <c r="K289" s="417"/>
      <c r="L289" s="417"/>
      <c r="M289" s="417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  <c r="Z289" s="70"/>
    </row>
    <row r="290" customFormat="false" ht="12.75" hidden="false" customHeight="false" outlineLevel="1" collapsed="false">
      <c r="A290" s="70"/>
      <c r="B290" s="70"/>
      <c r="C290" s="70"/>
      <c r="D290" s="70"/>
      <c r="E290" s="70"/>
      <c r="F290" s="70"/>
      <c r="G290" s="70"/>
      <c r="H290" s="417"/>
      <c r="I290" s="417"/>
      <c r="J290" s="417"/>
      <c r="K290" s="417"/>
      <c r="L290" s="417"/>
      <c r="M290" s="417"/>
      <c r="N290" s="70"/>
      <c r="O290" s="70"/>
      <c r="P290" s="70"/>
      <c r="Q290" s="70"/>
      <c r="R290" s="70"/>
      <c r="S290" s="70"/>
      <c r="T290" s="70"/>
      <c r="U290" s="70"/>
      <c r="V290" s="70"/>
      <c r="W290" s="70"/>
      <c r="X290" s="70"/>
      <c r="Y290" s="70"/>
      <c r="Z290" s="70"/>
    </row>
    <row r="291" customFormat="false" ht="12.75" hidden="false" customHeight="false" outlineLevel="1" collapsed="false">
      <c r="A291" s="70"/>
      <c r="B291" s="70"/>
      <c r="C291" s="70"/>
      <c r="D291" s="70"/>
      <c r="E291" s="70"/>
      <c r="F291" s="70"/>
      <c r="G291" s="70"/>
      <c r="H291" s="417"/>
      <c r="I291" s="417"/>
      <c r="J291" s="417"/>
      <c r="K291" s="417"/>
      <c r="L291" s="417"/>
      <c r="M291" s="417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  <c r="Y291" s="70"/>
      <c r="Z291" s="70"/>
    </row>
    <row r="292" customFormat="false" ht="12.75" hidden="false" customHeight="false" outlineLevel="1" collapsed="false">
      <c r="A292" s="70"/>
      <c r="B292" s="70"/>
      <c r="C292" s="70"/>
      <c r="D292" s="70"/>
      <c r="E292" s="70"/>
      <c r="F292" s="70"/>
      <c r="G292" s="70"/>
      <c r="H292" s="417"/>
      <c r="I292" s="417"/>
      <c r="J292" s="417"/>
      <c r="K292" s="417"/>
      <c r="L292" s="417"/>
      <c r="M292" s="417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  <c r="Z292" s="70"/>
    </row>
    <row r="293" customFormat="false" ht="12.75" hidden="false" customHeight="false" outlineLevel="1" collapsed="false">
      <c r="A293" s="70"/>
      <c r="B293" s="70"/>
      <c r="C293" s="70"/>
      <c r="D293" s="70"/>
      <c r="E293" s="70"/>
      <c r="F293" s="70"/>
      <c r="G293" s="70"/>
      <c r="H293" s="417"/>
      <c r="I293" s="417"/>
      <c r="J293" s="417"/>
      <c r="K293" s="417"/>
      <c r="L293" s="417"/>
      <c r="M293" s="417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  <c r="Z293" s="70"/>
    </row>
    <row r="294" customFormat="false" ht="12.75" hidden="false" customHeight="false" outlineLevel="1" collapsed="false">
      <c r="A294" s="70"/>
      <c r="B294" s="70"/>
      <c r="C294" s="70"/>
      <c r="D294" s="70"/>
      <c r="E294" s="70"/>
      <c r="F294" s="70"/>
      <c r="G294" s="70"/>
      <c r="H294" s="417"/>
      <c r="I294" s="417"/>
      <c r="J294" s="417"/>
      <c r="K294" s="417"/>
      <c r="L294" s="417"/>
      <c r="M294" s="417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  <c r="Y294" s="70"/>
      <c r="Z294" s="70"/>
    </row>
    <row r="295" customFormat="false" ht="12.75" hidden="false" customHeight="false" outlineLevel="1" collapsed="false">
      <c r="A295" s="70"/>
      <c r="B295" s="70"/>
      <c r="C295" s="70"/>
      <c r="D295" s="70"/>
      <c r="E295" s="70"/>
      <c r="F295" s="70"/>
      <c r="G295" s="70"/>
      <c r="H295" s="70"/>
      <c r="I295" s="70"/>
      <c r="J295" s="70"/>
      <c r="K295" s="70"/>
      <c r="L295" s="70"/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  <c r="Y295" s="70"/>
      <c r="Z295" s="70"/>
    </row>
    <row r="296" customFormat="false" ht="12.75" hidden="false" customHeight="false" outlineLevel="1" collapsed="false">
      <c r="A296" s="395"/>
      <c r="B296" s="70"/>
      <c r="C296" s="70"/>
      <c r="D296" s="70"/>
      <c r="E296" s="70"/>
      <c r="F296" s="399"/>
      <c r="G296" s="399"/>
      <c r="H296" s="399"/>
      <c r="I296" s="399"/>
      <c r="J296" s="399"/>
      <c r="K296" s="399"/>
      <c r="L296" s="399"/>
      <c r="M296" s="399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  <c r="Y296" s="70"/>
      <c r="Z296" s="70"/>
    </row>
    <row r="297" customFormat="false" ht="12.75" hidden="false" customHeight="false" outlineLevel="1" collapsed="false">
      <c r="A297" s="395"/>
      <c r="B297" s="70"/>
      <c r="C297" s="70"/>
      <c r="D297" s="70"/>
      <c r="E297" s="697"/>
      <c r="F297" s="639"/>
      <c r="G297" s="639"/>
      <c r="H297" s="399"/>
      <c r="I297" s="399"/>
      <c r="J297" s="399"/>
      <c r="K297" s="399"/>
      <c r="L297" s="399"/>
      <c r="M297" s="399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  <c r="Y297" s="70"/>
      <c r="Z297" s="70"/>
    </row>
    <row r="298" customFormat="false" ht="12.75" hidden="false" customHeight="false" outlineLevel="1" collapsed="false">
      <c r="A298" s="395"/>
      <c r="B298" s="70"/>
      <c r="C298" s="70"/>
      <c r="D298" s="70"/>
      <c r="E298" s="70"/>
      <c r="F298" s="399"/>
      <c r="G298" s="399"/>
      <c r="H298" s="399"/>
      <c r="I298" s="399"/>
      <c r="J298" s="399"/>
      <c r="K298" s="399"/>
      <c r="L298" s="399"/>
      <c r="M298" s="399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  <c r="Y298" s="70"/>
      <c r="Z298" s="70"/>
    </row>
    <row r="299" customFormat="false" ht="12.75" hidden="false" customHeight="false" outlineLevel="1" collapsed="false">
      <c r="A299" s="395"/>
      <c r="B299" s="70"/>
      <c r="C299" s="70"/>
      <c r="D299" s="70"/>
      <c r="E299" s="70"/>
      <c r="F299" s="70"/>
      <c r="G299" s="70"/>
      <c r="H299" s="399"/>
      <c r="I299" s="399"/>
      <c r="J299" s="399"/>
      <c r="K299" s="399"/>
      <c r="L299" s="399"/>
      <c r="M299" s="399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  <c r="Y299" s="70"/>
      <c r="Z299" s="70"/>
    </row>
    <row r="300" customFormat="false" ht="12.75" hidden="false" customHeight="false" outlineLevel="1" collapsed="false">
      <c r="A300" s="70"/>
      <c r="B300" s="70"/>
      <c r="C300" s="70"/>
      <c r="D300" s="70"/>
      <c r="E300" s="70"/>
      <c r="F300" s="70"/>
      <c r="G300" s="70"/>
      <c r="H300" s="70"/>
      <c r="I300" s="70"/>
      <c r="J300" s="70"/>
      <c r="K300" s="70"/>
      <c r="L300" s="70"/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  <c r="Y300" s="70"/>
      <c r="Z300" s="70"/>
    </row>
    <row r="301" customFormat="false" ht="12.75" hidden="false" customHeight="false" outlineLevel="1" collapsed="false">
      <c r="A301" s="395"/>
      <c r="B301" s="70"/>
      <c r="C301" s="70"/>
      <c r="D301" s="70"/>
      <c r="E301" s="70"/>
      <c r="F301" s="70"/>
      <c r="G301" s="70"/>
      <c r="H301" s="70"/>
      <c r="I301" s="70"/>
      <c r="J301" s="70"/>
      <c r="K301" s="70"/>
      <c r="L301" s="70"/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  <c r="Y301" s="70"/>
      <c r="Z301" s="70"/>
    </row>
    <row r="302" customFormat="false" ht="12.75" hidden="false" customHeight="false" outlineLevel="1" collapsed="false">
      <c r="A302" s="395"/>
      <c r="B302" s="70"/>
      <c r="C302" s="70"/>
      <c r="D302" s="70"/>
      <c r="E302" s="70"/>
      <c r="F302" s="70"/>
      <c r="G302" s="70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  <c r="Y302" s="70"/>
      <c r="Z302" s="70"/>
    </row>
    <row r="303" customFormat="false" ht="12.75" hidden="false" customHeight="false" outlineLevel="1" collapsed="false">
      <c r="A303" s="70"/>
      <c r="B303" s="70"/>
      <c r="C303" s="70"/>
      <c r="D303" s="70"/>
      <c r="E303" s="70"/>
      <c r="F303" s="70"/>
      <c r="G303" s="70"/>
      <c r="H303" s="70"/>
      <c r="I303" s="70"/>
      <c r="J303" s="70"/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  <c r="Y303" s="70"/>
      <c r="Z303" s="70"/>
    </row>
    <row r="304" customFormat="false" ht="12.75" hidden="false" customHeight="false" outlineLevel="1" collapsed="false">
      <c r="A304" s="70"/>
      <c r="B304" s="70"/>
      <c r="C304" s="70"/>
      <c r="D304" s="70"/>
      <c r="E304" s="70"/>
      <c r="F304" s="70"/>
      <c r="G304" s="70"/>
      <c r="H304" s="686"/>
      <c r="I304" s="686"/>
      <c r="J304" s="686"/>
      <c r="K304" s="686"/>
      <c r="L304" s="686"/>
      <c r="M304" s="686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  <c r="Z304" s="70"/>
    </row>
    <row r="305" customFormat="false" ht="12.75" hidden="false" customHeight="false" outlineLevel="1" collapsed="false">
      <c r="A305" s="70"/>
      <c r="B305" s="70"/>
      <c r="C305" s="70"/>
      <c r="D305" s="70"/>
      <c r="E305" s="70"/>
      <c r="F305" s="70"/>
      <c r="G305" s="70"/>
      <c r="H305" s="399"/>
      <c r="I305" s="399"/>
      <c r="J305" s="399"/>
      <c r="K305" s="399"/>
      <c r="L305" s="399"/>
      <c r="M305" s="399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  <c r="Y305" s="70"/>
      <c r="Z305" s="70"/>
    </row>
    <row r="306" customFormat="false" ht="12.75" hidden="false" customHeight="false" outlineLevel="1" collapsed="false">
      <c r="A306" s="70"/>
      <c r="B306" s="70"/>
      <c r="C306" s="70"/>
      <c r="D306" s="70"/>
      <c r="E306" s="70"/>
      <c r="F306" s="70"/>
      <c r="G306" s="70"/>
      <c r="H306" s="699"/>
      <c r="I306" s="699"/>
      <c r="J306" s="699"/>
      <c r="K306" s="699"/>
      <c r="L306" s="699"/>
      <c r="M306" s="699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  <c r="Y306" s="70"/>
      <c r="Z306" s="70"/>
    </row>
    <row r="307" customFormat="false" ht="12.75" hidden="false" customHeight="false" outlineLevel="1" collapsed="false">
      <c r="A307" s="70"/>
      <c r="B307" s="70"/>
      <c r="C307" s="70"/>
      <c r="D307" s="70"/>
      <c r="E307" s="70"/>
      <c r="F307" s="70"/>
      <c r="G307" s="70"/>
      <c r="H307" s="686"/>
      <c r="I307" s="686"/>
      <c r="J307" s="686"/>
      <c r="K307" s="686"/>
      <c r="L307" s="686"/>
      <c r="M307" s="686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  <c r="Z307" s="70"/>
    </row>
    <row r="308" customFormat="false" ht="12.75" hidden="false" customHeight="false" outlineLevel="1" collapsed="false">
      <c r="A308" s="70"/>
      <c r="B308" s="70"/>
      <c r="C308" s="70"/>
      <c r="D308" s="70"/>
      <c r="E308" s="70"/>
      <c r="F308" s="70"/>
      <c r="G308" s="70"/>
      <c r="H308" s="699"/>
      <c r="I308" s="699"/>
      <c r="J308" s="699"/>
      <c r="K308" s="699"/>
      <c r="L308" s="699"/>
      <c r="M308" s="699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  <c r="Y308" s="70"/>
      <c r="Z308" s="70"/>
    </row>
    <row r="309" customFormat="false" ht="12.75" hidden="false" customHeight="false" outlineLevel="1" collapsed="false">
      <c r="A309" s="70"/>
      <c r="B309" s="70"/>
      <c r="C309" s="70"/>
      <c r="D309" s="70"/>
      <c r="E309" s="70"/>
      <c r="F309" s="70"/>
      <c r="G309" s="70"/>
      <c r="H309" s="700"/>
      <c r="I309" s="700"/>
      <c r="J309" s="700"/>
      <c r="K309" s="700"/>
      <c r="L309" s="700"/>
      <c r="M309" s="700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  <c r="Y309" s="70"/>
      <c r="Z309" s="70"/>
    </row>
    <row r="310" customFormat="false" ht="12.75" hidden="false" customHeight="false" outlineLevel="1" collapsed="false">
      <c r="A310" s="70"/>
      <c r="B310" s="70"/>
      <c r="C310" s="70"/>
      <c r="D310" s="70"/>
      <c r="E310" s="70"/>
      <c r="F310" s="70"/>
      <c r="G310" s="70"/>
      <c r="H310" s="700"/>
      <c r="I310" s="700"/>
      <c r="J310" s="700"/>
      <c r="K310" s="700"/>
      <c r="L310" s="700"/>
      <c r="M310" s="700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  <c r="Y310" s="70"/>
      <c r="Z310" s="70"/>
    </row>
    <row r="311" customFormat="false" ht="18.75" hidden="true" customHeight="false" outlineLevel="2" collapsed="false">
      <c r="A311" s="682"/>
      <c r="B311" s="70"/>
      <c r="C311" s="70"/>
      <c r="D311" s="70"/>
      <c r="E311" s="70"/>
      <c r="F311" s="70"/>
      <c r="G311" s="70"/>
      <c r="H311" s="700"/>
      <c r="I311" s="700"/>
      <c r="J311" s="700"/>
      <c r="K311" s="700"/>
      <c r="L311" s="700"/>
      <c r="M311" s="700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  <c r="Y311" s="70"/>
      <c r="Z311" s="70"/>
    </row>
    <row r="312" customFormat="false" ht="12.75" hidden="true" customHeight="false" outlineLevel="2" collapsed="false">
      <c r="A312" s="395"/>
      <c r="B312" s="70"/>
      <c r="C312" s="70"/>
      <c r="D312" s="70"/>
      <c r="E312" s="70"/>
      <c r="F312" s="70"/>
      <c r="G312" s="70"/>
      <c r="H312" s="700"/>
      <c r="I312" s="700"/>
      <c r="J312" s="700"/>
      <c r="K312" s="700"/>
      <c r="L312" s="700"/>
      <c r="M312" s="700"/>
      <c r="N312" s="70"/>
      <c r="O312" s="70"/>
      <c r="P312" s="70"/>
      <c r="Q312" s="70"/>
      <c r="R312" s="70"/>
      <c r="S312" s="70"/>
      <c r="T312" s="70"/>
      <c r="U312" s="70"/>
      <c r="V312" s="70"/>
      <c r="W312" s="70"/>
      <c r="X312" s="70"/>
      <c r="Y312" s="70"/>
      <c r="Z312" s="70"/>
    </row>
    <row r="313" customFormat="false" ht="12.75" hidden="true" customHeight="false" outlineLevel="2" collapsed="false">
      <c r="A313" s="70"/>
      <c r="B313" s="70"/>
      <c r="C313" s="70"/>
      <c r="D313" s="70"/>
      <c r="E313" s="70"/>
      <c r="F313" s="70"/>
      <c r="G313" s="70"/>
      <c r="H313" s="700"/>
      <c r="I313" s="700"/>
      <c r="J313" s="700"/>
      <c r="K313" s="700"/>
      <c r="L313" s="700"/>
      <c r="M313" s="700"/>
      <c r="N313" s="70"/>
      <c r="O313" s="70"/>
      <c r="P313" s="70"/>
      <c r="Q313" s="70"/>
      <c r="R313" s="70"/>
      <c r="S313" s="70"/>
      <c r="T313" s="70"/>
      <c r="U313" s="70"/>
      <c r="V313" s="70"/>
      <c r="W313" s="70"/>
      <c r="X313" s="70"/>
      <c r="Y313" s="70"/>
      <c r="Z313" s="70"/>
    </row>
    <row r="314" customFormat="false" ht="12.75" hidden="true" customHeight="false" outlineLevel="2" collapsed="false">
      <c r="A314" s="395"/>
      <c r="B314" s="321"/>
      <c r="C314" s="321"/>
      <c r="D314" s="321"/>
      <c r="E314" s="321"/>
      <c r="F314" s="474"/>
      <c r="G314" s="474"/>
      <c r="H314" s="474"/>
      <c r="I314" s="321"/>
      <c r="J314" s="321"/>
      <c r="K314" s="474"/>
      <c r="L314" s="474"/>
      <c r="M314" s="321"/>
      <c r="N314" s="474"/>
      <c r="O314" s="474"/>
      <c r="P314" s="474"/>
      <c r="Q314" s="321"/>
      <c r="R314" s="474"/>
      <c r="S314" s="474"/>
      <c r="T314" s="70"/>
      <c r="U314" s="70"/>
      <c r="V314" s="70"/>
      <c r="W314" s="70"/>
      <c r="X314" s="70"/>
      <c r="Y314" s="474"/>
      <c r="Z314" s="70"/>
    </row>
    <row r="315" customFormat="false" ht="12.75" hidden="true" customHeight="false" outlineLevel="2" collapsed="false">
      <c r="A315" s="395"/>
      <c r="B315" s="70"/>
      <c r="C315" s="70"/>
      <c r="D315" s="70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  <c r="Z315" s="70"/>
    </row>
    <row r="316" customFormat="false" ht="12.75" hidden="true" customHeight="false" outlineLevel="2" collapsed="false">
      <c r="A316" s="70"/>
      <c r="B316" s="70"/>
      <c r="C316" s="70"/>
      <c r="D316" s="70"/>
      <c r="E316" s="70"/>
      <c r="F316" s="70"/>
      <c r="G316" s="70"/>
      <c r="H316" s="70"/>
      <c r="I316" s="70"/>
      <c r="J316" s="70"/>
      <c r="K316" s="70"/>
      <c r="L316" s="70"/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  <c r="Y316" s="70"/>
      <c r="Z316" s="70"/>
    </row>
    <row r="317" customFormat="false" ht="12.75" hidden="true" customHeight="false" outlineLevel="2" collapsed="false">
      <c r="A317" s="70"/>
      <c r="B317" s="686"/>
      <c r="C317" s="686"/>
      <c r="D317" s="686"/>
      <c r="E317" s="686"/>
      <c r="F317" s="686"/>
      <c r="G317" s="686"/>
      <c r="H317" s="686"/>
      <c r="I317" s="686"/>
      <c r="J317" s="686"/>
      <c r="K317" s="686"/>
      <c r="L317" s="686"/>
      <c r="M317" s="686"/>
      <c r="N317" s="686"/>
      <c r="O317" s="686"/>
      <c r="P317" s="686"/>
      <c r="Q317" s="686"/>
      <c r="R317" s="686"/>
      <c r="S317" s="686"/>
      <c r="T317" s="70"/>
      <c r="U317" s="70"/>
      <c r="V317" s="70"/>
      <c r="W317" s="70"/>
      <c r="X317" s="70"/>
      <c r="Y317" s="686"/>
      <c r="Z317" s="70"/>
    </row>
    <row r="318" customFormat="false" ht="12.75" hidden="true" customHeight="false" outlineLevel="2" collapsed="false">
      <c r="A318" s="70"/>
      <c r="B318" s="70"/>
      <c r="C318" s="70"/>
      <c r="D318" s="70"/>
      <c r="E318" s="70"/>
      <c r="F318" s="70"/>
      <c r="G318" s="70"/>
      <c r="H318" s="70"/>
      <c r="I318" s="70"/>
      <c r="J318" s="70"/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  <c r="Y318" s="70"/>
      <c r="Z318" s="70"/>
    </row>
    <row r="319" customFormat="false" ht="12.75" hidden="true" customHeight="false" outlineLevel="2" collapsed="false">
      <c r="A319" s="70"/>
      <c r="B319" s="399"/>
      <c r="C319" s="399"/>
      <c r="D319" s="399"/>
      <c r="E319" s="399"/>
      <c r="F319" s="399"/>
      <c r="G319" s="399"/>
      <c r="H319" s="399"/>
      <c r="I319" s="686"/>
      <c r="J319" s="686"/>
      <c r="K319" s="686"/>
      <c r="L319" s="686"/>
      <c r="M319" s="686"/>
      <c r="N319" s="686"/>
      <c r="O319" s="686"/>
      <c r="P319" s="686"/>
      <c r="Q319" s="686"/>
      <c r="R319" s="686"/>
      <c r="S319" s="686"/>
      <c r="T319" s="70"/>
      <c r="U319" s="70"/>
      <c r="V319" s="70"/>
      <c r="W319" s="70"/>
      <c r="X319" s="70"/>
      <c r="Y319" s="686"/>
      <c r="Z319" s="70"/>
    </row>
    <row r="320" customFormat="false" ht="12.75" hidden="true" customHeight="false" outlineLevel="2" collapsed="false">
      <c r="A320" s="70"/>
      <c r="B320" s="70"/>
      <c r="C320" s="70"/>
      <c r="D320" s="70"/>
      <c r="E320" s="70"/>
      <c r="F320" s="70"/>
      <c r="G320" s="70"/>
      <c r="H320" s="70"/>
      <c r="I320" s="70"/>
      <c r="J320" s="70"/>
      <c r="K320" s="70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0"/>
      <c r="X320" s="70"/>
      <c r="Y320" s="70"/>
      <c r="Z320" s="70"/>
    </row>
    <row r="321" customFormat="false" ht="12.75" hidden="true" customHeight="false" outlineLevel="2" collapsed="false">
      <c r="A321" s="70"/>
      <c r="B321" s="686"/>
      <c r="C321" s="686"/>
      <c r="D321" s="686"/>
      <c r="E321" s="686"/>
      <c r="F321" s="686"/>
      <c r="G321" s="686"/>
      <c r="H321" s="686"/>
      <c r="I321" s="686"/>
      <c r="J321" s="686"/>
      <c r="K321" s="686"/>
      <c r="L321" s="686"/>
      <c r="M321" s="686"/>
      <c r="N321" s="686"/>
      <c r="O321" s="686"/>
      <c r="P321" s="686"/>
      <c r="Q321" s="686"/>
      <c r="R321" s="686"/>
      <c r="S321" s="686"/>
      <c r="T321" s="70"/>
      <c r="U321" s="70"/>
      <c r="V321" s="70"/>
      <c r="W321" s="70"/>
      <c r="X321" s="70"/>
      <c r="Y321" s="686"/>
      <c r="Z321" s="686"/>
      <c r="AA321" s="686"/>
      <c r="AB321" s="686"/>
      <c r="AC321" s="686"/>
      <c r="AD321" s="686"/>
      <c r="AE321" s="686"/>
      <c r="AF321" s="686"/>
    </row>
    <row r="322" customFormat="false" ht="12.75" hidden="true" customHeight="false" outlineLevel="2" collapsed="false">
      <c r="A322" s="70"/>
      <c r="B322" s="70"/>
      <c r="C322" s="70"/>
      <c r="D322" s="70"/>
      <c r="E322" s="70"/>
      <c r="F322" s="70"/>
      <c r="G322" s="70"/>
      <c r="H322" s="70"/>
      <c r="I322" s="70"/>
      <c r="J322" s="70"/>
      <c r="K322" s="70"/>
      <c r="L322" s="70"/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  <c r="Y322" s="70"/>
      <c r="Z322" s="70"/>
    </row>
    <row r="323" customFormat="false" ht="12.75" hidden="true" customHeight="false" outlineLevel="2" collapsed="false">
      <c r="A323" s="70"/>
      <c r="B323" s="686"/>
      <c r="C323" s="686"/>
      <c r="D323" s="686"/>
      <c r="E323" s="686"/>
      <c r="F323" s="686"/>
      <c r="G323" s="686"/>
      <c r="H323" s="686"/>
      <c r="I323" s="686"/>
      <c r="J323" s="686"/>
      <c r="K323" s="686"/>
      <c r="L323" s="686"/>
      <c r="M323" s="686"/>
      <c r="N323" s="686"/>
      <c r="O323" s="686"/>
      <c r="P323" s="686"/>
      <c r="Q323" s="686"/>
      <c r="R323" s="686"/>
      <c r="S323" s="686"/>
      <c r="T323" s="70"/>
      <c r="U323" s="70"/>
      <c r="V323" s="70"/>
      <c r="W323" s="70"/>
      <c r="X323" s="70"/>
      <c r="Y323" s="686"/>
      <c r="Z323" s="70"/>
    </row>
    <row r="324" customFormat="false" ht="12.75" hidden="true" customHeight="false" outlineLevel="2" collapsed="false">
      <c r="A324" s="70"/>
      <c r="B324" s="70"/>
      <c r="C324" s="70"/>
      <c r="D324" s="70"/>
      <c r="E324" s="70"/>
      <c r="F324" s="70"/>
      <c r="G324" s="70"/>
      <c r="H324" s="70"/>
      <c r="I324" s="70"/>
      <c r="J324" s="70"/>
      <c r="K324" s="70"/>
      <c r="L324" s="70"/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70"/>
      <c r="X324" s="70"/>
      <c r="Y324" s="70"/>
      <c r="Z324" s="70"/>
    </row>
    <row r="325" customFormat="false" ht="12.75" hidden="true" customHeight="false" outlineLevel="2" collapsed="false">
      <c r="A325" s="70"/>
      <c r="B325" s="686"/>
      <c r="C325" s="686"/>
      <c r="D325" s="686"/>
      <c r="E325" s="686"/>
      <c r="F325" s="686"/>
      <c r="G325" s="686"/>
      <c r="H325" s="686"/>
      <c r="I325" s="686"/>
      <c r="J325" s="686"/>
      <c r="K325" s="686"/>
      <c r="L325" s="686"/>
      <c r="M325" s="686"/>
      <c r="N325" s="686"/>
      <c r="O325" s="686"/>
      <c r="P325" s="686"/>
      <c r="Q325" s="686"/>
      <c r="R325" s="686"/>
      <c r="S325" s="686"/>
      <c r="T325" s="70"/>
      <c r="U325" s="70"/>
      <c r="V325" s="70"/>
      <c r="W325" s="70"/>
      <c r="X325" s="70"/>
      <c r="Y325" s="686"/>
      <c r="Z325" s="686"/>
    </row>
    <row r="326" customFormat="false" ht="12.75" hidden="true" customHeight="false" outlineLevel="2" collapsed="false">
      <c r="A326" s="70"/>
      <c r="B326" s="70"/>
      <c r="C326" s="70"/>
      <c r="D326" s="70"/>
      <c r="E326" s="70"/>
      <c r="F326" s="70"/>
      <c r="G326" s="70"/>
      <c r="H326" s="70"/>
      <c r="I326" s="70"/>
      <c r="J326" s="70"/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0"/>
      <c r="X326" s="70"/>
      <c r="Y326" s="70"/>
      <c r="Z326" s="70"/>
    </row>
    <row r="327" customFormat="false" ht="12.75" hidden="true" customHeight="false" outlineLevel="2" collapsed="false">
      <c r="A327" s="70"/>
      <c r="B327" s="686"/>
      <c r="C327" s="686"/>
      <c r="D327" s="686"/>
      <c r="E327" s="686"/>
      <c r="F327" s="686"/>
      <c r="G327" s="686"/>
      <c r="H327" s="686"/>
      <c r="I327" s="686"/>
      <c r="J327" s="686"/>
      <c r="K327" s="686"/>
      <c r="L327" s="686"/>
      <c r="M327" s="686"/>
      <c r="N327" s="686"/>
      <c r="O327" s="686"/>
      <c r="P327" s="686"/>
      <c r="Q327" s="686"/>
      <c r="R327" s="686"/>
      <c r="S327" s="686"/>
      <c r="T327" s="70"/>
      <c r="U327" s="70"/>
      <c r="V327" s="70"/>
      <c r="W327" s="70"/>
      <c r="X327" s="70"/>
      <c r="Y327" s="686"/>
      <c r="Z327" s="686"/>
    </row>
    <row r="328" customFormat="false" ht="12.75" hidden="true" customHeight="false" outlineLevel="2" collapsed="false">
      <c r="A328" s="70"/>
      <c r="B328" s="70"/>
      <c r="C328" s="70"/>
      <c r="D328" s="70"/>
      <c r="E328" s="70"/>
      <c r="F328" s="70"/>
      <c r="G328" s="70"/>
      <c r="H328" s="70"/>
      <c r="I328" s="70"/>
      <c r="J328" s="70"/>
      <c r="K328" s="70"/>
      <c r="L328" s="70"/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70"/>
      <c r="X328" s="70"/>
      <c r="Y328" s="70"/>
      <c r="Z328" s="70"/>
    </row>
    <row r="329" customFormat="false" ht="12.75" hidden="false" customHeight="false" outlineLevel="1" collapsed="true">
      <c r="A329" s="70"/>
      <c r="B329" s="70"/>
      <c r="C329" s="70"/>
      <c r="D329" s="70"/>
      <c r="E329" s="70"/>
      <c r="F329" s="70"/>
      <c r="G329" s="70"/>
      <c r="H329" s="70"/>
      <c r="I329" s="70"/>
      <c r="J329" s="70"/>
      <c r="K329" s="70"/>
      <c r="L329" s="70"/>
      <c r="M329" s="70"/>
      <c r="N329" s="70"/>
      <c r="O329" s="70"/>
      <c r="P329" s="70"/>
      <c r="Q329" s="70"/>
      <c r="R329" s="70"/>
      <c r="S329" s="70"/>
      <c r="T329" s="70"/>
      <c r="U329" s="70"/>
      <c r="V329" s="70"/>
      <c r="W329" s="70"/>
      <c r="X329" s="70"/>
      <c r="Y329" s="70"/>
      <c r="Z329" s="70"/>
    </row>
    <row r="330" customFormat="false" ht="12.75" hidden="false" customHeight="false" outlineLevel="1" collapsed="false">
      <c r="A330" s="70"/>
      <c r="B330" s="70"/>
      <c r="C330" s="70"/>
      <c r="D330" s="70"/>
      <c r="E330" s="70"/>
      <c r="F330" s="70"/>
      <c r="G330" s="70"/>
      <c r="H330" s="70"/>
      <c r="I330" s="70"/>
      <c r="J330" s="70"/>
      <c r="K330" s="70"/>
      <c r="L330" s="70"/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  <c r="Y330" s="70"/>
      <c r="Z330" s="70"/>
    </row>
    <row r="331" customFormat="false" ht="12.75" hidden="false" customHeight="false" outlineLevel="1" collapsed="false">
      <c r="A331" s="70"/>
      <c r="B331" s="70"/>
      <c r="C331" s="70"/>
      <c r="D331" s="70"/>
      <c r="E331" s="70"/>
      <c r="F331" s="70"/>
      <c r="G331" s="70"/>
      <c r="H331" s="70"/>
      <c r="I331" s="70"/>
      <c r="J331" s="70"/>
      <c r="K331" s="70"/>
      <c r="L331" s="70"/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70"/>
      <c r="X331" s="70"/>
      <c r="Y331" s="70"/>
      <c r="Z331" s="70"/>
    </row>
    <row r="332" customFormat="false" ht="18.75" hidden="false" customHeight="false" outlineLevel="1" collapsed="false">
      <c r="A332" s="683"/>
      <c r="B332" s="683"/>
      <c r="C332" s="683"/>
      <c r="D332" s="683"/>
      <c r="E332" s="70"/>
      <c r="F332" s="70"/>
      <c r="G332" s="70"/>
      <c r="H332" s="70"/>
      <c r="I332" s="70"/>
      <c r="J332" s="70"/>
      <c r="K332" s="70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0"/>
      <c r="X332" s="70"/>
      <c r="Y332" s="70"/>
      <c r="Z332" s="70"/>
    </row>
    <row r="333" customFormat="false" ht="12.75" hidden="false" customHeight="false" outlineLevel="1" collapsed="false">
      <c r="A333" s="395"/>
      <c r="B333" s="395"/>
      <c r="C333" s="395"/>
      <c r="D333" s="395"/>
      <c r="E333" s="70"/>
      <c r="F333" s="70"/>
      <c r="G333" s="70"/>
      <c r="H333" s="70"/>
      <c r="I333" s="70"/>
      <c r="J333" s="70"/>
      <c r="K333" s="70"/>
      <c r="L333" s="70"/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70"/>
      <c r="X333" s="70"/>
      <c r="Y333" s="70"/>
      <c r="Z333" s="70"/>
    </row>
    <row r="334" customFormat="false" ht="12.75" hidden="false" customHeight="false" outlineLevel="1" collapsed="false">
      <c r="A334" s="395"/>
      <c r="B334" s="684"/>
      <c r="C334" s="684"/>
      <c r="D334" s="684"/>
      <c r="E334" s="70"/>
      <c r="F334" s="70"/>
      <c r="G334" s="70"/>
      <c r="H334" s="70"/>
      <c r="I334" s="70"/>
      <c r="J334" s="70"/>
      <c r="K334" s="70"/>
      <c r="L334" s="70"/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70"/>
      <c r="X334" s="70"/>
      <c r="Y334" s="70"/>
      <c r="Z334" s="70"/>
    </row>
    <row r="335" customFormat="false" ht="12.75" hidden="false" customHeight="false" outlineLevel="1" collapsed="false">
      <c r="A335" s="70"/>
      <c r="B335" s="70"/>
      <c r="C335" s="70"/>
      <c r="D335" s="70"/>
      <c r="E335" s="70"/>
      <c r="F335" s="70"/>
      <c r="G335" s="70"/>
      <c r="H335" s="70"/>
      <c r="I335" s="70"/>
      <c r="J335" s="70"/>
      <c r="K335" s="70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0"/>
      <c r="X335" s="70"/>
      <c r="Y335" s="70"/>
      <c r="Z335" s="70"/>
    </row>
    <row r="336" customFormat="false" ht="12.75" hidden="false" customHeight="false" outlineLevel="1" collapsed="false">
      <c r="A336" s="322"/>
      <c r="B336" s="321"/>
      <c r="C336" s="321"/>
      <c r="D336" s="321"/>
      <c r="E336" s="321"/>
      <c r="F336" s="321"/>
      <c r="G336" s="321"/>
      <c r="H336" s="321"/>
      <c r="I336" s="321"/>
      <c r="J336" s="321"/>
      <c r="K336" s="321"/>
      <c r="L336" s="321"/>
      <c r="M336" s="321"/>
      <c r="N336" s="321"/>
      <c r="O336" s="321"/>
      <c r="P336" s="321"/>
      <c r="Q336" s="321"/>
      <c r="R336" s="321"/>
      <c r="S336" s="321"/>
      <c r="T336" s="321"/>
      <c r="U336" s="321"/>
      <c r="V336" s="321"/>
      <c r="W336" s="321"/>
      <c r="X336" s="321"/>
      <c r="Y336" s="321"/>
      <c r="Z336" s="321"/>
    </row>
    <row r="337" customFormat="false" ht="12.75" hidden="false" customHeight="false" outlineLevel="1" collapsed="false">
      <c r="A337" s="395"/>
      <c r="B337" s="395"/>
      <c r="C337" s="395"/>
      <c r="D337" s="395"/>
      <c r="E337" s="70"/>
      <c r="F337" s="70"/>
      <c r="G337" s="70"/>
      <c r="H337" s="70"/>
      <c r="I337" s="70"/>
      <c r="J337" s="70"/>
      <c r="K337" s="70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70"/>
      <c r="X337" s="70"/>
      <c r="Y337" s="70"/>
      <c r="Z337" s="70"/>
    </row>
    <row r="338" customFormat="false" ht="12.75" hidden="false" customHeight="false" outlineLevel="1" collapsed="false">
      <c r="A338" s="685"/>
      <c r="B338" s="395"/>
      <c r="C338" s="395"/>
      <c r="D338" s="395"/>
      <c r="E338" s="686"/>
      <c r="F338" s="686"/>
      <c r="G338" s="686"/>
      <c r="H338" s="686"/>
      <c r="I338" s="686"/>
      <c r="J338" s="686"/>
      <c r="K338" s="686"/>
      <c r="L338" s="686"/>
      <c r="M338" s="686"/>
      <c r="N338" s="686"/>
      <c r="O338" s="686"/>
      <c r="P338" s="686"/>
      <c r="Q338" s="686"/>
      <c r="R338" s="686"/>
      <c r="S338" s="686"/>
      <c r="T338" s="686"/>
      <c r="U338" s="686"/>
      <c r="V338" s="686"/>
      <c r="W338" s="686"/>
      <c r="X338" s="686"/>
      <c r="Y338" s="686"/>
      <c r="Z338" s="686"/>
      <c r="AA338" s="686"/>
    </row>
    <row r="339" customFormat="false" ht="12.75" hidden="false" customHeight="false" outlineLevel="1" collapsed="false">
      <c r="A339" s="685"/>
      <c r="B339" s="395"/>
      <c r="C339" s="395"/>
      <c r="D339" s="395"/>
      <c r="E339" s="686"/>
      <c r="F339" s="686"/>
      <c r="G339" s="686"/>
      <c r="H339" s="686"/>
      <c r="I339" s="686"/>
      <c r="J339" s="686"/>
      <c r="K339" s="686"/>
      <c r="L339" s="686"/>
      <c r="M339" s="686"/>
      <c r="N339" s="686"/>
      <c r="O339" s="686"/>
      <c r="P339" s="686"/>
      <c r="Q339" s="686"/>
      <c r="R339" s="686"/>
      <c r="S339" s="686"/>
      <c r="T339" s="686"/>
      <c r="U339" s="686"/>
      <c r="V339" s="686"/>
      <c r="W339" s="686"/>
      <c r="X339" s="686"/>
      <c r="Y339" s="686"/>
      <c r="Z339" s="686"/>
      <c r="AA339" s="686"/>
    </row>
    <row r="340" customFormat="false" ht="12.75" hidden="false" customHeight="false" outlineLevel="1" collapsed="false">
      <c r="A340" s="685"/>
      <c r="B340" s="685"/>
      <c r="C340" s="685"/>
      <c r="D340" s="685"/>
      <c r="E340" s="686"/>
      <c r="F340" s="686"/>
      <c r="G340" s="686"/>
      <c r="H340" s="686"/>
      <c r="I340" s="686"/>
      <c r="J340" s="686"/>
      <c r="K340" s="686"/>
      <c r="L340" s="686"/>
      <c r="M340" s="686"/>
      <c r="N340" s="686"/>
      <c r="O340" s="686"/>
      <c r="P340" s="686"/>
      <c r="Q340" s="686"/>
      <c r="R340" s="686"/>
      <c r="S340" s="686"/>
      <c r="T340" s="686"/>
      <c r="U340" s="686"/>
      <c r="V340" s="686"/>
      <c r="W340" s="686"/>
      <c r="X340" s="686"/>
      <c r="Y340" s="686"/>
      <c r="Z340" s="686"/>
      <c r="AA340" s="686"/>
    </row>
    <row r="341" customFormat="false" ht="12.75" hidden="false" customHeight="false" outlineLevel="1" collapsed="false">
      <c r="A341" s="685"/>
      <c r="B341" s="685"/>
      <c r="C341" s="685"/>
      <c r="D341" s="685"/>
      <c r="E341" s="686"/>
      <c r="F341" s="686"/>
      <c r="G341" s="686"/>
      <c r="H341" s="686"/>
      <c r="I341" s="686"/>
      <c r="J341" s="686"/>
      <c r="K341" s="686"/>
      <c r="L341" s="686"/>
      <c r="M341" s="686"/>
      <c r="N341" s="686"/>
      <c r="O341" s="686"/>
      <c r="P341" s="686"/>
      <c r="Q341" s="686"/>
      <c r="R341" s="686"/>
      <c r="S341" s="686"/>
      <c r="T341" s="686"/>
      <c r="U341" s="686"/>
      <c r="V341" s="686"/>
      <c r="W341" s="686"/>
      <c r="X341" s="686"/>
      <c r="Y341" s="686"/>
      <c r="Z341" s="686"/>
      <c r="AA341" s="686"/>
    </row>
    <row r="342" customFormat="false" ht="12.75" hidden="false" customHeight="false" outlineLevel="1" collapsed="false">
      <c r="A342" s="685"/>
      <c r="B342" s="322"/>
      <c r="C342" s="322"/>
      <c r="D342" s="322"/>
      <c r="E342" s="686"/>
      <c r="F342" s="686"/>
      <c r="G342" s="686"/>
      <c r="H342" s="686"/>
      <c r="I342" s="686"/>
      <c r="J342" s="686"/>
      <c r="K342" s="686"/>
      <c r="L342" s="686"/>
      <c r="M342" s="686"/>
      <c r="N342" s="686"/>
      <c r="O342" s="686"/>
      <c r="P342" s="686"/>
      <c r="Q342" s="686"/>
      <c r="R342" s="686"/>
      <c r="S342" s="686"/>
      <c r="T342" s="686"/>
      <c r="U342" s="686"/>
      <c r="V342" s="686"/>
      <c r="W342" s="686"/>
      <c r="X342" s="686"/>
      <c r="Y342" s="686"/>
      <c r="Z342" s="686"/>
      <c r="AA342" s="686"/>
    </row>
    <row r="343" customFormat="false" ht="12.75" hidden="false" customHeight="false" outlineLevel="1" collapsed="false">
      <c r="A343" s="70"/>
      <c r="B343" s="70"/>
      <c r="C343" s="70"/>
      <c r="D343" s="70"/>
      <c r="E343" s="686"/>
      <c r="F343" s="686"/>
      <c r="G343" s="686"/>
      <c r="H343" s="686"/>
      <c r="I343" s="686"/>
      <c r="J343" s="686"/>
      <c r="K343" s="686"/>
      <c r="L343" s="686"/>
      <c r="M343" s="686"/>
      <c r="N343" s="686"/>
      <c r="O343" s="686"/>
      <c r="P343" s="686"/>
      <c r="Q343" s="686"/>
      <c r="R343" s="686"/>
      <c r="S343" s="686"/>
      <c r="T343" s="686"/>
      <c r="U343" s="686"/>
      <c r="V343" s="686"/>
      <c r="W343" s="686"/>
      <c r="X343" s="686"/>
      <c r="Y343" s="686"/>
      <c r="Z343" s="686"/>
      <c r="AA343" s="686"/>
    </row>
    <row r="344" customFormat="false" ht="12.75" hidden="false" customHeight="false" outlineLevel="1" collapsed="false">
      <c r="A344" s="395"/>
      <c r="B344" s="395"/>
      <c r="C344" s="395"/>
      <c r="D344" s="395"/>
      <c r="E344" s="686"/>
      <c r="F344" s="686"/>
      <c r="G344" s="686"/>
      <c r="H344" s="686"/>
      <c r="I344" s="686"/>
      <c r="J344" s="686"/>
      <c r="K344" s="686"/>
      <c r="L344" s="686"/>
      <c r="M344" s="686"/>
      <c r="N344" s="686"/>
      <c r="O344" s="686"/>
      <c r="P344" s="686"/>
      <c r="Q344" s="686"/>
      <c r="R344" s="686"/>
      <c r="S344" s="686"/>
      <c r="T344" s="686"/>
      <c r="U344" s="686"/>
      <c r="V344" s="686"/>
      <c r="W344" s="686"/>
      <c r="X344" s="686"/>
      <c r="Y344" s="686"/>
      <c r="Z344" s="686"/>
      <c r="AA344" s="686"/>
    </row>
    <row r="345" customFormat="false" ht="12.75" hidden="false" customHeight="false" outlineLevel="1" collapsed="false">
      <c r="A345" s="685"/>
      <c r="B345" s="395"/>
      <c r="C345" s="395"/>
      <c r="D345" s="395"/>
      <c r="E345" s="686"/>
      <c r="F345" s="686"/>
      <c r="G345" s="686"/>
      <c r="H345" s="686"/>
      <c r="I345" s="686"/>
      <c r="J345" s="686"/>
      <c r="K345" s="686"/>
      <c r="L345" s="686"/>
      <c r="M345" s="686"/>
      <c r="N345" s="686"/>
      <c r="O345" s="686"/>
      <c r="P345" s="686"/>
      <c r="Q345" s="686"/>
      <c r="R345" s="686"/>
      <c r="S345" s="686"/>
      <c r="T345" s="686"/>
      <c r="U345" s="686"/>
      <c r="V345" s="686"/>
      <c r="W345" s="686"/>
      <c r="X345" s="686"/>
      <c r="Y345" s="686"/>
      <c r="Z345" s="686"/>
      <c r="AA345" s="686"/>
    </row>
    <row r="346" customFormat="false" ht="12.75" hidden="false" customHeight="false" outlineLevel="1" collapsed="false">
      <c r="A346" s="685"/>
      <c r="B346" s="395"/>
      <c r="C346" s="395"/>
      <c r="D346" s="395"/>
      <c r="E346" s="686"/>
      <c r="F346" s="686"/>
      <c r="G346" s="686"/>
      <c r="H346" s="686"/>
      <c r="I346" s="686"/>
      <c r="J346" s="686"/>
      <c r="K346" s="686"/>
      <c r="L346" s="686"/>
      <c r="M346" s="686"/>
      <c r="N346" s="686"/>
      <c r="O346" s="686"/>
      <c r="P346" s="686"/>
      <c r="Q346" s="686"/>
      <c r="R346" s="686"/>
      <c r="S346" s="686"/>
      <c r="T346" s="686"/>
      <c r="U346" s="686"/>
      <c r="V346" s="686"/>
      <c r="W346" s="686"/>
      <c r="X346" s="686"/>
      <c r="Y346" s="686"/>
      <c r="Z346" s="686"/>
      <c r="AA346" s="686"/>
    </row>
    <row r="347" customFormat="false" ht="12.75" hidden="false" customHeight="false" outlineLevel="1" collapsed="false">
      <c r="A347" s="685"/>
      <c r="B347" s="395"/>
      <c r="C347" s="395"/>
      <c r="D347" s="395"/>
      <c r="E347" s="686"/>
      <c r="F347" s="686"/>
      <c r="G347" s="686"/>
      <c r="H347" s="686"/>
      <c r="I347" s="686"/>
      <c r="J347" s="686"/>
      <c r="K347" s="686"/>
      <c r="L347" s="686"/>
      <c r="M347" s="686"/>
      <c r="N347" s="686"/>
      <c r="O347" s="686"/>
      <c r="P347" s="686"/>
      <c r="Q347" s="686"/>
      <c r="R347" s="686"/>
      <c r="S347" s="686"/>
      <c r="T347" s="686"/>
      <c r="U347" s="686"/>
      <c r="V347" s="686"/>
      <c r="W347" s="686"/>
      <c r="X347" s="686"/>
      <c r="Y347" s="686"/>
      <c r="Z347" s="686"/>
      <c r="AA347" s="686"/>
    </row>
    <row r="348" customFormat="false" ht="12.75" hidden="false" customHeight="false" outlineLevel="1" collapsed="false">
      <c r="A348" s="685"/>
      <c r="B348" s="395"/>
      <c r="C348" s="395"/>
      <c r="D348" s="395"/>
      <c r="E348" s="686"/>
      <c r="F348" s="686"/>
      <c r="G348" s="686"/>
      <c r="H348" s="686"/>
      <c r="I348" s="686"/>
      <c r="J348" s="686"/>
      <c r="K348" s="686"/>
      <c r="L348" s="686"/>
      <c r="M348" s="686"/>
      <c r="N348" s="686"/>
      <c r="O348" s="686"/>
      <c r="P348" s="686"/>
      <c r="Q348" s="686"/>
      <c r="R348" s="686"/>
      <c r="S348" s="686"/>
      <c r="T348" s="686"/>
      <c r="U348" s="686"/>
      <c r="V348" s="686"/>
      <c r="W348" s="686"/>
      <c r="X348" s="686"/>
      <c r="Y348" s="686"/>
      <c r="Z348" s="686"/>
      <c r="AA348" s="686"/>
    </row>
    <row r="349" customFormat="false" ht="12.75" hidden="false" customHeight="false" outlineLevel="1" collapsed="false">
      <c r="A349" s="685"/>
      <c r="B349" s="395"/>
      <c r="C349" s="395"/>
      <c r="D349" s="395"/>
      <c r="E349" s="686"/>
      <c r="F349" s="686"/>
      <c r="G349" s="686"/>
      <c r="H349" s="686"/>
      <c r="I349" s="686"/>
      <c r="J349" s="686"/>
      <c r="K349" s="686"/>
      <c r="L349" s="686"/>
      <c r="M349" s="686"/>
      <c r="N349" s="686"/>
      <c r="O349" s="686"/>
      <c r="P349" s="686"/>
      <c r="Q349" s="686"/>
      <c r="R349" s="686"/>
      <c r="S349" s="686"/>
      <c r="T349" s="686"/>
      <c r="U349" s="686"/>
      <c r="V349" s="686"/>
      <c r="W349" s="686"/>
      <c r="X349" s="686"/>
      <c r="Y349" s="686"/>
      <c r="Z349" s="686"/>
      <c r="AA349" s="686"/>
    </row>
    <row r="350" customFormat="false" ht="12.75" hidden="false" customHeight="false" outlineLevel="1" collapsed="false">
      <c r="A350" s="685"/>
      <c r="B350" s="395"/>
      <c r="C350" s="395"/>
      <c r="D350" s="395"/>
      <c r="E350" s="686"/>
      <c r="F350" s="686"/>
      <c r="G350" s="686"/>
      <c r="H350" s="686"/>
      <c r="I350" s="686"/>
      <c r="J350" s="686"/>
      <c r="K350" s="686"/>
      <c r="L350" s="686"/>
      <c r="M350" s="686"/>
      <c r="N350" s="686"/>
      <c r="O350" s="686"/>
      <c r="P350" s="686"/>
      <c r="Q350" s="686"/>
      <c r="R350" s="686"/>
      <c r="S350" s="686"/>
      <c r="T350" s="686"/>
      <c r="U350" s="686"/>
      <c r="V350" s="686"/>
      <c r="W350" s="686"/>
      <c r="X350" s="686"/>
      <c r="Y350" s="686"/>
      <c r="Z350" s="686"/>
      <c r="AA350" s="686"/>
    </row>
    <row r="351" customFormat="false" ht="12.75" hidden="false" customHeight="false" outlineLevel="1" collapsed="false">
      <c r="A351" s="685"/>
      <c r="B351" s="395"/>
      <c r="C351" s="395"/>
      <c r="D351" s="395"/>
      <c r="E351" s="686"/>
      <c r="F351" s="686"/>
      <c r="G351" s="686"/>
      <c r="H351" s="686"/>
      <c r="I351" s="686"/>
      <c r="J351" s="686"/>
      <c r="K351" s="686"/>
      <c r="L351" s="686"/>
      <c r="M351" s="686"/>
      <c r="N351" s="686"/>
      <c r="O351" s="686"/>
      <c r="P351" s="686"/>
      <c r="Q351" s="686"/>
      <c r="R351" s="686"/>
      <c r="S351" s="686"/>
      <c r="T351" s="686"/>
      <c r="U351" s="686"/>
      <c r="V351" s="686"/>
      <c r="W351" s="686"/>
      <c r="X351" s="686"/>
      <c r="Y351" s="686"/>
      <c r="Z351" s="686"/>
      <c r="AA351" s="686"/>
    </row>
    <row r="352" customFormat="false" ht="12.75" hidden="false" customHeight="false" outlineLevel="1" collapsed="false">
      <c r="A352" s="685"/>
      <c r="B352" s="395"/>
      <c r="C352" s="395"/>
      <c r="D352" s="395"/>
      <c r="E352" s="686"/>
      <c r="F352" s="686"/>
      <c r="G352" s="686"/>
      <c r="H352" s="686"/>
      <c r="I352" s="686"/>
      <c r="J352" s="686"/>
      <c r="K352" s="686"/>
      <c r="L352" s="686"/>
      <c r="M352" s="686"/>
      <c r="N352" s="686"/>
      <c r="O352" s="686"/>
      <c r="P352" s="686"/>
      <c r="Q352" s="686"/>
      <c r="R352" s="686"/>
      <c r="S352" s="686"/>
      <c r="T352" s="686"/>
      <c r="U352" s="686"/>
      <c r="V352" s="686"/>
      <c r="W352" s="686"/>
      <c r="X352" s="686"/>
      <c r="Y352" s="686"/>
      <c r="Z352" s="686"/>
      <c r="AA352" s="686"/>
    </row>
    <row r="353" customFormat="false" ht="12.75" hidden="false" customHeight="false" outlineLevel="1" collapsed="false">
      <c r="A353" s="685"/>
      <c r="B353" s="395"/>
      <c r="C353" s="395"/>
      <c r="D353" s="395"/>
      <c r="E353" s="686"/>
      <c r="F353" s="686"/>
      <c r="G353" s="686"/>
      <c r="H353" s="686"/>
      <c r="I353" s="686"/>
      <c r="J353" s="686"/>
      <c r="K353" s="686"/>
      <c r="L353" s="686"/>
      <c r="M353" s="686"/>
      <c r="N353" s="686"/>
      <c r="O353" s="686"/>
      <c r="P353" s="686"/>
      <c r="Q353" s="686"/>
      <c r="R353" s="686"/>
      <c r="S353" s="686"/>
      <c r="T353" s="686"/>
      <c r="U353" s="686"/>
      <c r="V353" s="686"/>
      <c r="W353" s="686"/>
      <c r="X353" s="686"/>
      <c r="Y353" s="686"/>
      <c r="Z353" s="686"/>
      <c r="AA353" s="686"/>
    </row>
    <row r="354" customFormat="false" ht="12.75" hidden="false" customHeight="false" outlineLevel="1" collapsed="false">
      <c r="A354" s="685"/>
      <c r="B354" s="685"/>
      <c r="C354" s="685"/>
      <c r="D354" s="685"/>
      <c r="E354" s="686"/>
      <c r="F354" s="686"/>
      <c r="G354" s="686"/>
      <c r="H354" s="686"/>
      <c r="I354" s="686"/>
      <c r="J354" s="686"/>
      <c r="K354" s="686"/>
      <c r="L354" s="686"/>
      <c r="M354" s="686"/>
      <c r="N354" s="686"/>
      <c r="O354" s="686"/>
      <c r="P354" s="686"/>
      <c r="Q354" s="686"/>
      <c r="R354" s="686"/>
      <c r="S354" s="686"/>
      <c r="T354" s="686"/>
      <c r="U354" s="686"/>
      <c r="V354" s="686"/>
      <c r="W354" s="686"/>
      <c r="X354" s="686"/>
      <c r="Y354" s="686"/>
      <c r="Z354" s="686"/>
      <c r="AA354" s="686"/>
    </row>
    <row r="355" customFormat="false" ht="12.75" hidden="false" customHeight="false" outlineLevel="1" collapsed="false">
      <c r="A355" s="685"/>
      <c r="B355" s="685"/>
      <c r="C355" s="685"/>
      <c r="D355" s="685"/>
      <c r="E355" s="686"/>
      <c r="F355" s="686"/>
      <c r="G355" s="686"/>
      <c r="H355" s="686"/>
      <c r="I355" s="686"/>
      <c r="J355" s="686"/>
      <c r="K355" s="686"/>
      <c r="L355" s="686"/>
      <c r="M355" s="686"/>
      <c r="N355" s="686"/>
      <c r="O355" s="686"/>
      <c r="P355" s="686"/>
      <c r="Q355" s="686"/>
      <c r="R355" s="686"/>
      <c r="S355" s="686"/>
      <c r="T355" s="686"/>
      <c r="U355" s="686"/>
      <c r="V355" s="686"/>
      <c r="W355" s="686"/>
      <c r="X355" s="686"/>
      <c r="Y355" s="686"/>
      <c r="Z355" s="686"/>
      <c r="AA355" s="686"/>
    </row>
    <row r="356" customFormat="false" ht="12.75" hidden="false" customHeight="false" outlineLevel="1" collapsed="false">
      <c r="A356" s="395"/>
      <c r="B356" s="395"/>
      <c r="C356" s="395"/>
      <c r="D356" s="395"/>
      <c r="E356" s="686"/>
      <c r="F356" s="686"/>
      <c r="G356" s="686"/>
      <c r="H356" s="686"/>
      <c r="I356" s="686"/>
      <c r="J356" s="686"/>
      <c r="K356" s="686"/>
      <c r="L356" s="686"/>
      <c r="M356" s="686"/>
      <c r="N356" s="686"/>
      <c r="O356" s="686"/>
      <c r="P356" s="686"/>
      <c r="Q356" s="686"/>
      <c r="R356" s="686"/>
      <c r="S356" s="686"/>
      <c r="T356" s="686"/>
      <c r="U356" s="686"/>
      <c r="V356" s="686"/>
      <c r="W356" s="686"/>
      <c r="X356" s="686"/>
      <c r="Y356" s="686"/>
      <c r="Z356" s="686"/>
      <c r="AA356" s="686"/>
    </row>
    <row r="357" customFormat="false" ht="12.75" hidden="false" customHeight="false" outlineLevel="1" collapsed="false">
      <c r="A357" s="685"/>
      <c r="B357" s="685"/>
      <c r="C357" s="685"/>
      <c r="D357" s="685"/>
      <c r="E357" s="686"/>
      <c r="F357" s="686"/>
      <c r="G357" s="686"/>
      <c r="H357" s="686"/>
      <c r="I357" s="686"/>
      <c r="J357" s="686"/>
      <c r="K357" s="686"/>
      <c r="L357" s="686"/>
      <c r="M357" s="686"/>
      <c r="N357" s="686"/>
      <c r="O357" s="686"/>
      <c r="P357" s="686"/>
      <c r="Q357" s="686"/>
      <c r="R357" s="686"/>
      <c r="S357" s="686"/>
      <c r="T357" s="686"/>
      <c r="U357" s="686"/>
      <c r="V357" s="686"/>
      <c r="W357" s="686"/>
      <c r="X357" s="686"/>
      <c r="Y357" s="686"/>
      <c r="Z357" s="686"/>
      <c r="AA357" s="686"/>
    </row>
    <row r="358" customFormat="false" ht="12.75" hidden="false" customHeight="false" outlineLevel="1" collapsed="false">
      <c r="A358" s="395"/>
      <c r="B358" s="395"/>
      <c r="C358" s="395"/>
      <c r="D358" s="395"/>
      <c r="E358" s="686"/>
      <c r="F358" s="686"/>
      <c r="G358" s="686"/>
      <c r="H358" s="686"/>
      <c r="I358" s="686"/>
      <c r="J358" s="686"/>
      <c r="K358" s="686"/>
      <c r="L358" s="686"/>
      <c r="M358" s="686"/>
      <c r="N358" s="686"/>
      <c r="O358" s="686"/>
      <c r="P358" s="686"/>
      <c r="Q358" s="686"/>
      <c r="R358" s="686"/>
      <c r="S358" s="686"/>
      <c r="T358" s="686"/>
      <c r="U358" s="686"/>
      <c r="V358" s="686"/>
      <c r="W358" s="686"/>
      <c r="X358" s="686"/>
      <c r="Y358" s="686"/>
      <c r="Z358" s="686"/>
      <c r="AA358" s="686"/>
    </row>
    <row r="359" customFormat="false" ht="12.75" hidden="false" customHeight="false" outlineLevel="1" collapsed="false">
      <c r="A359" s="685"/>
      <c r="B359" s="687"/>
      <c r="C359" s="687"/>
      <c r="D359" s="687"/>
      <c r="E359" s="686"/>
      <c r="F359" s="686"/>
      <c r="G359" s="686"/>
      <c r="H359" s="686"/>
      <c r="I359" s="686"/>
      <c r="J359" s="686"/>
      <c r="K359" s="686"/>
      <c r="L359" s="686"/>
      <c r="M359" s="686"/>
      <c r="N359" s="686"/>
      <c r="O359" s="686"/>
      <c r="P359" s="686"/>
      <c r="Q359" s="686"/>
      <c r="R359" s="686"/>
      <c r="S359" s="686"/>
      <c r="T359" s="686"/>
      <c r="U359" s="686"/>
      <c r="V359" s="686"/>
      <c r="W359" s="686"/>
      <c r="X359" s="686"/>
      <c r="Y359" s="686"/>
      <c r="Z359" s="686"/>
      <c r="AA359" s="686"/>
    </row>
    <row r="360" customFormat="false" ht="12.75" hidden="false" customHeight="false" outlineLevel="1" collapsed="false">
      <c r="A360" s="395"/>
      <c r="B360" s="395"/>
      <c r="C360" s="395"/>
      <c r="D360" s="395"/>
      <c r="E360" s="686"/>
      <c r="F360" s="686"/>
      <c r="G360" s="686"/>
      <c r="H360" s="686"/>
      <c r="I360" s="686"/>
      <c r="J360" s="686"/>
      <c r="K360" s="686"/>
      <c r="L360" s="686"/>
      <c r="M360" s="686"/>
      <c r="N360" s="686"/>
      <c r="O360" s="686"/>
      <c r="P360" s="686"/>
      <c r="Q360" s="686"/>
      <c r="R360" s="686"/>
      <c r="S360" s="686"/>
      <c r="T360" s="686"/>
      <c r="U360" s="686"/>
      <c r="V360" s="686"/>
      <c r="W360" s="686"/>
      <c r="X360" s="686"/>
      <c r="Y360" s="686"/>
      <c r="Z360" s="686"/>
      <c r="AA360" s="686"/>
    </row>
    <row r="361" customFormat="false" ht="12.75" hidden="false" customHeight="false" outlineLevel="1" collapsed="false">
      <c r="A361" s="70"/>
      <c r="B361" s="70"/>
      <c r="C361" s="70"/>
      <c r="D361" s="70"/>
      <c r="E361" s="686"/>
      <c r="F361" s="686"/>
      <c r="G361" s="686"/>
      <c r="H361" s="686"/>
      <c r="I361" s="686"/>
      <c r="J361" s="686"/>
      <c r="K361" s="686"/>
      <c r="L361" s="686"/>
      <c r="M361" s="686"/>
      <c r="N361" s="686"/>
      <c r="O361" s="686"/>
      <c r="P361" s="686"/>
      <c r="Q361" s="686"/>
      <c r="R361" s="686"/>
      <c r="S361" s="686"/>
      <c r="T361" s="686"/>
      <c r="U361" s="686"/>
      <c r="V361" s="686"/>
      <c r="W361" s="686"/>
      <c r="X361" s="686"/>
      <c r="Y361" s="686"/>
      <c r="Z361" s="686"/>
      <c r="AA361" s="686"/>
    </row>
    <row r="362" customFormat="false" ht="12.75" hidden="false" customHeight="false" outlineLevel="1" collapsed="false">
      <c r="A362" s="395"/>
      <c r="B362" s="395"/>
      <c r="C362" s="395"/>
      <c r="D362" s="395"/>
      <c r="E362" s="686"/>
      <c r="F362" s="686"/>
      <c r="G362" s="686"/>
      <c r="H362" s="686"/>
      <c r="I362" s="686"/>
      <c r="J362" s="686"/>
      <c r="K362" s="686"/>
      <c r="L362" s="686"/>
      <c r="M362" s="686"/>
      <c r="N362" s="686"/>
      <c r="O362" s="686"/>
      <c r="P362" s="686"/>
      <c r="Q362" s="686"/>
      <c r="R362" s="686"/>
      <c r="S362" s="686"/>
      <c r="T362" s="686"/>
      <c r="U362" s="686"/>
      <c r="V362" s="686"/>
      <c r="W362" s="686"/>
      <c r="X362" s="686"/>
      <c r="Y362" s="686"/>
      <c r="Z362" s="686"/>
      <c r="AA362" s="686"/>
    </row>
    <row r="363" customFormat="false" ht="12.75" hidden="false" customHeight="false" outlineLevel="1" collapsed="false">
      <c r="A363" s="685"/>
      <c r="B363" s="685"/>
      <c r="C363" s="685"/>
      <c r="D363" s="685"/>
      <c r="E363" s="686"/>
      <c r="F363" s="686"/>
      <c r="G363" s="686"/>
      <c r="H363" s="686"/>
      <c r="I363" s="686"/>
      <c r="J363" s="686"/>
      <c r="K363" s="686"/>
      <c r="L363" s="686"/>
      <c r="M363" s="686"/>
      <c r="N363" s="686"/>
      <c r="O363" s="686"/>
      <c r="P363" s="686"/>
      <c r="Q363" s="686"/>
      <c r="R363" s="686"/>
      <c r="S363" s="686"/>
      <c r="T363" s="686"/>
      <c r="U363" s="686"/>
      <c r="V363" s="686"/>
      <c r="W363" s="686"/>
      <c r="X363" s="686"/>
      <c r="Y363" s="686"/>
      <c r="Z363" s="686"/>
      <c r="AA363" s="686"/>
    </row>
    <row r="364" customFormat="false" ht="12.75" hidden="false" customHeight="false" outlineLevel="1" collapsed="false">
      <c r="A364" s="685"/>
      <c r="B364" s="685"/>
      <c r="C364" s="685"/>
      <c r="D364" s="685"/>
      <c r="E364" s="686"/>
      <c r="F364" s="686"/>
      <c r="G364" s="686"/>
      <c r="H364" s="686"/>
      <c r="I364" s="686"/>
      <c r="J364" s="686"/>
      <c r="K364" s="686"/>
      <c r="L364" s="686"/>
      <c r="M364" s="686"/>
      <c r="N364" s="686"/>
      <c r="O364" s="686"/>
      <c r="P364" s="686"/>
      <c r="Q364" s="686"/>
      <c r="R364" s="686"/>
      <c r="S364" s="686"/>
      <c r="T364" s="686"/>
      <c r="U364" s="686"/>
      <c r="V364" s="686"/>
      <c r="W364" s="686"/>
      <c r="X364" s="686"/>
      <c r="Y364" s="686"/>
      <c r="Z364" s="686"/>
      <c r="AA364" s="686"/>
    </row>
    <row r="365" customFormat="false" ht="12.75" hidden="false" customHeight="false" outlineLevel="1" collapsed="false">
      <c r="A365" s="685"/>
      <c r="B365" s="685"/>
      <c r="C365" s="685"/>
      <c r="D365" s="685"/>
      <c r="E365" s="686"/>
      <c r="F365" s="686"/>
      <c r="G365" s="686"/>
      <c r="H365" s="686"/>
      <c r="I365" s="686"/>
      <c r="J365" s="686"/>
      <c r="K365" s="686"/>
      <c r="L365" s="686"/>
      <c r="M365" s="686"/>
      <c r="N365" s="686"/>
      <c r="O365" s="686"/>
      <c r="P365" s="686"/>
      <c r="Q365" s="686"/>
      <c r="R365" s="686"/>
      <c r="S365" s="686"/>
      <c r="T365" s="686"/>
      <c r="U365" s="686"/>
      <c r="V365" s="686"/>
      <c r="W365" s="686"/>
      <c r="X365" s="686"/>
      <c r="Y365" s="686"/>
      <c r="Z365" s="686"/>
      <c r="AA365" s="686"/>
    </row>
    <row r="366" customFormat="false" ht="12.75" hidden="false" customHeight="false" outlineLevel="1" collapsed="false">
      <c r="A366" s="685"/>
      <c r="B366" s="70"/>
      <c r="C366" s="70"/>
      <c r="D366" s="70"/>
      <c r="E366" s="686"/>
      <c r="F366" s="686"/>
      <c r="G366" s="686"/>
      <c r="H366" s="686"/>
      <c r="I366" s="686"/>
      <c r="J366" s="686"/>
      <c r="K366" s="686"/>
      <c r="L366" s="686"/>
      <c r="M366" s="686"/>
      <c r="N366" s="686"/>
      <c r="O366" s="686"/>
      <c r="P366" s="686"/>
      <c r="Q366" s="686"/>
      <c r="R366" s="686"/>
      <c r="S366" s="686"/>
      <c r="T366" s="686"/>
      <c r="U366" s="686"/>
      <c r="V366" s="686"/>
      <c r="W366" s="686"/>
      <c r="X366" s="686"/>
      <c r="Y366" s="686"/>
      <c r="Z366" s="686"/>
      <c r="AA366" s="686"/>
    </row>
    <row r="367" customFormat="false" ht="12.75" hidden="false" customHeight="false" outlineLevel="1" collapsed="false">
      <c r="A367" s="395"/>
      <c r="B367" s="395"/>
      <c r="C367" s="395"/>
      <c r="D367" s="395"/>
      <c r="E367" s="686"/>
      <c r="F367" s="686"/>
      <c r="G367" s="686"/>
      <c r="H367" s="686"/>
      <c r="I367" s="686"/>
      <c r="J367" s="686"/>
      <c r="K367" s="686"/>
      <c r="L367" s="686"/>
      <c r="M367" s="686"/>
      <c r="N367" s="686"/>
      <c r="O367" s="686"/>
      <c r="P367" s="686"/>
      <c r="Q367" s="686"/>
      <c r="R367" s="686"/>
      <c r="S367" s="686"/>
      <c r="T367" s="686"/>
      <c r="U367" s="686"/>
      <c r="V367" s="686"/>
      <c r="W367" s="686"/>
      <c r="X367" s="686"/>
      <c r="Y367" s="686"/>
      <c r="Z367" s="686"/>
      <c r="AA367" s="686"/>
    </row>
    <row r="368" customFormat="false" ht="12.75" hidden="false" customHeight="false" outlineLevel="1" collapsed="false">
      <c r="A368" s="395"/>
      <c r="B368" s="395"/>
      <c r="C368" s="395"/>
      <c r="D368" s="395"/>
      <c r="E368" s="686"/>
      <c r="F368" s="686"/>
      <c r="G368" s="686"/>
      <c r="H368" s="686"/>
      <c r="I368" s="686"/>
      <c r="J368" s="686"/>
      <c r="K368" s="686"/>
      <c r="L368" s="686"/>
      <c r="M368" s="686"/>
      <c r="N368" s="686"/>
      <c r="O368" s="686"/>
      <c r="P368" s="686"/>
      <c r="Q368" s="686"/>
      <c r="R368" s="686"/>
      <c r="S368" s="686"/>
      <c r="T368" s="686"/>
      <c r="U368" s="686"/>
      <c r="V368" s="686"/>
      <c r="W368" s="686"/>
      <c r="X368" s="686"/>
      <c r="Y368" s="686"/>
      <c r="Z368" s="686"/>
      <c r="AA368" s="686"/>
    </row>
    <row r="369" customFormat="false" ht="12.75" hidden="false" customHeight="false" outlineLevel="1" collapsed="false">
      <c r="A369" s="685"/>
      <c r="B369" s="395"/>
      <c r="C369" s="395"/>
      <c r="D369" s="395"/>
      <c r="E369" s="686"/>
      <c r="F369" s="686"/>
      <c r="G369" s="686"/>
      <c r="H369" s="686"/>
      <c r="I369" s="686"/>
      <c r="J369" s="686"/>
      <c r="K369" s="686"/>
      <c r="L369" s="686"/>
      <c r="M369" s="686"/>
      <c r="N369" s="686"/>
      <c r="O369" s="686"/>
      <c r="P369" s="686"/>
      <c r="Q369" s="686"/>
      <c r="R369" s="686"/>
      <c r="S369" s="686"/>
      <c r="T369" s="686"/>
      <c r="U369" s="686"/>
      <c r="V369" s="686"/>
      <c r="W369" s="686"/>
      <c r="X369" s="686"/>
      <c r="Y369" s="686"/>
      <c r="Z369" s="686"/>
      <c r="AA369" s="686"/>
    </row>
    <row r="370" customFormat="false" ht="12.75" hidden="false" customHeight="false" outlineLevel="1" collapsed="false">
      <c r="A370" s="685"/>
      <c r="B370" s="395"/>
      <c r="C370" s="395"/>
      <c r="D370" s="395"/>
      <c r="E370" s="686"/>
      <c r="F370" s="686"/>
      <c r="G370" s="686"/>
      <c r="H370" s="686"/>
      <c r="I370" s="686"/>
      <c r="J370" s="686"/>
      <c r="K370" s="686"/>
      <c r="L370" s="686"/>
      <c r="M370" s="686"/>
      <c r="N370" s="686"/>
      <c r="O370" s="686"/>
      <c r="P370" s="686"/>
      <c r="Q370" s="686"/>
      <c r="R370" s="686"/>
      <c r="S370" s="686"/>
      <c r="T370" s="686"/>
      <c r="U370" s="686"/>
      <c r="V370" s="686"/>
      <c r="W370" s="686"/>
      <c r="X370" s="686"/>
      <c r="Y370" s="686"/>
      <c r="Z370" s="686"/>
      <c r="AA370" s="686"/>
    </row>
    <row r="371" customFormat="false" ht="12.75" hidden="false" customHeight="false" outlineLevel="1" collapsed="false">
      <c r="A371" s="685"/>
      <c r="B371" s="395"/>
      <c r="C371" s="395"/>
      <c r="D371" s="395"/>
      <c r="E371" s="686"/>
      <c r="F371" s="686"/>
      <c r="G371" s="686"/>
      <c r="H371" s="686"/>
      <c r="I371" s="686"/>
      <c r="J371" s="686"/>
      <c r="K371" s="686"/>
      <c r="L371" s="686"/>
      <c r="M371" s="686"/>
      <c r="N371" s="686"/>
      <c r="O371" s="686"/>
      <c r="P371" s="686"/>
      <c r="Q371" s="686"/>
      <c r="R371" s="686"/>
      <c r="S371" s="686"/>
      <c r="T371" s="686"/>
      <c r="U371" s="686"/>
      <c r="V371" s="686"/>
      <c r="W371" s="686"/>
      <c r="X371" s="686"/>
      <c r="Y371" s="686"/>
      <c r="Z371" s="686"/>
      <c r="AA371" s="686"/>
    </row>
    <row r="372" customFormat="false" ht="12.75" hidden="false" customHeight="false" outlineLevel="1" collapsed="false">
      <c r="A372" s="685"/>
      <c r="B372" s="395"/>
      <c r="C372" s="395"/>
      <c r="D372" s="395"/>
      <c r="E372" s="686"/>
      <c r="F372" s="686"/>
      <c r="G372" s="686"/>
      <c r="H372" s="686"/>
      <c r="I372" s="686"/>
      <c r="J372" s="686"/>
      <c r="K372" s="686"/>
      <c r="L372" s="686"/>
      <c r="M372" s="686"/>
      <c r="N372" s="686"/>
      <c r="O372" s="686"/>
      <c r="P372" s="686"/>
      <c r="Q372" s="686"/>
      <c r="R372" s="686"/>
      <c r="S372" s="686"/>
      <c r="T372" s="686"/>
      <c r="U372" s="686"/>
      <c r="V372" s="686"/>
      <c r="W372" s="686"/>
      <c r="X372" s="686"/>
      <c r="Y372" s="686"/>
      <c r="Z372" s="686"/>
      <c r="AA372" s="686"/>
    </row>
    <row r="373" customFormat="false" ht="12.75" hidden="false" customHeight="false" outlineLevel="1" collapsed="false">
      <c r="A373" s="685"/>
      <c r="B373" s="395"/>
      <c r="C373" s="395"/>
      <c r="D373" s="395"/>
      <c r="E373" s="686"/>
      <c r="F373" s="686"/>
      <c r="G373" s="686"/>
      <c r="H373" s="686"/>
      <c r="I373" s="686"/>
      <c r="J373" s="686"/>
      <c r="K373" s="686"/>
      <c r="L373" s="686"/>
      <c r="M373" s="686"/>
      <c r="N373" s="686"/>
      <c r="O373" s="686"/>
      <c r="P373" s="686"/>
      <c r="Q373" s="686"/>
      <c r="R373" s="686"/>
      <c r="S373" s="686"/>
      <c r="T373" s="686"/>
      <c r="U373" s="686"/>
      <c r="V373" s="686"/>
      <c r="W373" s="686"/>
      <c r="X373" s="686"/>
      <c r="Y373" s="686"/>
      <c r="Z373" s="686"/>
      <c r="AA373" s="686"/>
    </row>
    <row r="374" customFormat="false" ht="12.75" hidden="false" customHeight="false" outlineLevel="1" collapsed="false">
      <c r="A374" s="322"/>
      <c r="B374" s="687"/>
      <c r="C374" s="687"/>
      <c r="D374" s="687"/>
      <c r="E374" s="686"/>
      <c r="F374" s="686"/>
      <c r="G374" s="686"/>
      <c r="H374" s="686"/>
      <c r="I374" s="686"/>
      <c r="J374" s="686"/>
      <c r="K374" s="686"/>
      <c r="L374" s="686"/>
      <c r="M374" s="686"/>
      <c r="N374" s="686"/>
      <c r="O374" s="686"/>
      <c r="P374" s="686"/>
      <c r="Q374" s="686"/>
      <c r="R374" s="686"/>
      <c r="S374" s="686"/>
      <c r="T374" s="686"/>
      <c r="U374" s="686"/>
      <c r="V374" s="686"/>
      <c r="W374" s="686"/>
      <c r="X374" s="686"/>
      <c r="Y374" s="686"/>
      <c r="Z374" s="686"/>
      <c r="AA374" s="686"/>
    </row>
    <row r="375" customFormat="false" ht="12.75" hidden="false" customHeight="false" outlineLevel="1" collapsed="false">
      <c r="A375" s="395"/>
      <c r="B375" s="395"/>
      <c r="C375" s="395"/>
      <c r="D375" s="395"/>
      <c r="E375" s="686"/>
      <c r="F375" s="686"/>
      <c r="G375" s="686"/>
      <c r="H375" s="686"/>
      <c r="I375" s="686"/>
      <c r="J375" s="686"/>
      <c r="K375" s="686"/>
      <c r="L375" s="686"/>
      <c r="M375" s="686"/>
      <c r="N375" s="686"/>
      <c r="O375" s="686"/>
      <c r="P375" s="686"/>
      <c r="Q375" s="686"/>
      <c r="R375" s="686"/>
      <c r="S375" s="686"/>
      <c r="T375" s="686"/>
      <c r="U375" s="686"/>
      <c r="V375" s="686"/>
      <c r="W375" s="686"/>
      <c r="X375" s="686"/>
      <c r="Y375" s="686"/>
      <c r="Z375" s="686"/>
      <c r="AA375" s="686"/>
    </row>
    <row r="376" customFormat="false" ht="12.75" hidden="false" customHeight="false" outlineLevel="1" collapsed="false">
      <c r="A376" s="70"/>
      <c r="B376" s="70"/>
      <c r="C376" s="70"/>
      <c r="D376" s="70"/>
      <c r="E376" s="686"/>
      <c r="F376" s="686"/>
      <c r="G376" s="686"/>
      <c r="H376" s="686"/>
      <c r="I376" s="686"/>
      <c r="J376" s="686"/>
      <c r="K376" s="686"/>
      <c r="L376" s="686"/>
      <c r="M376" s="686"/>
      <c r="N376" s="686"/>
      <c r="O376" s="686"/>
      <c r="P376" s="686"/>
      <c r="Q376" s="686"/>
      <c r="R376" s="686"/>
      <c r="S376" s="686"/>
      <c r="T376" s="686"/>
      <c r="U376" s="686"/>
      <c r="V376" s="686"/>
      <c r="W376" s="686"/>
      <c r="X376" s="686"/>
      <c r="Y376" s="686"/>
      <c r="Z376" s="686"/>
      <c r="AA376" s="686"/>
    </row>
    <row r="377" customFormat="false" ht="12.75" hidden="false" customHeight="false" outlineLevel="1" collapsed="false">
      <c r="A377" s="395"/>
      <c r="B377" s="684"/>
      <c r="C377" s="684"/>
      <c r="D377" s="684"/>
      <c r="E377" s="686"/>
      <c r="F377" s="686"/>
      <c r="G377" s="686"/>
      <c r="H377" s="686"/>
      <c r="I377" s="686"/>
      <c r="J377" s="686"/>
      <c r="K377" s="686"/>
      <c r="L377" s="686"/>
      <c r="M377" s="686"/>
      <c r="N377" s="686"/>
      <c r="O377" s="686"/>
      <c r="P377" s="686"/>
      <c r="Q377" s="686"/>
      <c r="R377" s="686"/>
      <c r="S377" s="686"/>
      <c r="T377" s="686"/>
      <c r="U377" s="686"/>
      <c r="V377" s="686"/>
      <c r="W377" s="686"/>
      <c r="X377" s="686"/>
      <c r="Y377" s="686"/>
      <c r="Z377" s="686"/>
      <c r="AA377" s="686"/>
    </row>
    <row r="378" customFormat="false" ht="12.75" hidden="false" customHeight="false" outlineLevel="1" collapsed="false">
      <c r="A378" s="395"/>
      <c r="B378" s="684"/>
      <c r="C378" s="684"/>
      <c r="D378" s="684"/>
      <c r="E378" s="686"/>
      <c r="F378" s="686"/>
      <c r="G378" s="686"/>
      <c r="H378" s="686"/>
      <c r="I378" s="686"/>
      <c r="J378" s="686"/>
      <c r="K378" s="686"/>
      <c r="L378" s="686"/>
      <c r="M378" s="686"/>
      <c r="N378" s="686"/>
      <c r="O378" s="686"/>
      <c r="P378" s="686"/>
      <c r="Q378" s="686"/>
      <c r="R378" s="686"/>
      <c r="S378" s="686"/>
      <c r="T378" s="686"/>
      <c r="U378" s="686"/>
      <c r="V378" s="686"/>
      <c r="W378" s="686"/>
      <c r="X378" s="686"/>
      <c r="Y378" s="686"/>
      <c r="Z378" s="686"/>
      <c r="AA378" s="686"/>
    </row>
    <row r="379" customFormat="false" ht="12.75" hidden="false" customHeight="false" outlineLevel="1" collapsed="false">
      <c r="A379" s="395"/>
      <c r="B379" s="684"/>
      <c r="C379" s="684"/>
      <c r="D379" s="684"/>
      <c r="E379" s="686"/>
      <c r="F379" s="686"/>
      <c r="G379" s="686"/>
      <c r="H379" s="686"/>
      <c r="I379" s="686"/>
      <c r="J379" s="686"/>
      <c r="K379" s="686"/>
      <c r="L379" s="686"/>
      <c r="M379" s="686"/>
      <c r="N379" s="686"/>
      <c r="O379" s="686"/>
      <c r="P379" s="686"/>
      <c r="Q379" s="686"/>
      <c r="R379" s="686"/>
      <c r="S379" s="686"/>
      <c r="T379" s="686"/>
      <c r="U379" s="686"/>
      <c r="V379" s="686"/>
      <c r="W379" s="686"/>
      <c r="X379" s="686"/>
      <c r="Y379" s="686"/>
      <c r="Z379" s="686"/>
      <c r="AA379" s="686"/>
    </row>
    <row r="380" customFormat="false" ht="12.75" hidden="false" customHeight="false" outlineLevel="1" collapsed="false">
      <c r="A380" s="70"/>
      <c r="B380" s="70"/>
      <c r="C380" s="70"/>
      <c r="D380" s="70"/>
      <c r="E380" s="70"/>
      <c r="F380" s="70"/>
      <c r="G380" s="70"/>
      <c r="H380" s="70"/>
      <c r="I380" s="70"/>
      <c r="J380" s="70"/>
      <c r="K380" s="70"/>
      <c r="L380" s="70"/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70"/>
      <c r="X380" s="70"/>
      <c r="Y380" s="70"/>
      <c r="Z380" s="70"/>
    </row>
    <row r="381" customFormat="false" ht="12.75" hidden="false" customHeight="false" outlineLevel="1" collapsed="false">
      <c r="A381" s="70"/>
      <c r="B381" s="70"/>
      <c r="C381" s="70"/>
      <c r="D381" s="70"/>
      <c r="E381" s="70"/>
      <c r="F381" s="70"/>
      <c r="G381" s="70"/>
      <c r="H381" s="70"/>
      <c r="I381" s="70"/>
      <c r="J381" s="70"/>
      <c r="K381" s="70"/>
      <c r="L381" s="70"/>
      <c r="M381" s="70"/>
      <c r="N381" s="70"/>
      <c r="O381" s="70"/>
      <c r="P381" s="70"/>
      <c r="Q381" s="70"/>
      <c r="R381" s="70"/>
      <c r="S381" s="70"/>
      <c r="T381" s="70"/>
      <c r="U381" s="70"/>
      <c r="V381" s="70"/>
      <c r="W381" s="70"/>
      <c r="X381" s="70"/>
      <c r="Y381" s="70"/>
      <c r="Z381" s="70"/>
    </row>
    <row r="382" customFormat="false" ht="18.75" hidden="false" customHeight="false" outlineLevel="1" collapsed="false">
      <c r="A382" s="683"/>
      <c r="B382" s="683"/>
      <c r="C382" s="683"/>
      <c r="D382" s="683"/>
      <c r="E382" s="70"/>
      <c r="F382" s="70"/>
      <c r="G382" s="70"/>
      <c r="H382" s="70"/>
      <c r="I382" s="70"/>
      <c r="J382" s="70"/>
      <c r="K382" s="70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  <c r="Y382" s="70"/>
      <c r="Z382" s="70"/>
    </row>
    <row r="383" customFormat="false" ht="12.75" hidden="false" customHeight="false" outlineLevel="1" collapsed="false">
      <c r="A383" s="395"/>
      <c r="B383" s="395"/>
      <c r="C383" s="395"/>
      <c r="D383" s="395"/>
      <c r="E383" s="70"/>
      <c r="F383" s="70"/>
      <c r="G383" s="70"/>
      <c r="H383" s="70"/>
      <c r="I383" s="70"/>
      <c r="J383" s="70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  <c r="Z383" s="70"/>
    </row>
    <row r="384" customFormat="false" ht="12.75" hidden="false" customHeight="false" outlineLevel="1" collapsed="false">
      <c r="A384" s="395"/>
      <c r="B384" s="684"/>
      <c r="C384" s="684"/>
      <c r="D384" s="684"/>
      <c r="E384" s="70"/>
      <c r="F384" s="70"/>
      <c r="G384" s="70"/>
      <c r="H384" s="70"/>
      <c r="I384" s="70"/>
      <c r="J384" s="70"/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  <c r="Z384" s="70"/>
    </row>
    <row r="385" customFormat="false" ht="12.75" hidden="false" customHeight="false" outlineLevel="1" collapsed="false">
      <c r="A385" s="70"/>
      <c r="B385" s="70"/>
      <c r="C385" s="70"/>
      <c r="D385" s="70"/>
      <c r="E385" s="70"/>
      <c r="F385" s="70"/>
      <c r="G385" s="70"/>
      <c r="H385" s="70"/>
      <c r="I385" s="70"/>
      <c r="J385" s="70"/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  <c r="Z385" s="70"/>
    </row>
    <row r="386" customFormat="false" ht="12.75" hidden="false" customHeight="false" outlineLevel="1" collapsed="false">
      <c r="A386" s="322"/>
      <c r="B386" s="321"/>
      <c r="C386" s="321"/>
      <c r="D386" s="321"/>
      <c r="E386" s="321"/>
      <c r="F386" s="321"/>
      <c r="G386" s="321"/>
      <c r="H386" s="321"/>
      <c r="I386" s="321"/>
      <c r="J386" s="321"/>
      <c r="K386" s="321"/>
      <c r="L386" s="321"/>
      <c r="M386" s="321"/>
      <c r="N386" s="321"/>
      <c r="O386" s="321"/>
      <c r="P386" s="321"/>
      <c r="Q386" s="321"/>
      <c r="R386" s="321"/>
      <c r="S386" s="321"/>
      <c r="T386" s="70"/>
      <c r="U386" s="70"/>
      <c r="V386" s="70"/>
      <c r="W386" s="70"/>
      <c r="X386" s="70"/>
      <c r="Y386" s="70"/>
      <c r="Z386" s="70"/>
    </row>
    <row r="387" customFormat="false" ht="12.75" hidden="false" customHeight="false" outlineLevel="1" collapsed="false">
      <c r="A387" s="395"/>
      <c r="B387" s="395"/>
      <c r="C387" s="395"/>
      <c r="D387" s="395"/>
      <c r="E387" s="395"/>
      <c r="F387" s="70"/>
      <c r="G387" s="70"/>
      <c r="H387" s="70"/>
      <c r="I387" s="70"/>
      <c r="J387" s="70"/>
      <c r="K387" s="70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  <c r="Y387" s="70"/>
      <c r="Z387" s="70"/>
    </row>
    <row r="388" customFormat="false" ht="12.75" hidden="false" customHeight="false" outlineLevel="1" collapsed="false">
      <c r="A388" s="685"/>
      <c r="B388" s="395"/>
      <c r="C388" s="395"/>
      <c r="D388" s="395"/>
      <c r="E388" s="395"/>
      <c r="F388" s="701"/>
      <c r="G388" s="701"/>
      <c r="H388" s="701"/>
      <c r="I388" s="701"/>
      <c r="J388" s="701"/>
      <c r="K388" s="701"/>
      <c r="L388" s="701"/>
      <c r="M388" s="701"/>
      <c r="N388" s="701"/>
      <c r="O388" s="701"/>
      <c r="P388" s="701"/>
      <c r="Q388" s="701"/>
      <c r="R388" s="701"/>
      <c r="S388" s="701"/>
      <c r="T388" s="70"/>
      <c r="U388" s="70"/>
      <c r="V388" s="70"/>
      <c r="W388" s="70"/>
      <c r="X388" s="70"/>
      <c r="Y388" s="70"/>
      <c r="Z388" s="70"/>
    </row>
    <row r="389" customFormat="false" ht="12.75" hidden="false" customHeight="false" outlineLevel="1" collapsed="false">
      <c r="A389" s="685"/>
      <c r="B389" s="395"/>
      <c r="C389" s="395"/>
      <c r="D389" s="395"/>
      <c r="E389" s="395"/>
      <c r="F389" s="701"/>
      <c r="G389" s="701"/>
      <c r="H389" s="701"/>
      <c r="I389" s="701"/>
      <c r="J389" s="701"/>
      <c r="K389" s="701"/>
      <c r="L389" s="701"/>
      <c r="M389" s="701"/>
      <c r="N389" s="701"/>
      <c r="O389" s="701"/>
      <c r="P389" s="701"/>
      <c r="Q389" s="701"/>
      <c r="R389" s="701"/>
      <c r="S389" s="701"/>
      <c r="T389" s="70"/>
      <c r="U389" s="70"/>
      <c r="V389" s="70"/>
      <c r="W389" s="70"/>
      <c r="X389" s="70"/>
      <c r="Y389" s="70"/>
      <c r="Z389" s="70"/>
    </row>
    <row r="390" customFormat="false" ht="12.75" hidden="false" customHeight="false" outlineLevel="1" collapsed="false">
      <c r="A390" s="685"/>
      <c r="B390" s="685"/>
      <c r="C390" s="685"/>
      <c r="D390" s="685"/>
      <c r="E390" s="685"/>
      <c r="F390" s="701"/>
      <c r="G390" s="701"/>
      <c r="H390" s="701"/>
      <c r="I390" s="701"/>
      <c r="J390" s="701"/>
      <c r="K390" s="701"/>
      <c r="L390" s="701"/>
      <c r="M390" s="701"/>
      <c r="N390" s="701"/>
      <c r="O390" s="701"/>
      <c r="P390" s="701"/>
      <c r="Q390" s="701"/>
      <c r="R390" s="701"/>
      <c r="S390" s="701"/>
      <c r="T390" s="70"/>
      <c r="U390" s="70"/>
      <c r="V390" s="70"/>
      <c r="W390" s="70"/>
      <c r="X390" s="70"/>
      <c r="Y390" s="70"/>
      <c r="Z390" s="70"/>
    </row>
    <row r="391" customFormat="false" ht="12.75" hidden="false" customHeight="false" outlineLevel="1" collapsed="false">
      <c r="A391" s="685"/>
      <c r="B391" s="685"/>
      <c r="C391" s="685"/>
      <c r="D391" s="685"/>
      <c r="E391" s="685"/>
      <c r="F391" s="701"/>
      <c r="G391" s="701"/>
      <c r="H391" s="701"/>
      <c r="I391" s="701"/>
      <c r="J391" s="701"/>
      <c r="K391" s="701"/>
      <c r="L391" s="701"/>
      <c r="M391" s="701"/>
      <c r="N391" s="701"/>
      <c r="O391" s="701"/>
      <c r="P391" s="701"/>
      <c r="Q391" s="701"/>
      <c r="R391" s="701"/>
      <c r="S391" s="701"/>
      <c r="T391" s="70"/>
      <c r="U391" s="70"/>
      <c r="V391" s="70"/>
      <c r="W391" s="70"/>
      <c r="X391" s="70"/>
      <c r="Y391" s="70"/>
      <c r="Z391" s="70"/>
    </row>
    <row r="392" customFormat="false" ht="12.75" hidden="false" customHeight="false" outlineLevel="1" collapsed="false">
      <c r="A392" s="685"/>
      <c r="B392" s="322"/>
      <c r="C392" s="322"/>
      <c r="D392" s="322"/>
      <c r="E392" s="322"/>
      <c r="F392" s="701"/>
      <c r="G392" s="701"/>
      <c r="H392" s="701"/>
      <c r="I392" s="701"/>
      <c r="J392" s="701"/>
      <c r="K392" s="701"/>
      <c r="L392" s="701"/>
      <c r="M392" s="701"/>
      <c r="N392" s="701"/>
      <c r="O392" s="701"/>
      <c r="P392" s="701"/>
      <c r="Q392" s="701"/>
      <c r="R392" s="701"/>
      <c r="S392" s="701"/>
      <c r="T392" s="70"/>
      <c r="U392" s="70"/>
      <c r="V392" s="70"/>
      <c r="W392" s="70"/>
      <c r="X392" s="70"/>
      <c r="Y392" s="70"/>
      <c r="Z392" s="70"/>
    </row>
    <row r="393" customFormat="false" ht="12.75" hidden="false" customHeight="false" outlineLevel="1" collapsed="false">
      <c r="A393" s="685"/>
      <c r="B393" s="322"/>
      <c r="C393" s="322"/>
      <c r="D393" s="322"/>
      <c r="E393" s="322"/>
      <c r="F393" s="701"/>
      <c r="G393" s="701"/>
      <c r="H393" s="701"/>
      <c r="I393" s="701"/>
      <c r="J393" s="701"/>
      <c r="K393" s="701"/>
      <c r="L393" s="701"/>
      <c r="M393" s="701"/>
      <c r="N393" s="701"/>
      <c r="O393" s="701"/>
      <c r="P393" s="701"/>
      <c r="Q393" s="701"/>
      <c r="R393" s="701"/>
      <c r="S393" s="701"/>
      <c r="T393" s="70"/>
      <c r="U393" s="70"/>
      <c r="V393" s="70"/>
      <c r="W393" s="70"/>
      <c r="X393" s="70"/>
      <c r="Y393" s="70"/>
      <c r="Z393" s="70"/>
    </row>
    <row r="394" customFormat="false" ht="12.75" hidden="false" customHeight="false" outlineLevel="1" collapsed="false">
      <c r="A394" s="395"/>
      <c r="B394" s="395"/>
      <c r="C394" s="395"/>
      <c r="D394" s="395"/>
      <c r="E394" s="395"/>
      <c r="F394" s="701"/>
      <c r="G394" s="701"/>
      <c r="H394" s="701"/>
      <c r="I394" s="701"/>
      <c r="J394" s="701"/>
      <c r="K394" s="701"/>
      <c r="L394" s="701"/>
      <c r="M394" s="701"/>
      <c r="N394" s="701"/>
      <c r="O394" s="701"/>
      <c r="P394" s="701"/>
      <c r="Q394" s="701"/>
      <c r="R394" s="701"/>
      <c r="S394" s="701"/>
      <c r="T394" s="70"/>
      <c r="U394" s="70"/>
      <c r="V394" s="70"/>
      <c r="W394" s="70"/>
      <c r="X394" s="70"/>
      <c r="Y394" s="70"/>
      <c r="Z394" s="70"/>
    </row>
    <row r="395" customFormat="false" ht="12.75" hidden="false" customHeight="false" outlineLevel="1" collapsed="false">
      <c r="A395" s="685"/>
      <c r="B395" s="395"/>
      <c r="C395" s="395"/>
      <c r="D395" s="395"/>
      <c r="E395" s="395"/>
      <c r="F395" s="701"/>
      <c r="G395" s="701"/>
      <c r="H395" s="701"/>
      <c r="I395" s="701"/>
      <c r="J395" s="701"/>
      <c r="K395" s="701"/>
      <c r="L395" s="701"/>
      <c r="M395" s="701"/>
      <c r="N395" s="701"/>
      <c r="O395" s="701"/>
      <c r="P395" s="701"/>
      <c r="Q395" s="701"/>
      <c r="R395" s="701"/>
      <c r="S395" s="701"/>
      <c r="T395" s="70"/>
      <c r="U395" s="70"/>
      <c r="V395" s="70"/>
      <c r="W395" s="70"/>
      <c r="X395" s="70"/>
      <c r="Y395" s="70"/>
      <c r="Z395" s="70"/>
    </row>
    <row r="396" customFormat="false" ht="12.75" hidden="false" customHeight="false" outlineLevel="1" collapsed="false">
      <c r="A396" s="685"/>
      <c r="B396" s="395"/>
      <c r="C396" s="395"/>
      <c r="D396" s="395"/>
      <c r="E396" s="395"/>
      <c r="F396" s="701"/>
      <c r="G396" s="701"/>
      <c r="H396" s="701"/>
      <c r="I396" s="701"/>
      <c r="J396" s="701"/>
      <c r="K396" s="701"/>
      <c r="L396" s="701"/>
      <c r="M396" s="701"/>
      <c r="N396" s="701"/>
      <c r="O396" s="701"/>
      <c r="P396" s="701"/>
      <c r="Q396" s="701"/>
      <c r="R396" s="701"/>
      <c r="S396" s="701"/>
      <c r="T396" s="70"/>
      <c r="U396" s="70"/>
      <c r="V396" s="70"/>
      <c r="W396" s="70"/>
      <c r="X396" s="70"/>
      <c r="Y396" s="70"/>
      <c r="Z396" s="70"/>
    </row>
    <row r="397" customFormat="false" ht="12.75" hidden="false" customHeight="false" outlineLevel="1" collapsed="false">
      <c r="A397" s="685"/>
      <c r="B397" s="395"/>
      <c r="C397" s="395"/>
      <c r="D397" s="395"/>
      <c r="E397" s="395"/>
      <c r="F397" s="701"/>
      <c r="G397" s="701"/>
      <c r="H397" s="701"/>
      <c r="I397" s="701"/>
      <c r="J397" s="701"/>
      <c r="K397" s="701"/>
      <c r="L397" s="701"/>
      <c r="M397" s="701"/>
      <c r="N397" s="701"/>
      <c r="O397" s="701"/>
      <c r="P397" s="701"/>
      <c r="Q397" s="701"/>
      <c r="R397" s="701"/>
      <c r="S397" s="701"/>
      <c r="T397" s="70"/>
      <c r="U397" s="70"/>
      <c r="V397" s="70"/>
      <c r="W397" s="70"/>
      <c r="X397" s="70"/>
      <c r="Y397" s="70"/>
      <c r="Z397" s="70"/>
    </row>
    <row r="398" customFormat="false" ht="12.75" hidden="false" customHeight="false" outlineLevel="1" collapsed="false">
      <c r="A398" s="685"/>
      <c r="B398" s="395"/>
      <c r="C398" s="395"/>
      <c r="D398" s="395"/>
      <c r="E398" s="395"/>
      <c r="F398" s="701"/>
      <c r="G398" s="701"/>
      <c r="H398" s="701"/>
      <c r="I398" s="701"/>
      <c r="J398" s="701"/>
      <c r="K398" s="701"/>
      <c r="L398" s="701"/>
      <c r="M398" s="701"/>
      <c r="N398" s="701"/>
      <c r="O398" s="701"/>
      <c r="P398" s="701"/>
      <c r="Q398" s="701"/>
      <c r="R398" s="701"/>
      <c r="S398" s="701"/>
      <c r="T398" s="70"/>
      <c r="U398" s="70"/>
      <c r="V398" s="70"/>
      <c r="W398" s="70"/>
      <c r="X398" s="70"/>
      <c r="Y398" s="70"/>
      <c r="Z398" s="70"/>
    </row>
    <row r="399" customFormat="false" ht="12.75" hidden="false" customHeight="false" outlineLevel="1" collapsed="false">
      <c r="A399" s="685"/>
      <c r="B399" s="395"/>
      <c r="C399" s="395"/>
      <c r="D399" s="395"/>
      <c r="E399" s="395"/>
      <c r="F399" s="701"/>
      <c r="G399" s="701"/>
      <c r="H399" s="701"/>
      <c r="I399" s="701"/>
      <c r="J399" s="701"/>
      <c r="K399" s="701"/>
      <c r="L399" s="701"/>
      <c r="M399" s="701"/>
      <c r="N399" s="701"/>
      <c r="O399" s="701"/>
      <c r="P399" s="701"/>
      <c r="Q399" s="701"/>
      <c r="R399" s="701"/>
      <c r="S399" s="701"/>
      <c r="T399" s="70"/>
      <c r="U399" s="70"/>
      <c r="V399" s="70"/>
      <c r="W399" s="70"/>
      <c r="X399" s="70"/>
      <c r="Y399" s="70"/>
      <c r="Z399" s="70"/>
    </row>
    <row r="400" customFormat="false" ht="12.75" hidden="false" customHeight="false" outlineLevel="1" collapsed="false">
      <c r="A400" s="685"/>
      <c r="B400" s="395"/>
      <c r="C400" s="395"/>
      <c r="D400" s="395"/>
      <c r="E400" s="395"/>
      <c r="F400" s="701"/>
      <c r="G400" s="701"/>
      <c r="H400" s="701"/>
      <c r="I400" s="701"/>
      <c r="J400" s="701"/>
      <c r="K400" s="701"/>
      <c r="L400" s="701"/>
      <c r="M400" s="701"/>
      <c r="N400" s="701"/>
      <c r="O400" s="701"/>
      <c r="P400" s="701"/>
      <c r="Q400" s="701"/>
      <c r="R400" s="701"/>
      <c r="S400" s="701"/>
      <c r="T400" s="70"/>
      <c r="U400" s="70"/>
      <c r="V400" s="70"/>
      <c r="W400" s="70"/>
      <c r="X400" s="70"/>
      <c r="Y400" s="70"/>
      <c r="Z400" s="70"/>
    </row>
    <row r="401" customFormat="false" ht="12.75" hidden="false" customHeight="false" outlineLevel="1" collapsed="false">
      <c r="A401" s="685"/>
      <c r="B401" s="395"/>
      <c r="C401" s="395"/>
      <c r="D401" s="395"/>
      <c r="E401" s="395"/>
      <c r="F401" s="701"/>
      <c r="G401" s="701"/>
      <c r="H401" s="701"/>
      <c r="I401" s="701"/>
      <c r="J401" s="701"/>
      <c r="K401" s="701"/>
      <c r="L401" s="701"/>
      <c r="M401" s="701"/>
      <c r="N401" s="701"/>
      <c r="O401" s="701"/>
      <c r="P401" s="701"/>
      <c r="Q401" s="701"/>
      <c r="R401" s="701"/>
      <c r="S401" s="701"/>
      <c r="T401" s="70"/>
      <c r="U401" s="70"/>
      <c r="V401" s="70"/>
      <c r="W401" s="70"/>
      <c r="X401" s="70"/>
      <c r="Y401" s="70"/>
      <c r="Z401" s="70"/>
    </row>
    <row r="402" customFormat="false" ht="12.75" hidden="false" customHeight="false" outlineLevel="1" collapsed="false">
      <c r="A402" s="685"/>
      <c r="B402" s="395"/>
      <c r="C402" s="395"/>
      <c r="D402" s="395"/>
      <c r="E402" s="395"/>
      <c r="F402" s="701"/>
      <c r="G402" s="701"/>
      <c r="H402" s="701"/>
      <c r="I402" s="701"/>
      <c r="J402" s="701"/>
      <c r="K402" s="701"/>
      <c r="L402" s="701"/>
      <c r="M402" s="701"/>
      <c r="N402" s="701"/>
      <c r="O402" s="701"/>
      <c r="P402" s="701"/>
      <c r="Q402" s="701"/>
      <c r="R402" s="701"/>
      <c r="S402" s="701"/>
      <c r="T402" s="70"/>
      <c r="U402" s="70"/>
      <c r="V402" s="70"/>
      <c r="W402" s="70"/>
      <c r="X402" s="70"/>
      <c r="Y402" s="70"/>
      <c r="Z402" s="70"/>
    </row>
    <row r="403" customFormat="false" ht="12.75" hidden="false" customHeight="false" outlineLevel="1" collapsed="false">
      <c r="A403" s="685"/>
      <c r="B403" s="395"/>
      <c r="C403" s="395"/>
      <c r="D403" s="395"/>
      <c r="E403" s="395"/>
      <c r="F403" s="701"/>
      <c r="G403" s="701"/>
      <c r="H403" s="701"/>
      <c r="I403" s="701"/>
      <c r="J403" s="701"/>
      <c r="K403" s="701"/>
      <c r="L403" s="701"/>
      <c r="M403" s="701"/>
      <c r="N403" s="701"/>
      <c r="O403" s="701"/>
      <c r="P403" s="701"/>
      <c r="Q403" s="701"/>
      <c r="R403" s="701"/>
      <c r="S403" s="701"/>
      <c r="T403" s="70"/>
      <c r="U403" s="70"/>
      <c r="V403" s="70"/>
      <c r="W403" s="70"/>
      <c r="X403" s="70"/>
      <c r="Y403" s="70"/>
      <c r="Z403" s="70"/>
    </row>
    <row r="404" customFormat="false" ht="12.75" hidden="false" customHeight="false" outlineLevel="1" collapsed="false">
      <c r="A404" s="685"/>
      <c r="B404" s="395"/>
      <c r="C404" s="395"/>
      <c r="D404" s="395"/>
      <c r="E404" s="395"/>
      <c r="F404" s="701"/>
      <c r="G404" s="701"/>
      <c r="H404" s="701"/>
      <c r="I404" s="701"/>
      <c r="J404" s="701"/>
      <c r="K404" s="701"/>
      <c r="L404" s="701"/>
      <c r="M404" s="701"/>
      <c r="N404" s="701"/>
      <c r="O404" s="701"/>
      <c r="P404" s="701"/>
      <c r="Q404" s="701"/>
      <c r="R404" s="701"/>
      <c r="S404" s="701"/>
      <c r="T404" s="70"/>
      <c r="U404" s="70"/>
      <c r="V404" s="70"/>
      <c r="W404" s="70"/>
      <c r="X404" s="70"/>
      <c r="Y404" s="70"/>
      <c r="Z404" s="70"/>
    </row>
    <row r="405" customFormat="false" ht="12.75" hidden="false" customHeight="false" outlineLevel="1" collapsed="false">
      <c r="A405" s="685"/>
      <c r="B405" s="685"/>
      <c r="C405" s="685"/>
      <c r="D405" s="685"/>
      <c r="E405" s="685"/>
      <c r="F405" s="701"/>
      <c r="G405" s="701"/>
      <c r="H405" s="701"/>
      <c r="I405" s="701"/>
      <c r="J405" s="701"/>
      <c r="K405" s="701"/>
      <c r="L405" s="701"/>
      <c r="M405" s="701"/>
      <c r="N405" s="701"/>
      <c r="O405" s="701"/>
      <c r="P405" s="701"/>
      <c r="Q405" s="701"/>
      <c r="R405" s="701"/>
      <c r="S405" s="701"/>
      <c r="T405" s="70"/>
      <c r="U405" s="70"/>
      <c r="V405" s="70"/>
      <c r="W405" s="70"/>
      <c r="X405" s="70"/>
      <c r="Y405" s="70"/>
      <c r="Z405" s="70"/>
    </row>
    <row r="406" customFormat="false" ht="12.75" hidden="false" customHeight="false" outlineLevel="1" collapsed="false">
      <c r="A406" s="685"/>
      <c r="B406" s="685"/>
      <c r="C406" s="685"/>
      <c r="D406" s="685"/>
      <c r="E406" s="685"/>
      <c r="F406" s="701"/>
      <c r="G406" s="701"/>
      <c r="H406" s="701"/>
      <c r="I406" s="701"/>
      <c r="J406" s="701"/>
      <c r="K406" s="701"/>
      <c r="L406" s="701"/>
      <c r="M406" s="701"/>
      <c r="N406" s="701"/>
      <c r="O406" s="701"/>
      <c r="P406" s="701"/>
      <c r="Q406" s="701"/>
      <c r="R406" s="701"/>
      <c r="S406" s="701"/>
      <c r="T406" s="70"/>
      <c r="U406" s="70"/>
      <c r="V406" s="70"/>
      <c r="W406" s="70"/>
      <c r="X406" s="70"/>
      <c r="Y406" s="70"/>
      <c r="Z406" s="70"/>
    </row>
    <row r="407" customFormat="false" ht="12.75" hidden="false" customHeight="false" outlineLevel="1" collapsed="false">
      <c r="A407" s="395"/>
      <c r="B407" s="395"/>
      <c r="C407" s="395"/>
      <c r="D407" s="395"/>
      <c r="E407" s="395"/>
      <c r="F407" s="701"/>
      <c r="G407" s="701"/>
      <c r="H407" s="701"/>
      <c r="I407" s="701"/>
      <c r="J407" s="701"/>
      <c r="K407" s="701"/>
      <c r="L407" s="701"/>
      <c r="M407" s="701"/>
      <c r="N407" s="701"/>
      <c r="O407" s="701"/>
      <c r="P407" s="701"/>
      <c r="Q407" s="701"/>
      <c r="R407" s="701"/>
      <c r="S407" s="701"/>
      <c r="T407" s="70"/>
      <c r="U407" s="70"/>
      <c r="V407" s="70"/>
      <c r="W407" s="70"/>
      <c r="X407" s="70"/>
      <c r="Y407" s="70"/>
      <c r="Z407" s="70"/>
    </row>
    <row r="408" customFormat="false" ht="12.75" hidden="false" customHeight="false" outlineLevel="1" collapsed="false">
      <c r="A408" s="70"/>
      <c r="B408" s="395"/>
      <c r="C408" s="395"/>
      <c r="D408" s="395"/>
      <c r="E408" s="395"/>
      <c r="F408" s="701"/>
      <c r="G408" s="701"/>
      <c r="H408" s="701"/>
      <c r="I408" s="701"/>
      <c r="J408" s="701"/>
      <c r="K408" s="701"/>
      <c r="L408" s="701"/>
      <c r="M408" s="701"/>
      <c r="N408" s="701"/>
      <c r="O408" s="701"/>
      <c r="P408" s="701"/>
      <c r="Q408" s="701"/>
      <c r="R408" s="701"/>
      <c r="S408" s="701"/>
      <c r="T408" s="70"/>
      <c r="U408" s="70"/>
      <c r="V408" s="70"/>
      <c r="W408" s="70"/>
      <c r="X408" s="70"/>
      <c r="Y408" s="70"/>
      <c r="Z408" s="70"/>
    </row>
    <row r="409" customFormat="false" ht="12.75" hidden="false" customHeight="false" outlineLevel="1" collapsed="false">
      <c r="A409" s="685"/>
      <c r="B409" s="685"/>
      <c r="C409" s="685"/>
      <c r="D409" s="685"/>
      <c r="E409" s="685"/>
      <c r="F409" s="701"/>
      <c r="G409" s="701"/>
      <c r="H409" s="701"/>
      <c r="I409" s="701"/>
      <c r="J409" s="701"/>
      <c r="K409" s="701"/>
      <c r="L409" s="701"/>
      <c r="M409" s="701"/>
      <c r="N409" s="701"/>
      <c r="O409" s="701"/>
      <c r="P409" s="701"/>
      <c r="Q409" s="701"/>
      <c r="R409" s="701"/>
      <c r="S409" s="701"/>
      <c r="T409" s="70"/>
      <c r="U409" s="70"/>
      <c r="V409" s="70"/>
      <c r="W409" s="70"/>
      <c r="X409" s="70"/>
      <c r="Y409" s="70"/>
      <c r="Z409" s="70"/>
    </row>
    <row r="410" customFormat="false" ht="12.75" hidden="false" customHeight="false" outlineLevel="1" collapsed="false">
      <c r="A410" s="395"/>
      <c r="B410" s="395"/>
      <c r="C410" s="395"/>
      <c r="D410" s="395"/>
      <c r="E410" s="395"/>
      <c r="F410" s="701"/>
      <c r="G410" s="701"/>
      <c r="H410" s="701"/>
      <c r="I410" s="701"/>
      <c r="J410" s="701"/>
      <c r="K410" s="701"/>
      <c r="L410" s="701"/>
      <c r="M410" s="701"/>
      <c r="N410" s="701"/>
      <c r="O410" s="701"/>
      <c r="P410" s="701"/>
      <c r="Q410" s="701"/>
      <c r="R410" s="701"/>
      <c r="S410" s="701"/>
      <c r="T410" s="70"/>
      <c r="U410" s="70"/>
      <c r="V410" s="70"/>
      <c r="W410" s="70"/>
      <c r="X410" s="70"/>
      <c r="Y410" s="70"/>
      <c r="Z410" s="70"/>
    </row>
    <row r="411" customFormat="false" ht="12.75" hidden="false" customHeight="false" outlineLevel="1" collapsed="false">
      <c r="A411" s="685"/>
      <c r="B411" s="687"/>
      <c r="C411" s="687"/>
      <c r="D411" s="687"/>
      <c r="E411" s="687"/>
      <c r="F411" s="701"/>
      <c r="G411" s="701"/>
      <c r="H411" s="701"/>
      <c r="I411" s="701"/>
      <c r="J411" s="701"/>
      <c r="K411" s="701"/>
      <c r="L411" s="701"/>
      <c r="M411" s="701"/>
      <c r="N411" s="701"/>
      <c r="O411" s="701"/>
      <c r="P411" s="701"/>
      <c r="Q411" s="701"/>
      <c r="R411" s="701"/>
      <c r="S411" s="701"/>
      <c r="T411" s="70"/>
      <c r="U411" s="70"/>
      <c r="V411" s="70"/>
      <c r="W411" s="70"/>
      <c r="X411" s="70"/>
      <c r="Y411" s="70"/>
      <c r="Z411" s="70"/>
    </row>
    <row r="412" customFormat="false" ht="12.75" hidden="false" customHeight="false" outlineLevel="1" collapsed="false">
      <c r="A412" s="395"/>
      <c r="B412" s="395"/>
      <c r="C412" s="395"/>
      <c r="D412" s="395"/>
      <c r="E412" s="395"/>
      <c r="F412" s="701"/>
      <c r="G412" s="701"/>
      <c r="H412" s="701"/>
      <c r="I412" s="701"/>
      <c r="J412" s="701"/>
      <c r="K412" s="701"/>
      <c r="L412" s="701"/>
      <c r="M412" s="701"/>
      <c r="N412" s="701"/>
      <c r="O412" s="701"/>
      <c r="P412" s="701"/>
      <c r="Q412" s="701"/>
      <c r="R412" s="701"/>
      <c r="S412" s="701"/>
      <c r="T412" s="70"/>
      <c r="U412" s="70"/>
      <c r="V412" s="70"/>
      <c r="W412" s="70"/>
      <c r="X412" s="70"/>
      <c r="Y412" s="70"/>
      <c r="Z412" s="70"/>
    </row>
    <row r="413" customFormat="false" ht="12.75" hidden="false" customHeight="false" outlineLevel="1" collapsed="false">
      <c r="A413" s="395"/>
      <c r="B413" s="395"/>
      <c r="C413" s="395"/>
      <c r="D413" s="395"/>
      <c r="E413" s="395"/>
      <c r="F413" s="701"/>
      <c r="G413" s="701"/>
      <c r="H413" s="701"/>
      <c r="I413" s="701"/>
      <c r="J413" s="701"/>
      <c r="K413" s="701"/>
      <c r="L413" s="701"/>
      <c r="M413" s="701"/>
      <c r="N413" s="701"/>
      <c r="O413" s="701"/>
      <c r="P413" s="701"/>
      <c r="Q413" s="701"/>
      <c r="R413" s="701"/>
      <c r="S413" s="701"/>
      <c r="T413" s="70"/>
      <c r="U413" s="70"/>
      <c r="V413" s="70"/>
      <c r="W413" s="70"/>
      <c r="X413" s="70"/>
      <c r="Y413" s="70"/>
      <c r="Z413" s="70"/>
    </row>
    <row r="414" customFormat="false" ht="12.75" hidden="false" customHeight="false" outlineLevel="1" collapsed="false">
      <c r="A414" s="395"/>
      <c r="B414" s="395"/>
      <c r="C414" s="395"/>
      <c r="D414" s="395"/>
      <c r="E414" s="395"/>
      <c r="F414" s="701"/>
      <c r="G414" s="701"/>
      <c r="H414" s="701"/>
      <c r="I414" s="701"/>
      <c r="J414" s="701"/>
      <c r="K414" s="701"/>
      <c r="L414" s="701"/>
      <c r="M414" s="701"/>
      <c r="N414" s="701"/>
      <c r="O414" s="701"/>
      <c r="P414" s="701"/>
      <c r="Q414" s="701"/>
      <c r="R414" s="701"/>
      <c r="S414" s="701"/>
      <c r="T414" s="70"/>
      <c r="U414" s="70"/>
      <c r="V414" s="70"/>
      <c r="W414" s="70"/>
      <c r="X414" s="70"/>
      <c r="Y414" s="70"/>
      <c r="Z414" s="70"/>
    </row>
    <row r="415" customFormat="false" ht="12.75" hidden="false" customHeight="false" outlineLevel="1" collapsed="false">
      <c r="A415" s="395"/>
      <c r="B415" s="684"/>
      <c r="C415" s="684"/>
      <c r="D415" s="684"/>
      <c r="E415" s="684"/>
      <c r="F415" s="701"/>
      <c r="G415" s="701"/>
      <c r="H415" s="701"/>
      <c r="I415" s="701"/>
      <c r="J415" s="701"/>
      <c r="K415" s="701"/>
      <c r="L415" s="701"/>
      <c r="M415" s="701"/>
      <c r="N415" s="701"/>
      <c r="O415" s="701"/>
      <c r="P415" s="701"/>
      <c r="Q415" s="701"/>
      <c r="R415" s="701"/>
      <c r="S415" s="701"/>
      <c r="T415" s="70"/>
      <c r="U415" s="70"/>
      <c r="V415" s="70"/>
      <c r="W415" s="70"/>
      <c r="X415" s="70"/>
      <c r="Y415" s="70"/>
      <c r="Z415" s="70"/>
    </row>
    <row r="416" customFormat="false" ht="12.75" hidden="false" customHeight="false" outlineLevel="1" collapsed="false">
      <c r="A416" s="395"/>
      <c r="B416" s="684"/>
      <c r="C416" s="684"/>
      <c r="D416" s="684"/>
      <c r="E416" s="684"/>
      <c r="F416" s="701"/>
      <c r="G416" s="701"/>
      <c r="H416" s="701"/>
      <c r="I416" s="701"/>
      <c r="J416" s="701"/>
      <c r="K416" s="701"/>
      <c r="L416" s="701"/>
      <c r="M416" s="701"/>
      <c r="N416" s="701"/>
      <c r="O416" s="701"/>
      <c r="P416" s="701"/>
      <c r="Q416" s="701"/>
      <c r="R416" s="701"/>
      <c r="S416" s="701"/>
      <c r="T416" s="70"/>
      <c r="U416" s="70"/>
      <c r="V416" s="70"/>
      <c r="W416" s="70"/>
      <c r="X416" s="70"/>
      <c r="Y416" s="70"/>
      <c r="Z416" s="70"/>
    </row>
    <row r="417" customFormat="false" ht="12.75" hidden="false" customHeight="false" outlineLevel="1" collapsed="false">
      <c r="A417" s="395"/>
      <c r="B417" s="684"/>
      <c r="C417" s="684"/>
      <c r="D417" s="684"/>
      <c r="E417" s="684"/>
      <c r="F417" s="701"/>
      <c r="G417" s="701"/>
      <c r="H417" s="701"/>
      <c r="I417" s="701"/>
      <c r="J417" s="701"/>
      <c r="K417" s="701"/>
      <c r="L417" s="701"/>
      <c r="M417" s="701"/>
      <c r="N417" s="701"/>
      <c r="O417" s="701"/>
      <c r="P417" s="701"/>
      <c r="Q417" s="701"/>
      <c r="R417" s="701"/>
      <c r="S417" s="701"/>
      <c r="T417" s="70"/>
      <c r="U417" s="70"/>
      <c r="V417" s="70"/>
      <c r="W417" s="70"/>
      <c r="X417" s="70"/>
      <c r="Y417" s="70"/>
      <c r="Z417" s="70"/>
    </row>
    <row r="418" customFormat="false" ht="12.75" hidden="false" customHeight="false" outlineLevel="1" collapsed="false">
      <c r="A418" s="395"/>
      <c r="B418" s="684"/>
      <c r="C418" s="684"/>
      <c r="D418" s="684"/>
      <c r="E418" s="684"/>
      <c r="F418" s="701"/>
      <c r="G418" s="701"/>
      <c r="H418" s="701"/>
      <c r="I418" s="701"/>
      <c r="J418" s="701"/>
      <c r="K418" s="701"/>
      <c r="L418" s="701"/>
      <c r="M418" s="701"/>
      <c r="N418" s="701"/>
      <c r="O418" s="701"/>
      <c r="P418" s="701"/>
      <c r="Q418" s="701"/>
      <c r="R418" s="701"/>
      <c r="S418" s="701"/>
      <c r="T418" s="70"/>
      <c r="U418" s="70"/>
      <c r="V418" s="70"/>
      <c r="W418" s="70"/>
      <c r="X418" s="70"/>
      <c r="Y418" s="70"/>
      <c r="Z418" s="70"/>
    </row>
    <row r="419" customFormat="false" ht="12.75" hidden="false" customHeight="false" outlineLevel="1" collapsed="false">
      <c r="A419" s="395"/>
      <c r="B419" s="684"/>
      <c r="C419" s="684"/>
      <c r="D419" s="684"/>
      <c r="E419" s="684"/>
      <c r="F419" s="701"/>
      <c r="G419" s="701"/>
      <c r="H419" s="701"/>
      <c r="I419" s="701"/>
      <c r="J419" s="701"/>
      <c r="K419" s="701"/>
      <c r="L419" s="701"/>
      <c r="M419" s="701"/>
      <c r="N419" s="701"/>
      <c r="O419" s="701"/>
      <c r="P419" s="701"/>
      <c r="Q419" s="701"/>
      <c r="R419" s="701"/>
      <c r="S419" s="701"/>
      <c r="T419" s="70"/>
      <c r="U419" s="70"/>
      <c r="V419" s="70"/>
      <c r="W419" s="70"/>
      <c r="X419" s="70"/>
      <c r="Y419" s="70"/>
      <c r="Z419" s="70"/>
    </row>
    <row r="420" customFormat="false" ht="12.75" hidden="false" customHeight="false" outlineLevel="1" collapsed="false">
      <c r="A420" s="70"/>
      <c r="B420" s="684"/>
      <c r="C420" s="684"/>
      <c r="D420" s="684"/>
      <c r="E420" s="684"/>
      <c r="F420" s="701"/>
      <c r="G420" s="701"/>
      <c r="H420" s="701"/>
      <c r="I420" s="701"/>
      <c r="J420" s="701"/>
      <c r="K420" s="701"/>
      <c r="L420" s="701"/>
      <c r="M420" s="701"/>
      <c r="N420" s="701"/>
      <c r="O420" s="701"/>
      <c r="P420" s="701"/>
      <c r="Q420" s="701"/>
      <c r="R420" s="701"/>
      <c r="S420" s="701"/>
      <c r="T420" s="701"/>
      <c r="U420" s="701"/>
      <c r="V420" s="701"/>
      <c r="W420" s="701"/>
      <c r="X420" s="701"/>
      <c r="Y420" s="701"/>
      <c r="Z420" s="701"/>
    </row>
    <row r="421" customFormat="false" ht="12.75" hidden="false" customHeight="false" outlineLevel="1" collapsed="false">
      <c r="A421" s="70"/>
      <c r="B421" s="701"/>
      <c r="C421" s="701"/>
      <c r="D421" s="701"/>
      <c r="E421" s="684"/>
      <c r="F421" s="701"/>
      <c r="G421" s="701"/>
      <c r="H421" s="701"/>
      <c r="I421" s="701"/>
      <c r="J421" s="701"/>
      <c r="K421" s="701"/>
      <c r="L421" s="701"/>
      <c r="M421" s="701"/>
      <c r="N421" s="701"/>
      <c r="O421" s="701"/>
      <c r="P421" s="701"/>
      <c r="Q421" s="701"/>
      <c r="R421" s="701"/>
      <c r="S421" s="701"/>
      <c r="T421" s="701"/>
      <c r="U421" s="701"/>
      <c r="V421" s="701"/>
      <c r="W421" s="701"/>
      <c r="X421" s="701"/>
      <c r="Y421" s="701"/>
      <c r="Z421" s="701"/>
    </row>
    <row r="422" customFormat="false" ht="12.75" hidden="false" customHeight="false" outlineLevel="1" collapsed="false">
      <c r="A422" s="70"/>
      <c r="B422" s="684"/>
      <c r="C422" s="684"/>
      <c r="D422" s="684"/>
      <c r="E422" s="684"/>
      <c r="F422" s="701"/>
      <c r="G422" s="701"/>
      <c r="H422" s="701"/>
      <c r="I422" s="701"/>
      <c r="J422" s="701"/>
      <c r="K422" s="701"/>
      <c r="L422" s="701"/>
      <c r="M422" s="701"/>
      <c r="N422" s="701"/>
      <c r="O422" s="701"/>
      <c r="P422" s="701"/>
      <c r="Q422" s="701"/>
      <c r="R422" s="701"/>
      <c r="S422" s="701"/>
      <c r="T422" s="701"/>
      <c r="U422" s="701"/>
      <c r="V422" s="701"/>
      <c r="W422" s="701"/>
      <c r="X422" s="701"/>
      <c r="Y422" s="701"/>
      <c r="Z422" s="701"/>
    </row>
    <row r="423" customFormat="false" ht="12.75" hidden="false" customHeight="false" outlineLevel="1" collapsed="false">
      <c r="A423" s="70"/>
      <c r="B423" s="684"/>
      <c r="C423" s="684"/>
      <c r="D423" s="684"/>
      <c r="E423" s="684"/>
      <c r="F423" s="701"/>
      <c r="G423" s="701"/>
      <c r="H423" s="701"/>
      <c r="I423" s="701"/>
      <c r="J423" s="701"/>
      <c r="K423" s="701"/>
      <c r="L423" s="701"/>
      <c r="M423" s="701"/>
      <c r="N423" s="701"/>
      <c r="O423" s="701"/>
      <c r="P423" s="701"/>
      <c r="Q423" s="701"/>
      <c r="R423" s="701"/>
      <c r="S423" s="701"/>
      <c r="T423" s="701"/>
      <c r="U423" s="701"/>
      <c r="V423" s="701"/>
      <c r="W423" s="701"/>
      <c r="X423" s="701"/>
      <c r="Y423" s="701"/>
      <c r="Z423" s="701"/>
    </row>
    <row r="424" customFormat="false" ht="12.75" hidden="false" customHeight="false" outlineLevel="1" collapsed="false">
      <c r="A424" s="70"/>
      <c r="B424" s="684"/>
      <c r="C424" s="684"/>
      <c r="D424" s="684"/>
      <c r="E424" s="684"/>
      <c r="F424" s="701"/>
      <c r="G424" s="701"/>
      <c r="H424" s="701"/>
      <c r="I424" s="701"/>
      <c r="J424" s="701"/>
      <c r="K424" s="701"/>
      <c r="L424" s="701"/>
      <c r="M424" s="701"/>
      <c r="N424" s="701"/>
      <c r="O424" s="701"/>
      <c r="P424" s="701"/>
      <c r="Q424" s="701"/>
      <c r="R424" s="701"/>
      <c r="S424" s="701"/>
      <c r="T424" s="701"/>
      <c r="U424" s="701"/>
      <c r="V424" s="701"/>
      <c r="W424" s="701"/>
      <c r="X424" s="701"/>
      <c r="Y424" s="701"/>
      <c r="Z424" s="701"/>
    </row>
    <row r="425" customFormat="false" ht="12.75" hidden="false" customHeight="false" outlineLevel="1" collapsed="false">
      <c r="A425" s="70"/>
      <c r="B425" s="684"/>
      <c r="C425" s="684"/>
      <c r="D425" s="684"/>
      <c r="E425" s="684"/>
      <c r="F425" s="701"/>
      <c r="G425" s="701"/>
      <c r="H425" s="701"/>
      <c r="I425" s="701"/>
      <c r="J425" s="701"/>
      <c r="K425" s="701"/>
      <c r="L425" s="701"/>
      <c r="M425" s="701"/>
      <c r="N425" s="701"/>
      <c r="O425" s="701"/>
      <c r="P425" s="701"/>
      <c r="Q425" s="701"/>
      <c r="R425" s="701"/>
      <c r="S425" s="701"/>
      <c r="T425" s="701"/>
      <c r="U425" s="701"/>
      <c r="V425" s="701"/>
      <c r="W425" s="701"/>
      <c r="X425" s="701"/>
      <c r="Y425" s="701"/>
      <c r="Z425" s="701"/>
    </row>
    <row r="426" customFormat="false" ht="12.75" hidden="false" customHeight="false" outlineLevel="1" collapsed="false">
      <c r="A426" s="395"/>
      <c r="B426" s="684"/>
      <c r="C426" s="684"/>
      <c r="D426" s="684"/>
      <c r="E426" s="684"/>
      <c r="F426" s="701"/>
      <c r="G426" s="701"/>
      <c r="H426" s="701"/>
      <c r="I426" s="701"/>
      <c r="J426" s="701"/>
      <c r="K426" s="701"/>
      <c r="L426" s="701"/>
      <c r="M426" s="701"/>
      <c r="N426" s="701"/>
      <c r="O426" s="701"/>
      <c r="P426" s="701"/>
      <c r="Q426" s="701"/>
      <c r="R426" s="701"/>
      <c r="S426" s="701"/>
      <c r="T426" s="701"/>
      <c r="U426" s="701"/>
      <c r="V426" s="701"/>
      <c r="W426" s="701"/>
      <c r="X426" s="701"/>
      <c r="Y426" s="701"/>
      <c r="Z426" s="701"/>
    </row>
    <row r="427" customFormat="false" ht="12.75" hidden="false" customHeight="false" outlineLevel="1" collapsed="false">
      <c r="A427" s="70"/>
      <c r="B427" s="684"/>
      <c r="C427" s="684"/>
      <c r="D427" s="684"/>
      <c r="E427" s="684"/>
      <c r="F427" s="701"/>
      <c r="G427" s="701"/>
      <c r="H427" s="701"/>
      <c r="I427" s="701"/>
      <c r="J427" s="701"/>
      <c r="K427" s="701"/>
      <c r="L427" s="701"/>
      <c r="M427" s="701"/>
      <c r="N427" s="701"/>
      <c r="O427" s="701"/>
      <c r="P427" s="701"/>
      <c r="Q427" s="701"/>
      <c r="R427" s="701"/>
      <c r="S427" s="701"/>
      <c r="T427" s="701"/>
      <c r="U427" s="701"/>
      <c r="V427" s="701"/>
      <c r="W427" s="701"/>
      <c r="X427" s="701"/>
      <c r="Y427" s="701"/>
      <c r="Z427" s="701"/>
    </row>
    <row r="428" customFormat="false" ht="12.75" hidden="false" customHeight="false" outlineLevel="1" collapsed="false">
      <c r="A428" s="70"/>
      <c r="B428" s="684"/>
      <c r="C428" s="684"/>
      <c r="D428" s="684"/>
      <c r="E428" s="684"/>
      <c r="F428" s="701"/>
      <c r="G428" s="701"/>
      <c r="H428" s="701"/>
      <c r="I428" s="701"/>
      <c r="J428" s="701"/>
      <c r="K428" s="701"/>
      <c r="L428" s="701"/>
      <c r="M428" s="701"/>
      <c r="N428" s="701"/>
      <c r="O428" s="701"/>
      <c r="P428" s="701"/>
      <c r="Q428" s="701"/>
      <c r="R428" s="701"/>
      <c r="S428" s="701"/>
      <c r="T428" s="701"/>
      <c r="U428" s="701"/>
      <c r="V428" s="701"/>
      <c r="W428" s="701"/>
      <c r="X428" s="701"/>
      <c r="Y428" s="701"/>
      <c r="Z428" s="701"/>
    </row>
    <row r="429" customFormat="false" ht="12.75" hidden="false" customHeight="false" outlineLevel="1" collapsed="false">
      <c r="A429" s="395"/>
      <c r="B429" s="684"/>
      <c r="C429" s="684"/>
      <c r="D429" s="684"/>
      <c r="E429" s="684"/>
      <c r="F429" s="701"/>
      <c r="G429" s="701"/>
      <c r="H429" s="701"/>
      <c r="I429" s="701"/>
      <c r="J429" s="701"/>
      <c r="K429" s="701"/>
      <c r="L429" s="701"/>
      <c r="M429" s="701"/>
      <c r="N429" s="701"/>
      <c r="O429" s="701"/>
      <c r="P429" s="701"/>
      <c r="Q429" s="701"/>
      <c r="R429" s="701"/>
      <c r="S429" s="701"/>
      <c r="T429" s="701"/>
      <c r="U429" s="701"/>
      <c r="V429" s="701"/>
      <c r="W429" s="701"/>
      <c r="X429" s="701"/>
      <c r="Y429" s="701"/>
      <c r="Z429" s="701"/>
    </row>
    <row r="430" customFormat="false" ht="12.75" hidden="false" customHeight="false" outlineLevel="1" collapsed="false">
      <c r="A430" s="395"/>
      <c r="B430" s="684"/>
      <c r="C430" s="684"/>
      <c r="D430" s="684"/>
      <c r="E430" s="684"/>
      <c r="F430" s="701"/>
      <c r="G430" s="701"/>
      <c r="H430" s="701"/>
      <c r="I430" s="701"/>
      <c r="J430" s="701"/>
      <c r="K430" s="701"/>
      <c r="L430" s="701"/>
      <c r="M430" s="701"/>
      <c r="N430" s="701"/>
      <c r="O430" s="701"/>
      <c r="P430" s="701"/>
      <c r="Q430" s="701"/>
      <c r="R430" s="701"/>
      <c r="S430" s="701"/>
      <c r="T430" s="701"/>
      <c r="U430" s="701"/>
      <c r="V430" s="701"/>
      <c r="W430" s="701"/>
      <c r="X430" s="701"/>
      <c r="Y430" s="701"/>
      <c r="Z430" s="701"/>
    </row>
    <row r="431" customFormat="false" ht="12.75" hidden="false" customHeight="false" outlineLevel="1" collapsed="false">
      <c r="A431" s="70"/>
      <c r="B431" s="684"/>
      <c r="C431" s="684"/>
      <c r="D431" s="684"/>
      <c r="E431" s="684"/>
      <c r="F431" s="701"/>
      <c r="G431" s="701"/>
      <c r="H431" s="701"/>
      <c r="I431" s="701"/>
      <c r="J431" s="701"/>
      <c r="K431" s="701"/>
      <c r="L431" s="701"/>
      <c r="M431" s="701"/>
      <c r="N431" s="701"/>
      <c r="O431" s="701"/>
      <c r="P431" s="701"/>
      <c r="Q431" s="701"/>
      <c r="R431" s="701"/>
      <c r="S431" s="701"/>
      <c r="T431" s="701"/>
      <c r="U431" s="701"/>
      <c r="V431" s="701"/>
      <c r="W431" s="701"/>
      <c r="X431" s="701"/>
      <c r="Y431" s="701"/>
      <c r="Z431" s="701"/>
    </row>
    <row r="432" customFormat="false" ht="12.75" hidden="false" customHeight="false" outlineLevel="1" collapsed="false">
      <c r="A432" s="70"/>
      <c r="B432" s="684"/>
      <c r="C432" s="684"/>
      <c r="D432" s="684"/>
      <c r="E432" s="684"/>
      <c r="F432" s="701"/>
      <c r="G432" s="701"/>
      <c r="H432" s="701"/>
      <c r="I432" s="701"/>
      <c r="J432" s="701"/>
      <c r="K432" s="701"/>
      <c r="L432" s="701"/>
      <c r="M432" s="701"/>
      <c r="N432" s="701"/>
      <c r="O432" s="701"/>
      <c r="P432" s="701"/>
      <c r="Q432" s="701"/>
      <c r="R432" s="701"/>
      <c r="S432" s="701"/>
      <c r="T432" s="701"/>
      <c r="U432" s="701"/>
      <c r="V432" s="701"/>
      <c r="W432" s="701"/>
      <c r="X432" s="701"/>
      <c r="Y432" s="701"/>
      <c r="Z432" s="701"/>
    </row>
    <row r="433" customFormat="false" ht="12.75" hidden="false" customHeight="false" outlineLevel="1" collapsed="false">
      <c r="A433" s="70"/>
      <c r="B433" s="684"/>
      <c r="C433" s="684"/>
      <c r="D433" s="684"/>
      <c r="E433" s="684"/>
      <c r="F433" s="701"/>
      <c r="G433" s="701"/>
      <c r="H433" s="701"/>
      <c r="I433" s="701"/>
      <c r="J433" s="701"/>
      <c r="K433" s="701"/>
      <c r="L433" s="701"/>
      <c r="M433" s="701"/>
      <c r="N433" s="701"/>
      <c r="O433" s="701"/>
      <c r="P433" s="701"/>
      <c r="Q433" s="701"/>
      <c r="R433" s="701"/>
      <c r="S433" s="701"/>
      <c r="T433" s="701"/>
      <c r="U433" s="701"/>
      <c r="V433" s="701"/>
      <c r="W433" s="701"/>
      <c r="X433" s="701"/>
      <c r="Y433" s="701"/>
      <c r="Z433" s="701"/>
    </row>
    <row r="434" customFormat="false" ht="12.75" hidden="false" customHeight="false" outlineLevel="1" collapsed="false">
      <c r="A434" s="70"/>
      <c r="B434" s="684"/>
      <c r="C434" s="684"/>
      <c r="D434" s="684"/>
      <c r="E434" s="684"/>
      <c r="F434" s="701"/>
      <c r="G434" s="701"/>
      <c r="H434" s="701"/>
      <c r="I434" s="701"/>
      <c r="J434" s="701"/>
      <c r="K434" s="701"/>
      <c r="L434" s="701"/>
      <c r="M434" s="701"/>
      <c r="N434" s="701"/>
      <c r="O434" s="701"/>
      <c r="P434" s="701"/>
      <c r="Q434" s="701"/>
      <c r="R434" s="701"/>
      <c r="S434" s="701"/>
      <c r="T434" s="701"/>
      <c r="U434" s="701"/>
      <c r="V434" s="701"/>
      <c r="W434" s="701"/>
      <c r="X434" s="701"/>
      <c r="Y434" s="701"/>
      <c r="Z434" s="701"/>
    </row>
    <row r="435" customFormat="false" ht="12.75" hidden="false" customHeight="false" outlineLevel="1" collapsed="false">
      <c r="A435" s="70"/>
      <c r="B435" s="684"/>
      <c r="C435" s="684"/>
      <c r="D435" s="684"/>
      <c r="E435" s="684"/>
      <c r="F435" s="701"/>
      <c r="G435" s="701"/>
      <c r="H435" s="701"/>
      <c r="I435" s="701"/>
      <c r="J435" s="701"/>
      <c r="K435" s="701"/>
      <c r="L435" s="701"/>
      <c r="M435" s="701"/>
      <c r="N435" s="701"/>
      <c r="O435" s="701"/>
      <c r="P435" s="701"/>
      <c r="Q435" s="701"/>
      <c r="R435" s="701"/>
      <c r="S435" s="701"/>
      <c r="T435" s="701"/>
      <c r="U435" s="701"/>
      <c r="V435" s="701"/>
      <c r="W435" s="701"/>
      <c r="X435" s="701"/>
      <c r="Y435" s="701"/>
      <c r="Z435" s="701"/>
    </row>
    <row r="436" customFormat="false" ht="12.75" hidden="false" customHeight="false" outlineLevel="1" collapsed="false">
      <c r="A436" s="70"/>
      <c r="B436" s="684"/>
      <c r="C436" s="684"/>
      <c r="D436" s="684"/>
      <c r="E436" s="684"/>
      <c r="F436" s="701"/>
      <c r="G436" s="701"/>
      <c r="H436" s="701"/>
      <c r="I436" s="701"/>
      <c r="J436" s="701"/>
      <c r="K436" s="701"/>
      <c r="L436" s="701"/>
      <c r="M436" s="701"/>
      <c r="N436" s="701"/>
      <c r="O436" s="701"/>
      <c r="P436" s="701"/>
      <c r="Q436" s="701"/>
      <c r="R436" s="701"/>
      <c r="S436" s="701"/>
      <c r="T436" s="701"/>
      <c r="U436" s="701"/>
      <c r="V436" s="701"/>
      <c r="W436" s="701"/>
      <c r="X436" s="701"/>
      <c r="Y436" s="701"/>
      <c r="Z436" s="701"/>
    </row>
    <row r="437" customFormat="false" ht="12.75" hidden="false" customHeight="false" outlineLevel="1" collapsed="false">
      <c r="A437" s="70"/>
      <c r="B437" s="684"/>
      <c r="C437" s="684"/>
      <c r="D437" s="684"/>
      <c r="E437" s="684"/>
      <c r="F437" s="701"/>
      <c r="G437" s="701"/>
      <c r="H437" s="701"/>
      <c r="I437" s="701"/>
      <c r="J437" s="701"/>
      <c r="K437" s="701"/>
      <c r="L437" s="701"/>
      <c r="M437" s="701"/>
      <c r="N437" s="701"/>
      <c r="O437" s="701"/>
      <c r="P437" s="701"/>
      <c r="Q437" s="701"/>
      <c r="R437" s="701"/>
      <c r="S437" s="701"/>
      <c r="T437" s="701"/>
      <c r="U437" s="701"/>
      <c r="V437" s="701"/>
      <c r="W437" s="701"/>
      <c r="X437" s="701"/>
      <c r="Y437" s="701"/>
      <c r="Z437" s="701"/>
    </row>
    <row r="438" customFormat="false" ht="12.75" hidden="false" customHeight="false" outlineLevel="1" collapsed="false">
      <c r="A438" s="70"/>
      <c r="B438" s="684"/>
      <c r="C438" s="684"/>
      <c r="D438" s="684"/>
      <c r="E438" s="684"/>
      <c r="F438" s="701"/>
      <c r="G438" s="701"/>
      <c r="H438" s="701"/>
      <c r="I438" s="701"/>
      <c r="J438" s="701"/>
      <c r="K438" s="701"/>
      <c r="L438" s="701"/>
      <c r="M438" s="701"/>
      <c r="N438" s="701"/>
      <c r="O438" s="701"/>
      <c r="P438" s="701"/>
      <c r="Q438" s="701"/>
      <c r="R438" s="701"/>
      <c r="S438" s="701"/>
      <c r="T438" s="70"/>
      <c r="U438" s="70"/>
      <c r="V438" s="70"/>
      <c r="W438" s="70"/>
      <c r="X438" s="70"/>
      <c r="Y438" s="70"/>
      <c r="Z438" s="70"/>
    </row>
    <row r="439" customFormat="false" ht="12.75" hidden="false" customHeight="false" outlineLevel="1" collapsed="false">
      <c r="A439" s="395"/>
      <c r="B439" s="684"/>
      <c r="C439" s="684"/>
      <c r="D439" s="684"/>
      <c r="E439" s="684"/>
      <c r="F439" s="701"/>
      <c r="G439" s="701"/>
      <c r="H439" s="701"/>
      <c r="I439" s="701"/>
      <c r="J439" s="701"/>
      <c r="K439" s="701"/>
      <c r="L439" s="701"/>
      <c r="M439" s="701"/>
      <c r="N439" s="701"/>
      <c r="O439" s="701"/>
      <c r="P439" s="701"/>
      <c r="Q439" s="701"/>
      <c r="R439" s="701"/>
      <c r="S439" s="701"/>
      <c r="T439" s="70"/>
      <c r="U439" s="70"/>
      <c r="V439" s="70"/>
      <c r="W439" s="70"/>
      <c r="X439" s="70"/>
      <c r="Y439" s="70"/>
      <c r="Z439" s="70"/>
    </row>
    <row r="440" customFormat="false" ht="12.75" hidden="false" customHeight="false" outlineLevel="1" collapsed="false">
      <c r="A440" s="395"/>
      <c r="B440" s="684"/>
      <c r="C440" s="684"/>
      <c r="D440" s="684"/>
      <c r="E440" s="684"/>
      <c r="F440" s="701"/>
      <c r="G440" s="701"/>
      <c r="H440" s="701"/>
      <c r="I440" s="701"/>
      <c r="J440" s="701"/>
      <c r="K440" s="701"/>
      <c r="L440" s="701"/>
      <c r="M440" s="701"/>
      <c r="N440" s="701"/>
      <c r="O440" s="701"/>
      <c r="P440" s="701"/>
      <c r="Q440" s="701"/>
      <c r="R440" s="701"/>
      <c r="S440" s="701"/>
      <c r="T440" s="70"/>
      <c r="U440" s="70"/>
      <c r="V440" s="70"/>
      <c r="W440" s="70"/>
      <c r="X440" s="70"/>
      <c r="Y440" s="70"/>
      <c r="Z440" s="70"/>
    </row>
    <row r="441" customFormat="false" ht="12.75" hidden="false" customHeight="false" outlineLevel="1" collapsed="false">
      <c r="A441" s="395"/>
      <c r="B441" s="684"/>
      <c r="C441" s="684"/>
      <c r="D441" s="684"/>
      <c r="E441" s="684"/>
      <c r="F441" s="701"/>
      <c r="G441" s="701"/>
      <c r="H441" s="701"/>
      <c r="I441" s="701"/>
      <c r="J441" s="701"/>
      <c r="K441" s="701"/>
      <c r="L441" s="701"/>
      <c r="M441" s="701"/>
      <c r="N441" s="701"/>
      <c r="O441" s="701"/>
      <c r="P441" s="701"/>
      <c r="Q441" s="701"/>
      <c r="R441" s="701"/>
      <c r="S441" s="701"/>
      <c r="T441" s="70"/>
      <c r="U441" s="70"/>
      <c r="V441" s="70"/>
      <c r="W441" s="70"/>
      <c r="X441" s="70"/>
      <c r="Y441" s="70"/>
      <c r="Z441" s="70"/>
    </row>
    <row r="442" customFormat="false" ht="12.75" hidden="false" customHeight="false" outlineLevel="1" collapsed="false">
      <c r="A442" s="395"/>
      <c r="B442" s="684"/>
      <c r="C442" s="684"/>
      <c r="D442" s="684"/>
      <c r="E442" s="684"/>
      <c r="F442" s="701"/>
      <c r="G442" s="701"/>
      <c r="H442" s="701"/>
      <c r="I442" s="701"/>
      <c r="J442" s="701"/>
      <c r="K442" s="701"/>
      <c r="L442" s="701"/>
      <c r="M442" s="701"/>
      <c r="N442" s="701"/>
      <c r="O442" s="701"/>
      <c r="P442" s="701"/>
      <c r="Q442" s="701"/>
      <c r="R442" s="701"/>
      <c r="S442" s="701"/>
      <c r="T442" s="70"/>
      <c r="U442" s="70"/>
      <c r="V442" s="70"/>
      <c r="W442" s="70"/>
      <c r="X442" s="70"/>
      <c r="Y442" s="70"/>
      <c r="Z442" s="70"/>
    </row>
    <row r="443" customFormat="false" ht="12.75" hidden="false" customHeight="false" outlineLevel="1" collapsed="false">
      <c r="A443" s="395"/>
      <c r="B443" s="684"/>
      <c r="C443" s="684"/>
      <c r="D443" s="684"/>
      <c r="E443" s="684"/>
      <c r="F443" s="702"/>
      <c r="G443" s="702"/>
      <c r="H443" s="102"/>
      <c r="I443" s="102"/>
      <c r="J443" s="102"/>
      <c r="K443" s="102"/>
      <c r="L443" s="102"/>
      <c r="M443" s="102"/>
      <c r="N443" s="102"/>
      <c r="O443" s="102"/>
      <c r="P443" s="102"/>
      <c r="Q443" s="102"/>
      <c r="R443" s="102"/>
      <c r="S443" s="102"/>
      <c r="T443" s="70"/>
      <c r="U443" s="70"/>
      <c r="V443" s="70"/>
      <c r="W443" s="70"/>
      <c r="X443" s="70"/>
      <c r="Y443" s="70"/>
      <c r="Z443" s="70"/>
    </row>
    <row r="444" customFormat="false" ht="12.75" hidden="false" customHeight="false" outlineLevel="1" collapsed="false">
      <c r="A444" s="70"/>
      <c r="B444" s="70"/>
      <c r="C444" s="70"/>
      <c r="D444" s="70"/>
      <c r="E444" s="70"/>
      <c r="F444" s="70"/>
      <c r="G444" s="70"/>
      <c r="H444" s="70"/>
      <c r="I444" s="70"/>
      <c r="J444" s="70"/>
      <c r="K444" s="70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  <c r="Y444" s="70"/>
      <c r="Z444" s="70"/>
    </row>
    <row r="445" customFormat="false" ht="18.75" hidden="false" customHeight="false" outlineLevel="1" collapsed="false">
      <c r="A445" s="682"/>
      <c r="B445" s="70"/>
      <c r="C445" s="70"/>
      <c r="D445" s="70"/>
      <c r="E445" s="70"/>
      <c r="F445" s="70"/>
      <c r="G445" s="70"/>
      <c r="H445" s="70"/>
      <c r="I445" s="70"/>
      <c r="J445" s="70"/>
      <c r="K445" s="70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  <c r="Y445" s="70"/>
      <c r="Z445" s="70"/>
    </row>
    <row r="446" customFormat="false" ht="12.75" hidden="false" customHeight="false" outlineLevel="1" collapsed="false">
      <c r="A446" s="395"/>
      <c r="B446" s="70"/>
      <c r="C446" s="70"/>
      <c r="D446" s="70"/>
      <c r="E446" s="70"/>
      <c r="F446" s="70"/>
      <c r="G446" s="70"/>
      <c r="H446" s="70"/>
      <c r="I446" s="70"/>
      <c r="J446" s="70"/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  <c r="Z446" s="70"/>
    </row>
    <row r="447" customFormat="false" ht="12.75" hidden="false" customHeight="false" outlineLevel="1" collapsed="false">
      <c r="A447" s="70"/>
      <c r="B447" s="70"/>
      <c r="C447" s="70"/>
      <c r="D447" s="70"/>
      <c r="E447" s="70"/>
      <c r="F447" s="70"/>
      <c r="G447" s="70"/>
      <c r="H447" s="70"/>
      <c r="I447" s="70"/>
      <c r="J447" s="70"/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  <c r="Z447" s="70"/>
    </row>
    <row r="448" customFormat="false" ht="12.75" hidden="false" customHeight="false" outlineLevel="1" collapsed="false">
      <c r="A448" s="70"/>
      <c r="B448" s="70"/>
      <c r="C448" s="70"/>
      <c r="D448" s="70"/>
      <c r="E448" s="70"/>
      <c r="F448" s="70"/>
      <c r="G448" s="70"/>
      <c r="H448" s="70"/>
      <c r="I448" s="70"/>
      <c r="J448" s="70"/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  <c r="Z448" s="70"/>
    </row>
    <row r="449" customFormat="false" ht="12.75" hidden="false" customHeight="false" outlineLevel="1" collapsed="false">
      <c r="A449" s="322"/>
      <c r="B449" s="321"/>
      <c r="C449" s="321"/>
      <c r="D449" s="321"/>
      <c r="E449" s="321"/>
      <c r="F449" s="321"/>
      <c r="G449" s="321"/>
      <c r="H449" s="321"/>
      <c r="I449" s="321"/>
      <c r="J449" s="321"/>
      <c r="K449" s="321"/>
      <c r="L449" s="321"/>
      <c r="M449" s="321"/>
      <c r="N449" s="321"/>
      <c r="O449" s="321"/>
      <c r="P449" s="321"/>
      <c r="Q449" s="321"/>
      <c r="R449" s="321"/>
      <c r="S449" s="321"/>
      <c r="T449" s="321"/>
      <c r="U449" s="321"/>
      <c r="V449" s="321"/>
      <c r="W449" s="321"/>
      <c r="X449" s="321"/>
      <c r="Y449" s="321"/>
      <c r="Z449" s="321"/>
    </row>
    <row r="450" customFormat="false" ht="12.75" hidden="false" customHeight="false" outlineLevel="1" collapsed="false">
      <c r="A450" s="70"/>
      <c r="B450" s="70"/>
      <c r="C450" s="70"/>
      <c r="D450" s="70"/>
      <c r="E450" s="70"/>
      <c r="F450" s="70"/>
      <c r="G450" s="70"/>
      <c r="H450" s="674"/>
      <c r="I450" s="70"/>
      <c r="J450" s="70"/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  <c r="Z450" s="70"/>
    </row>
    <row r="451" customFormat="false" ht="12.75" hidden="false" customHeight="false" outlineLevel="1" collapsed="false">
      <c r="A451" s="395"/>
      <c r="B451" s="70"/>
      <c r="C451" s="70"/>
      <c r="D451" s="70"/>
      <c r="E451" s="70"/>
      <c r="F451" s="70"/>
      <c r="G451" s="70"/>
      <c r="H451" s="674"/>
      <c r="I451" s="686"/>
      <c r="J451" s="686"/>
      <c r="K451" s="686"/>
      <c r="L451" s="686"/>
      <c r="M451" s="686"/>
      <c r="N451" s="686"/>
      <c r="O451" s="686"/>
      <c r="P451" s="686"/>
      <c r="Q451" s="686"/>
      <c r="R451" s="686"/>
      <c r="S451" s="686"/>
      <c r="T451" s="70"/>
      <c r="U451" s="70"/>
      <c r="V451" s="70"/>
      <c r="W451" s="70"/>
      <c r="X451" s="70"/>
      <c r="Y451" s="70"/>
      <c r="Z451" s="70"/>
    </row>
    <row r="452" customFormat="false" ht="12.75" hidden="false" customHeight="false" outlineLevel="1" collapsed="false">
      <c r="A452" s="70"/>
      <c r="B452" s="70"/>
      <c r="C452" s="70"/>
      <c r="D452" s="70"/>
      <c r="E452" s="70"/>
      <c r="F452" s="70"/>
      <c r="G452" s="70"/>
      <c r="H452" s="674"/>
      <c r="I452" s="674"/>
      <c r="J452" s="674"/>
      <c r="K452" s="674"/>
      <c r="L452" s="674"/>
      <c r="M452" s="674"/>
      <c r="N452" s="674"/>
      <c r="O452" s="674"/>
      <c r="P452" s="674"/>
      <c r="Q452" s="674"/>
      <c r="R452" s="674"/>
      <c r="S452" s="674"/>
      <c r="T452" s="70"/>
      <c r="U452" s="70"/>
      <c r="V452" s="70"/>
      <c r="W452" s="70"/>
      <c r="X452" s="70"/>
      <c r="Y452" s="70"/>
      <c r="Z452" s="70"/>
    </row>
    <row r="453" customFormat="false" ht="12.75" hidden="false" customHeight="false" outlineLevel="1" collapsed="false">
      <c r="A453" s="70"/>
      <c r="B453" s="70"/>
      <c r="C453" s="70"/>
      <c r="D453" s="70"/>
      <c r="E453" s="70"/>
      <c r="F453" s="70"/>
      <c r="G453" s="70"/>
      <c r="H453" s="674"/>
      <c r="I453" s="686"/>
      <c r="J453" s="686"/>
      <c r="K453" s="686"/>
      <c r="L453" s="686"/>
      <c r="M453" s="686"/>
      <c r="N453" s="686"/>
      <c r="O453" s="686"/>
      <c r="P453" s="686"/>
      <c r="Q453" s="686"/>
      <c r="R453" s="686"/>
      <c r="S453" s="686"/>
      <c r="T453" s="70"/>
      <c r="U453" s="70"/>
      <c r="V453" s="70"/>
      <c r="W453" s="70"/>
      <c r="X453" s="70"/>
      <c r="Y453" s="70"/>
      <c r="Z453" s="70"/>
    </row>
    <row r="454" customFormat="false" ht="12.75" hidden="false" customHeight="false" outlineLevel="1" collapsed="false">
      <c r="A454" s="70"/>
      <c r="B454" s="70"/>
      <c r="C454" s="70"/>
      <c r="D454" s="70"/>
      <c r="E454" s="70"/>
      <c r="F454" s="70"/>
      <c r="G454" s="70"/>
      <c r="H454" s="674"/>
      <c r="I454" s="674"/>
      <c r="J454" s="674"/>
      <c r="K454" s="674"/>
      <c r="L454" s="674"/>
      <c r="M454" s="674"/>
      <c r="N454" s="674"/>
      <c r="O454" s="674"/>
      <c r="P454" s="674"/>
      <c r="Q454" s="674"/>
      <c r="R454" s="674"/>
      <c r="S454" s="674"/>
      <c r="T454" s="70"/>
      <c r="U454" s="70"/>
      <c r="V454" s="70"/>
      <c r="W454" s="70"/>
      <c r="X454" s="70"/>
      <c r="Y454" s="70"/>
      <c r="Z454" s="70"/>
    </row>
    <row r="455" customFormat="false" ht="12.75" hidden="false" customHeight="false" outlineLevel="1" collapsed="false">
      <c r="A455" s="70"/>
      <c r="B455" s="70"/>
      <c r="C455" s="70"/>
      <c r="D455" s="70"/>
      <c r="E455" s="70"/>
      <c r="F455" s="70"/>
      <c r="G455" s="70"/>
      <c r="H455" s="674"/>
      <c r="I455" s="674"/>
      <c r="J455" s="674"/>
      <c r="K455" s="674"/>
      <c r="L455" s="674"/>
      <c r="M455" s="674"/>
      <c r="N455" s="674"/>
      <c r="O455" s="674"/>
      <c r="P455" s="674"/>
      <c r="Q455" s="674"/>
      <c r="R455" s="674"/>
      <c r="S455" s="674"/>
      <c r="T455" s="70"/>
      <c r="U455" s="70"/>
      <c r="V455" s="70"/>
      <c r="W455" s="70"/>
      <c r="X455" s="70"/>
      <c r="Y455" s="70"/>
      <c r="Z455" s="70"/>
    </row>
    <row r="456" customFormat="false" ht="12.75" hidden="false" customHeight="false" outlineLevel="1" collapsed="false">
      <c r="A456" s="695"/>
      <c r="B456" s="70"/>
      <c r="C456" s="70"/>
      <c r="D456" s="70"/>
      <c r="E456" s="70"/>
      <c r="F456" s="70"/>
      <c r="G456" s="70"/>
      <c r="H456" s="674"/>
      <c r="I456" s="102"/>
      <c r="J456" s="102"/>
      <c r="K456" s="102"/>
      <c r="L456" s="102"/>
      <c r="M456" s="102"/>
      <c r="N456" s="102"/>
      <c r="O456" s="102"/>
      <c r="P456" s="102"/>
      <c r="Q456" s="102"/>
      <c r="R456" s="102"/>
      <c r="S456" s="102"/>
      <c r="T456" s="70"/>
      <c r="U456" s="70"/>
      <c r="V456" s="70"/>
      <c r="W456" s="70"/>
      <c r="X456" s="70"/>
      <c r="Y456" s="70"/>
      <c r="Z456" s="70"/>
    </row>
    <row r="457" customFormat="false" ht="12.75" hidden="false" customHeight="false" outlineLevel="1" collapsed="false">
      <c r="A457" s="695"/>
      <c r="B457" s="70"/>
      <c r="C457" s="70"/>
      <c r="D457" s="70"/>
      <c r="E457" s="70"/>
      <c r="F457" s="70"/>
      <c r="G457" s="70"/>
      <c r="H457" s="674"/>
      <c r="I457" s="102"/>
      <c r="J457" s="102"/>
      <c r="K457" s="102"/>
      <c r="L457" s="102"/>
      <c r="M457" s="102"/>
      <c r="N457" s="102"/>
      <c r="O457" s="102"/>
      <c r="P457" s="102"/>
      <c r="Q457" s="102"/>
      <c r="R457" s="102"/>
      <c r="S457" s="102"/>
      <c r="T457" s="70"/>
      <c r="U457" s="70"/>
      <c r="V457" s="70"/>
      <c r="W457" s="70"/>
      <c r="X457" s="70"/>
      <c r="Y457" s="70"/>
      <c r="Z457" s="70"/>
    </row>
    <row r="458" customFormat="false" ht="12.75" hidden="false" customHeight="false" outlineLevel="1" collapsed="false">
      <c r="A458" s="395"/>
      <c r="B458" s="70"/>
      <c r="C458" s="70"/>
      <c r="D458" s="70"/>
      <c r="E458" s="70"/>
      <c r="F458" s="70"/>
      <c r="G458" s="70"/>
      <c r="H458" s="674"/>
      <c r="I458" s="70"/>
      <c r="J458" s="70"/>
      <c r="K458" s="70"/>
      <c r="L458" s="70"/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70"/>
      <c r="X458" s="70"/>
      <c r="Y458" s="70"/>
      <c r="Z458" s="70"/>
    </row>
    <row r="459" customFormat="false" ht="12.75" hidden="false" customHeight="false" outlineLevel="1" collapsed="false">
      <c r="A459" s="70"/>
      <c r="B459" s="70"/>
      <c r="C459" s="70"/>
      <c r="D459" s="70"/>
      <c r="E459" s="702"/>
      <c r="F459" s="702"/>
      <c r="G459" s="702"/>
      <c r="H459" s="703"/>
      <c r="I459" s="703"/>
      <c r="J459" s="703"/>
      <c r="K459" s="703"/>
      <c r="L459" s="703"/>
      <c r="M459" s="703"/>
      <c r="N459" s="703"/>
      <c r="O459" s="703"/>
      <c r="P459" s="703"/>
      <c r="Q459" s="703"/>
      <c r="R459" s="703"/>
      <c r="S459" s="703"/>
      <c r="T459" s="70"/>
      <c r="U459" s="70"/>
      <c r="V459" s="70"/>
      <c r="W459" s="70"/>
      <c r="X459" s="70"/>
      <c r="Y459" s="70"/>
      <c r="Z459" s="70"/>
    </row>
    <row r="460" customFormat="false" ht="12.75" hidden="false" customHeight="false" outlineLevel="1" collapsed="false">
      <c r="A460" s="70"/>
      <c r="B460" s="70"/>
      <c r="C460" s="70"/>
      <c r="D460" s="70"/>
      <c r="E460" s="70"/>
      <c r="F460" s="70"/>
      <c r="G460" s="70"/>
      <c r="H460" s="674"/>
      <c r="I460" s="70"/>
      <c r="J460" s="70"/>
      <c r="K460" s="70"/>
      <c r="L460" s="70"/>
      <c r="M460" s="70"/>
      <c r="N460" s="70"/>
      <c r="O460" s="70"/>
      <c r="P460" s="70"/>
      <c r="Q460" s="70"/>
      <c r="R460" s="70"/>
      <c r="S460" s="70"/>
      <c r="T460" s="70"/>
      <c r="U460" s="70"/>
      <c r="V460" s="70"/>
      <c r="W460" s="70"/>
      <c r="X460" s="70"/>
      <c r="Y460" s="70"/>
      <c r="Z460" s="70"/>
    </row>
    <row r="461" customFormat="false" ht="12.75" hidden="false" customHeight="false" outlineLevel="1" collapsed="false">
      <c r="A461" s="395"/>
      <c r="B461" s="70"/>
      <c r="C461" s="70"/>
      <c r="D461" s="70"/>
      <c r="E461" s="70"/>
      <c r="F461" s="70"/>
      <c r="G461" s="70"/>
      <c r="H461" s="674"/>
      <c r="I461" s="399"/>
      <c r="J461" s="399"/>
      <c r="K461" s="399"/>
      <c r="L461" s="399"/>
      <c r="M461" s="399"/>
      <c r="N461" s="399"/>
      <c r="O461" s="399"/>
      <c r="P461" s="399"/>
      <c r="Q461" s="399"/>
      <c r="R461" s="399"/>
      <c r="S461" s="399"/>
      <c r="T461" s="70"/>
      <c r="U461" s="70"/>
      <c r="V461" s="70"/>
      <c r="W461" s="70"/>
      <c r="X461" s="70"/>
      <c r="Y461" s="70"/>
      <c r="Z461" s="70"/>
    </row>
    <row r="462" customFormat="false" ht="12.75" hidden="false" customHeight="false" outlineLevel="1" collapsed="false">
      <c r="A462" s="70"/>
      <c r="B462" s="704"/>
      <c r="C462" s="704"/>
      <c r="D462" s="704"/>
      <c r="E462" s="70"/>
      <c r="F462" s="70"/>
      <c r="G462" s="70"/>
      <c r="H462" s="674"/>
      <c r="I462" s="102"/>
      <c r="J462" s="102"/>
      <c r="K462" s="102"/>
      <c r="L462" s="102"/>
      <c r="M462" s="102"/>
      <c r="N462" s="102"/>
      <c r="O462" s="102"/>
      <c r="P462" s="102"/>
      <c r="Q462" s="102"/>
      <c r="R462" s="102"/>
      <c r="S462" s="102"/>
      <c r="T462" s="70"/>
      <c r="U462" s="70"/>
      <c r="V462" s="70"/>
      <c r="W462" s="70"/>
      <c r="X462" s="70"/>
      <c r="Y462" s="70"/>
      <c r="Z462" s="70"/>
    </row>
    <row r="463" customFormat="false" ht="12.75" hidden="false" customHeight="false" outlineLevel="1" collapsed="false">
      <c r="A463" s="395"/>
      <c r="B463" s="70"/>
      <c r="C463" s="70"/>
      <c r="D463" s="70"/>
      <c r="E463" s="70"/>
      <c r="F463" s="70"/>
      <c r="G463" s="70"/>
      <c r="H463" s="674"/>
      <c r="I463" s="102"/>
      <c r="J463" s="102"/>
      <c r="K463" s="102"/>
      <c r="L463" s="102"/>
      <c r="M463" s="102"/>
      <c r="N463" s="102"/>
      <c r="O463" s="102"/>
      <c r="P463" s="102"/>
      <c r="Q463" s="102"/>
      <c r="R463" s="102"/>
      <c r="S463" s="102"/>
      <c r="T463" s="70"/>
      <c r="U463" s="70"/>
      <c r="V463" s="70"/>
      <c r="W463" s="70"/>
      <c r="X463" s="70"/>
      <c r="Y463" s="70"/>
      <c r="Z463" s="70"/>
    </row>
    <row r="464" customFormat="false" ht="12.75" hidden="false" customHeight="false" outlineLevel="1" collapsed="false">
      <c r="A464" s="70"/>
      <c r="B464" s="70"/>
      <c r="C464" s="70"/>
      <c r="D464" s="70"/>
      <c r="E464" s="70"/>
      <c r="F464" s="70"/>
      <c r="G464" s="70"/>
      <c r="H464" s="70"/>
      <c r="I464" s="70"/>
      <c r="J464" s="70"/>
      <c r="K464" s="70"/>
      <c r="L464" s="70"/>
      <c r="M464" s="70"/>
      <c r="N464" s="70"/>
      <c r="O464" s="70"/>
      <c r="P464" s="70"/>
      <c r="Q464" s="70"/>
      <c r="R464" s="70"/>
      <c r="S464" s="70"/>
      <c r="T464" s="70"/>
      <c r="U464" s="70"/>
      <c r="V464" s="70"/>
      <c r="W464" s="70"/>
      <c r="X464" s="70"/>
      <c r="Y464" s="70"/>
      <c r="Z464" s="70"/>
    </row>
    <row r="465" customFormat="false" ht="12.75" hidden="false" customHeight="false" outlineLevel="1" collapsed="false">
      <c r="A465" s="70"/>
      <c r="B465" s="70"/>
      <c r="C465" s="70"/>
      <c r="D465" s="70"/>
      <c r="E465" s="70"/>
      <c r="F465" s="70"/>
      <c r="G465" s="70"/>
      <c r="H465" s="70"/>
      <c r="I465" s="70"/>
      <c r="J465" s="70"/>
      <c r="K465" s="70"/>
      <c r="L465" s="70"/>
      <c r="M465" s="70"/>
      <c r="N465" s="70"/>
      <c r="O465" s="70"/>
      <c r="P465" s="70"/>
      <c r="Q465" s="70"/>
      <c r="R465" s="70"/>
      <c r="S465" s="70"/>
      <c r="T465" s="70"/>
      <c r="U465" s="70"/>
      <c r="V465" s="70"/>
      <c r="W465" s="70"/>
      <c r="X465" s="70"/>
      <c r="Y465" s="70"/>
      <c r="Z465" s="70"/>
    </row>
    <row r="466" customFormat="false" ht="18.75" hidden="false" customHeight="false" outlineLevel="1" collapsed="false">
      <c r="A466" s="705"/>
      <c r="B466" s="706"/>
      <c r="C466" s="706"/>
      <c r="D466" s="706"/>
      <c r="E466" s="706"/>
      <c r="F466" s="706"/>
      <c r="G466" s="706"/>
      <c r="H466" s="706"/>
      <c r="I466" s="707"/>
      <c r="J466" s="707"/>
      <c r="K466" s="707"/>
      <c r="L466" s="707"/>
      <c r="M466" s="707"/>
      <c r="N466" s="707"/>
      <c r="O466" s="707"/>
      <c r="P466" s="707"/>
      <c r="Q466" s="707"/>
      <c r="R466" s="707"/>
      <c r="S466" s="707"/>
      <c r="T466" s="707"/>
      <c r="U466" s="707"/>
      <c r="V466" s="707"/>
      <c r="W466" s="707"/>
      <c r="X466" s="707"/>
      <c r="Y466" s="707"/>
      <c r="Z466" s="707"/>
      <c r="AA466" s="707"/>
      <c r="AB466" s="707"/>
      <c r="AC466" s="707"/>
      <c r="AD466" s="707"/>
      <c r="AE466" s="707"/>
      <c r="AF466" s="707"/>
      <c r="AG466" s="707"/>
      <c r="AH466" s="707"/>
      <c r="AI466" s="707"/>
      <c r="AJ466" s="707"/>
      <c r="AK466" s="707"/>
      <c r="AL466" s="707"/>
      <c r="AM466" s="707"/>
      <c r="AN466" s="707"/>
      <c r="AO466" s="707"/>
      <c r="AP466" s="707"/>
      <c r="AQ466" s="707"/>
      <c r="AR466" s="707"/>
      <c r="AS466" s="707"/>
      <c r="AT466" s="707"/>
      <c r="AU466" s="707"/>
      <c r="AV466" s="707"/>
      <c r="AW466" s="707"/>
      <c r="AX466" s="707"/>
      <c r="AY466" s="707"/>
      <c r="AZ466" s="707"/>
      <c r="BA466" s="707"/>
      <c r="BB466" s="707"/>
      <c r="BC466" s="707"/>
      <c r="BD466" s="707"/>
      <c r="BE466" s="707"/>
      <c r="BF466" s="707"/>
      <c r="BG466" s="707"/>
      <c r="BH466" s="707"/>
      <c r="BI466" s="707"/>
      <c r="BJ466" s="707"/>
      <c r="BK466" s="707"/>
      <c r="BL466" s="707"/>
      <c r="BM466" s="707"/>
      <c r="BN466" s="707"/>
      <c r="BO466" s="707"/>
      <c r="BP466" s="707"/>
      <c r="BQ466" s="707"/>
      <c r="BR466" s="707"/>
      <c r="BS466" s="707"/>
      <c r="BT466" s="707"/>
      <c r="BU466" s="707"/>
      <c r="BV466" s="707"/>
      <c r="BW466" s="707"/>
      <c r="BX466" s="707"/>
      <c r="BY466" s="707"/>
      <c r="BZ466" s="707"/>
      <c r="CA466" s="707"/>
      <c r="CB466" s="707"/>
      <c r="CC466" s="707"/>
      <c r="CD466" s="707"/>
      <c r="CE466" s="707"/>
      <c r="CF466" s="707"/>
      <c r="CG466" s="707"/>
      <c r="CH466" s="707"/>
      <c r="CI466" s="707"/>
      <c r="CJ466" s="707"/>
      <c r="CK466" s="707"/>
      <c r="CL466" s="707"/>
      <c r="CM466" s="707"/>
      <c r="CN466" s="707"/>
      <c r="CO466" s="707"/>
      <c r="CP466" s="707"/>
      <c r="CQ466" s="707"/>
      <c r="CR466" s="707"/>
      <c r="CS466" s="707"/>
      <c r="CT466" s="707"/>
      <c r="CU466" s="707"/>
      <c r="CV466" s="707"/>
      <c r="CW466" s="707"/>
      <c r="CX466" s="707"/>
      <c r="CY466" s="707"/>
      <c r="CZ466" s="707"/>
      <c r="DA466" s="707"/>
      <c r="DB466" s="707"/>
      <c r="DC466" s="707"/>
      <c r="DD466" s="707"/>
      <c r="DE466" s="707"/>
      <c r="DF466" s="707"/>
      <c r="DG466" s="707"/>
      <c r="DH466" s="707"/>
      <c r="DI466" s="707"/>
      <c r="DJ466" s="707"/>
      <c r="DK466" s="707"/>
      <c r="DL466" s="707"/>
      <c r="DM466" s="707"/>
      <c r="DN466" s="707"/>
      <c r="DO466" s="707"/>
      <c r="DP466" s="707"/>
      <c r="DQ466" s="707"/>
      <c r="DR466" s="707"/>
      <c r="DS466" s="707"/>
      <c r="DT466" s="707"/>
      <c r="DU466" s="707"/>
      <c r="DV466" s="707"/>
      <c r="DW466" s="707"/>
      <c r="DX466" s="707"/>
      <c r="DY466" s="707"/>
      <c r="DZ466" s="707"/>
      <c r="EA466" s="707"/>
      <c r="EB466" s="707"/>
      <c r="EC466" s="707"/>
      <c r="ED466" s="707"/>
      <c r="EE466" s="707"/>
      <c r="EF466" s="707"/>
      <c r="EG466" s="707"/>
      <c r="EH466" s="707"/>
      <c r="EI466" s="707"/>
      <c r="EJ466" s="707"/>
      <c r="EK466" s="707"/>
      <c r="EL466" s="707"/>
      <c r="EM466" s="707"/>
      <c r="EN466" s="707"/>
      <c r="EO466" s="707"/>
      <c r="EP466" s="707"/>
      <c r="EQ466" s="707"/>
      <c r="ER466" s="707"/>
      <c r="ES466" s="707"/>
      <c r="ET466" s="707"/>
      <c r="EU466" s="707"/>
      <c r="EV466" s="707"/>
      <c r="EW466" s="707"/>
      <c r="EX466" s="707"/>
      <c r="EY466" s="707"/>
      <c r="EZ466" s="707"/>
      <c r="FA466" s="707"/>
      <c r="FB466" s="707"/>
      <c r="FC466" s="707"/>
      <c r="FD466" s="707"/>
      <c r="FE466" s="707"/>
      <c r="FF466" s="707"/>
      <c r="FG466" s="707"/>
      <c r="FH466" s="707"/>
      <c r="FI466" s="707"/>
      <c r="FJ466" s="707"/>
      <c r="FK466" s="707"/>
      <c r="FL466" s="707"/>
      <c r="FM466" s="707"/>
      <c r="FN466" s="707"/>
      <c r="FO466" s="707"/>
      <c r="FP466" s="707"/>
      <c r="FQ466" s="707"/>
      <c r="FR466" s="707"/>
      <c r="FS466" s="707"/>
      <c r="FT466" s="707"/>
      <c r="FU466" s="707"/>
      <c r="FV466" s="707"/>
      <c r="FW466" s="707"/>
      <c r="FX466" s="707"/>
      <c r="FY466" s="707"/>
      <c r="FZ466" s="707"/>
      <c r="GA466" s="707"/>
      <c r="GB466" s="707"/>
      <c r="GC466" s="707"/>
      <c r="GD466" s="707"/>
      <c r="GE466" s="707"/>
      <c r="GF466" s="707"/>
      <c r="GG466" s="707"/>
      <c r="GH466" s="707"/>
      <c r="GI466" s="707"/>
      <c r="GJ466" s="707"/>
      <c r="GK466" s="707"/>
      <c r="GL466" s="707"/>
      <c r="GM466" s="707"/>
      <c r="GN466" s="707"/>
      <c r="GO466" s="707"/>
      <c r="GP466" s="707"/>
      <c r="GQ466" s="707"/>
      <c r="GR466" s="707"/>
      <c r="GS466" s="707"/>
      <c r="GT466" s="707"/>
      <c r="GU466" s="707"/>
      <c r="GV466" s="707"/>
      <c r="GW466" s="707"/>
      <c r="GX466" s="707"/>
      <c r="GY466" s="707"/>
      <c r="GZ466" s="707"/>
      <c r="HA466" s="707"/>
      <c r="HB466" s="707"/>
      <c r="HC466" s="707"/>
      <c r="HD466" s="707"/>
      <c r="HE466" s="707"/>
      <c r="HF466" s="707"/>
      <c r="HG466" s="707"/>
      <c r="HH466" s="707"/>
      <c r="HI466" s="707"/>
      <c r="HJ466" s="707"/>
      <c r="HK466" s="707"/>
      <c r="HL466" s="707"/>
      <c r="HM466" s="707"/>
      <c r="HN466" s="707"/>
      <c r="HO466" s="707"/>
      <c r="HP466" s="707"/>
      <c r="HQ466" s="707"/>
      <c r="HR466" s="707"/>
      <c r="HS466" s="707"/>
      <c r="HT466" s="707"/>
      <c r="HU466" s="707"/>
      <c r="HV466" s="707"/>
      <c r="HW466" s="707"/>
      <c r="HX466" s="707"/>
      <c r="HY466" s="707"/>
      <c r="HZ466" s="707"/>
      <c r="IA466" s="707"/>
      <c r="IB466" s="707"/>
      <c r="IC466" s="707"/>
      <c r="ID466" s="707"/>
      <c r="IE466" s="707"/>
      <c r="IF466" s="707"/>
      <c r="IG466" s="707"/>
      <c r="IH466" s="707"/>
      <c r="II466" s="707"/>
      <c r="IJ466" s="707"/>
      <c r="IK466" s="707"/>
      <c r="IL466" s="707"/>
      <c r="IM466" s="707"/>
      <c r="IN466" s="707"/>
      <c r="IO466" s="707"/>
      <c r="IP466" s="707"/>
      <c r="IQ466" s="707"/>
      <c r="IR466" s="707"/>
      <c r="IS466" s="707"/>
      <c r="IT466" s="707"/>
      <c r="IU466" s="707"/>
      <c r="IV466" s="707"/>
      <c r="IW466" s="707"/>
    </row>
    <row r="467" customFormat="false" ht="12.75" hidden="false" customHeight="false" outlineLevel="1" collapsed="false">
      <c r="A467" s="706"/>
      <c r="B467" s="706"/>
      <c r="C467" s="706"/>
      <c r="D467" s="706"/>
      <c r="E467" s="706"/>
      <c r="F467" s="706"/>
      <c r="G467" s="708"/>
      <c r="H467" s="709"/>
      <c r="I467" s="706"/>
      <c r="J467" s="710"/>
      <c r="K467" s="707"/>
      <c r="L467" s="707"/>
      <c r="M467" s="707"/>
      <c r="N467" s="707"/>
      <c r="O467" s="707"/>
      <c r="P467" s="707"/>
      <c r="Q467" s="707"/>
      <c r="R467" s="707"/>
      <c r="S467" s="707"/>
      <c r="T467" s="707"/>
      <c r="U467" s="707"/>
      <c r="V467" s="707"/>
      <c r="W467" s="707"/>
      <c r="X467" s="707"/>
      <c r="Y467" s="707"/>
      <c r="Z467" s="707"/>
      <c r="AA467" s="707"/>
      <c r="AB467" s="707"/>
      <c r="AC467" s="707"/>
      <c r="AD467" s="707"/>
      <c r="AE467" s="707"/>
      <c r="AF467" s="707"/>
      <c r="AG467" s="707"/>
      <c r="AH467" s="707"/>
      <c r="AI467" s="707"/>
      <c r="AJ467" s="707"/>
      <c r="AK467" s="707"/>
      <c r="AL467" s="707"/>
      <c r="AM467" s="707"/>
      <c r="AN467" s="707"/>
      <c r="AO467" s="707"/>
      <c r="AP467" s="707"/>
      <c r="AQ467" s="707"/>
      <c r="AR467" s="707"/>
      <c r="AS467" s="707"/>
      <c r="AT467" s="707"/>
      <c r="AU467" s="707"/>
      <c r="AV467" s="707"/>
      <c r="AW467" s="707"/>
      <c r="AX467" s="707"/>
      <c r="AY467" s="707"/>
      <c r="AZ467" s="707"/>
      <c r="BA467" s="707"/>
      <c r="BB467" s="707"/>
      <c r="BC467" s="707"/>
      <c r="BD467" s="707"/>
      <c r="BE467" s="707"/>
      <c r="BF467" s="707"/>
      <c r="BG467" s="707"/>
      <c r="BH467" s="707"/>
      <c r="BI467" s="707"/>
      <c r="BJ467" s="707"/>
      <c r="BK467" s="707"/>
      <c r="BL467" s="707"/>
      <c r="BM467" s="707"/>
      <c r="BN467" s="707"/>
      <c r="BO467" s="707"/>
      <c r="BP467" s="707"/>
      <c r="BQ467" s="707"/>
      <c r="BR467" s="707"/>
      <c r="BS467" s="707"/>
      <c r="BT467" s="707"/>
      <c r="BU467" s="707"/>
      <c r="BV467" s="707"/>
      <c r="BW467" s="707"/>
      <c r="BX467" s="707"/>
      <c r="BY467" s="707"/>
      <c r="BZ467" s="707"/>
      <c r="CA467" s="707"/>
      <c r="CB467" s="707"/>
      <c r="CC467" s="707"/>
      <c r="CD467" s="707"/>
      <c r="CE467" s="707"/>
      <c r="CF467" s="707"/>
      <c r="CG467" s="707"/>
      <c r="CH467" s="707"/>
      <c r="CI467" s="707"/>
      <c r="CJ467" s="707"/>
      <c r="CK467" s="707"/>
      <c r="CL467" s="707"/>
      <c r="CM467" s="707"/>
      <c r="CN467" s="707"/>
      <c r="CO467" s="707"/>
      <c r="CP467" s="707"/>
      <c r="CQ467" s="707"/>
      <c r="CR467" s="707"/>
      <c r="CS467" s="707"/>
      <c r="CT467" s="707"/>
      <c r="CU467" s="707"/>
      <c r="CV467" s="707"/>
      <c r="CW467" s="707"/>
      <c r="CX467" s="707"/>
      <c r="CY467" s="707"/>
      <c r="CZ467" s="707"/>
      <c r="DA467" s="707"/>
      <c r="DB467" s="707"/>
      <c r="DC467" s="707"/>
      <c r="DD467" s="707"/>
      <c r="DE467" s="707"/>
      <c r="DF467" s="707"/>
      <c r="DG467" s="707"/>
      <c r="DH467" s="707"/>
      <c r="DI467" s="707"/>
      <c r="DJ467" s="707"/>
      <c r="DK467" s="707"/>
      <c r="DL467" s="707"/>
      <c r="DM467" s="707"/>
      <c r="DN467" s="707"/>
      <c r="DO467" s="707"/>
      <c r="DP467" s="707"/>
      <c r="DQ467" s="707"/>
      <c r="DR467" s="707"/>
      <c r="DS467" s="707"/>
      <c r="DT467" s="707"/>
      <c r="DU467" s="707"/>
      <c r="DV467" s="707"/>
      <c r="DW467" s="707"/>
      <c r="DX467" s="707"/>
      <c r="DY467" s="707"/>
      <c r="DZ467" s="707"/>
      <c r="EA467" s="707"/>
      <c r="EB467" s="707"/>
      <c r="EC467" s="707"/>
      <c r="ED467" s="707"/>
      <c r="EE467" s="707"/>
      <c r="EF467" s="707"/>
      <c r="EG467" s="707"/>
      <c r="EH467" s="707"/>
      <c r="EI467" s="707"/>
      <c r="EJ467" s="707"/>
      <c r="EK467" s="707"/>
      <c r="EL467" s="707"/>
      <c r="EM467" s="707"/>
      <c r="EN467" s="707"/>
      <c r="EO467" s="707"/>
      <c r="EP467" s="707"/>
      <c r="EQ467" s="707"/>
      <c r="ER467" s="707"/>
      <c r="ES467" s="707"/>
      <c r="ET467" s="707"/>
      <c r="EU467" s="707"/>
      <c r="EV467" s="707"/>
      <c r="EW467" s="707"/>
      <c r="EX467" s="707"/>
      <c r="EY467" s="707"/>
      <c r="EZ467" s="707"/>
      <c r="FA467" s="707"/>
      <c r="FB467" s="707"/>
      <c r="FC467" s="707"/>
      <c r="FD467" s="707"/>
      <c r="FE467" s="707"/>
      <c r="FF467" s="707"/>
      <c r="FG467" s="707"/>
      <c r="FH467" s="707"/>
      <c r="FI467" s="707"/>
      <c r="FJ467" s="707"/>
      <c r="FK467" s="707"/>
      <c r="FL467" s="707"/>
      <c r="FM467" s="707"/>
      <c r="FN467" s="707"/>
      <c r="FO467" s="707"/>
      <c r="FP467" s="707"/>
      <c r="FQ467" s="707"/>
      <c r="FR467" s="707"/>
      <c r="FS467" s="707"/>
      <c r="FT467" s="707"/>
      <c r="FU467" s="707"/>
      <c r="FV467" s="707"/>
      <c r="FW467" s="707"/>
      <c r="FX467" s="707"/>
      <c r="FY467" s="707"/>
      <c r="FZ467" s="707"/>
      <c r="GA467" s="707"/>
      <c r="GB467" s="707"/>
      <c r="GC467" s="707"/>
      <c r="GD467" s="707"/>
      <c r="GE467" s="707"/>
      <c r="GF467" s="707"/>
      <c r="GG467" s="707"/>
      <c r="GH467" s="707"/>
      <c r="GI467" s="707"/>
      <c r="GJ467" s="707"/>
      <c r="GK467" s="707"/>
      <c r="GL467" s="707"/>
      <c r="GM467" s="707"/>
      <c r="GN467" s="707"/>
      <c r="GO467" s="707"/>
      <c r="GP467" s="707"/>
      <c r="GQ467" s="707"/>
      <c r="GR467" s="707"/>
      <c r="GS467" s="707"/>
      <c r="GT467" s="707"/>
      <c r="GU467" s="707"/>
      <c r="GV467" s="707"/>
      <c r="GW467" s="707"/>
      <c r="GX467" s="707"/>
      <c r="GY467" s="707"/>
      <c r="GZ467" s="707"/>
      <c r="HA467" s="707"/>
      <c r="HB467" s="707"/>
      <c r="HC467" s="707"/>
      <c r="HD467" s="707"/>
      <c r="HE467" s="707"/>
      <c r="HF467" s="707"/>
      <c r="HG467" s="707"/>
      <c r="HH467" s="707"/>
      <c r="HI467" s="707"/>
      <c r="HJ467" s="707"/>
      <c r="HK467" s="707"/>
      <c r="HL467" s="707"/>
      <c r="HM467" s="707"/>
      <c r="HN467" s="707"/>
      <c r="HO467" s="707"/>
      <c r="HP467" s="707"/>
      <c r="HQ467" s="707"/>
      <c r="HR467" s="707"/>
      <c r="HS467" s="707"/>
      <c r="HT467" s="707"/>
      <c r="HU467" s="707"/>
      <c r="HV467" s="707"/>
      <c r="HW467" s="707"/>
      <c r="HX467" s="707"/>
      <c r="HY467" s="707"/>
      <c r="HZ467" s="707"/>
      <c r="IA467" s="707"/>
      <c r="IB467" s="707"/>
      <c r="IC467" s="707"/>
      <c r="ID467" s="707"/>
      <c r="IE467" s="707"/>
      <c r="IF467" s="707"/>
      <c r="IG467" s="707"/>
      <c r="IH467" s="707"/>
      <c r="II467" s="707"/>
      <c r="IJ467" s="707"/>
      <c r="IK467" s="707"/>
      <c r="IL467" s="707"/>
      <c r="IM467" s="707"/>
      <c r="IN467" s="707"/>
      <c r="IO467" s="707"/>
      <c r="IP467" s="707"/>
      <c r="IQ467" s="707"/>
      <c r="IR467" s="707"/>
      <c r="IS467" s="707"/>
      <c r="IT467" s="707"/>
      <c r="IU467" s="707"/>
      <c r="IV467" s="707"/>
      <c r="IW467" s="707"/>
    </row>
    <row r="468" customFormat="false" ht="12.75" hidden="false" customHeight="false" outlineLevel="1" collapsed="false">
      <c r="A468" s="706"/>
      <c r="B468" s="709"/>
      <c r="C468" s="709"/>
      <c r="D468" s="709"/>
      <c r="E468" s="709"/>
      <c r="F468" s="709"/>
      <c r="G468" s="711"/>
      <c r="H468" s="688"/>
      <c r="I468" s="688"/>
      <c r="J468" s="710"/>
      <c r="K468" s="707"/>
      <c r="L468" s="707"/>
      <c r="M468" s="707"/>
      <c r="N468" s="707"/>
      <c r="O468" s="707"/>
      <c r="P468" s="707"/>
      <c r="Q468" s="707"/>
      <c r="R468" s="707"/>
      <c r="S468" s="707"/>
      <c r="T468" s="707"/>
      <c r="U468" s="707"/>
      <c r="V468" s="707"/>
      <c r="W468" s="707"/>
      <c r="X468" s="707"/>
      <c r="Y468" s="707"/>
      <c r="Z468" s="707"/>
      <c r="AA468" s="707"/>
      <c r="AB468" s="707"/>
      <c r="AC468" s="707"/>
      <c r="AD468" s="707"/>
      <c r="AE468" s="707"/>
      <c r="AF468" s="707"/>
      <c r="AG468" s="707"/>
      <c r="AH468" s="707"/>
      <c r="AI468" s="707"/>
      <c r="AJ468" s="707"/>
      <c r="AK468" s="707"/>
      <c r="AL468" s="707"/>
      <c r="AM468" s="707"/>
      <c r="AN468" s="707"/>
      <c r="AO468" s="707"/>
      <c r="AP468" s="707"/>
      <c r="AQ468" s="707"/>
      <c r="AR468" s="707"/>
      <c r="AS468" s="707"/>
      <c r="AT468" s="707"/>
      <c r="AU468" s="707"/>
      <c r="AV468" s="707"/>
      <c r="AW468" s="707"/>
      <c r="AX468" s="707"/>
      <c r="AY468" s="707"/>
      <c r="AZ468" s="707"/>
      <c r="BA468" s="707"/>
      <c r="BB468" s="707"/>
      <c r="BC468" s="707"/>
      <c r="BD468" s="707"/>
      <c r="BE468" s="707"/>
      <c r="BF468" s="707"/>
      <c r="BG468" s="707"/>
      <c r="BH468" s="707"/>
      <c r="BI468" s="707"/>
      <c r="BJ468" s="707"/>
      <c r="BK468" s="707"/>
      <c r="BL468" s="707"/>
      <c r="BM468" s="707"/>
      <c r="BN468" s="707"/>
      <c r="BO468" s="707"/>
      <c r="BP468" s="707"/>
      <c r="BQ468" s="707"/>
      <c r="BR468" s="707"/>
      <c r="BS468" s="707"/>
      <c r="BT468" s="707"/>
      <c r="BU468" s="707"/>
      <c r="BV468" s="707"/>
      <c r="BW468" s="707"/>
      <c r="BX468" s="707"/>
      <c r="BY468" s="707"/>
      <c r="BZ468" s="707"/>
      <c r="CA468" s="707"/>
      <c r="CB468" s="707"/>
      <c r="CC468" s="707"/>
      <c r="CD468" s="707"/>
      <c r="CE468" s="707"/>
      <c r="CF468" s="707"/>
      <c r="CG468" s="707"/>
      <c r="CH468" s="707"/>
      <c r="CI468" s="707"/>
      <c r="CJ468" s="707"/>
      <c r="CK468" s="707"/>
      <c r="CL468" s="707"/>
      <c r="CM468" s="707"/>
      <c r="CN468" s="707"/>
      <c r="CO468" s="707"/>
      <c r="CP468" s="707"/>
      <c r="CQ468" s="707"/>
      <c r="CR468" s="707"/>
      <c r="CS468" s="707"/>
      <c r="CT468" s="707"/>
      <c r="CU468" s="707"/>
      <c r="CV468" s="707"/>
      <c r="CW468" s="707"/>
      <c r="CX468" s="707"/>
      <c r="CY468" s="707"/>
      <c r="CZ468" s="707"/>
      <c r="DA468" s="707"/>
      <c r="DB468" s="707"/>
      <c r="DC468" s="707"/>
      <c r="DD468" s="707"/>
      <c r="DE468" s="707"/>
      <c r="DF468" s="707"/>
      <c r="DG468" s="707"/>
      <c r="DH468" s="707"/>
      <c r="DI468" s="707"/>
      <c r="DJ468" s="707"/>
      <c r="DK468" s="707"/>
      <c r="DL468" s="707"/>
      <c r="DM468" s="707"/>
      <c r="DN468" s="707"/>
      <c r="DO468" s="707"/>
      <c r="DP468" s="707"/>
      <c r="DQ468" s="707"/>
      <c r="DR468" s="707"/>
      <c r="DS468" s="707"/>
      <c r="DT468" s="707"/>
      <c r="DU468" s="707"/>
      <c r="DV468" s="707"/>
      <c r="DW468" s="707"/>
      <c r="DX468" s="707"/>
      <c r="DY468" s="707"/>
      <c r="DZ468" s="707"/>
      <c r="EA468" s="707"/>
      <c r="EB468" s="707"/>
      <c r="EC468" s="707"/>
      <c r="ED468" s="707"/>
      <c r="EE468" s="707"/>
      <c r="EF468" s="707"/>
      <c r="EG468" s="707"/>
      <c r="EH468" s="707"/>
      <c r="EI468" s="707"/>
      <c r="EJ468" s="707"/>
      <c r="EK468" s="707"/>
      <c r="EL468" s="707"/>
      <c r="EM468" s="707"/>
      <c r="EN468" s="707"/>
      <c r="EO468" s="707"/>
      <c r="EP468" s="707"/>
      <c r="EQ468" s="707"/>
      <c r="ER468" s="707"/>
      <c r="ES468" s="707"/>
      <c r="ET468" s="707"/>
      <c r="EU468" s="707"/>
      <c r="EV468" s="707"/>
      <c r="EW468" s="707"/>
      <c r="EX468" s="707"/>
      <c r="EY468" s="707"/>
      <c r="EZ468" s="707"/>
      <c r="FA468" s="707"/>
      <c r="FB468" s="707"/>
      <c r="FC468" s="707"/>
      <c r="FD468" s="707"/>
      <c r="FE468" s="707"/>
      <c r="FF468" s="707"/>
      <c r="FG468" s="707"/>
      <c r="FH468" s="707"/>
      <c r="FI468" s="707"/>
      <c r="FJ468" s="707"/>
      <c r="FK468" s="707"/>
      <c r="FL468" s="707"/>
      <c r="FM468" s="707"/>
      <c r="FN468" s="707"/>
      <c r="FO468" s="707"/>
      <c r="FP468" s="707"/>
      <c r="FQ468" s="707"/>
      <c r="FR468" s="707"/>
      <c r="FS468" s="707"/>
      <c r="FT468" s="707"/>
      <c r="FU468" s="707"/>
      <c r="FV468" s="707"/>
      <c r="FW468" s="707"/>
      <c r="FX468" s="707"/>
      <c r="FY468" s="707"/>
      <c r="FZ468" s="707"/>
      <c r="GA468" s="707"/>
      <c r="GB468" s="707"/>
      <c r="GC468" s="707"/>
      <c r="GD468" s="707"/>
      <c r="GE468" s="707"/>
      <c r="GF468" s="707"/>
      <c r="GG468" s="707"/>
      <c r="GH468" s="707"/>
      <c r="GI468" s="707"/>
      <c r="GJ468" s="707"/>
      <c r="GK468" s="707"/>
      <c r="GL468" s="707"/>
      <c r="GM468" s="707"/>
      <c r="GN468" s="707"/>
      <c r="GO468" s="707"/>
      <c r="GP468" s="707"/>
      <c r="GQ468" s="707"/>
      <c r="GR468" s="707"/>
      <c r="GS468" s="707"/>
      <c r="GT468" s="707"/>
      <c r="GU468" s="707"/>
      <c r="GV468" s="707"/>
      <c r="GW468" s="707"/>
      <c r="GX468" s="707"/>
      <c r="GY468" s="707"/>
      <c r="GZ468" s="707"/>
      <c r="HA468" s="707"/>
      <c r="HB468" s="707"/>
      <c r="HC468" s="707"/>
      <c r="HD468" s="707"/>
      <c r="HE468" s="707"/>
      <c r="HF468" s="707"/>
      <c r="HG468" s="707"/>
      <c r="HH468" s="707"/>
      <c r="HI468" s="707"/>
      <c r="HJ468" s="707"/>
      <c r="HK468" s="707"/>
      <c r="HL468" s="707"/>
      <c r="HM468" s="707"/>
      <c r="HN468" s="707"/>
      <c r="HO468" s="707"/>
      <c r="HP468" s="707"/>
      <c r="HQ468" s="707"/>
      <c r="HR468" s="707"/>
      <c r="HS468" s="707"/>
      <c r="HT468" s="707"/>
      <c r="HU468" s="707"/>
      <c r="HV468" s="707"/>
      <c r="HW468" s="707"/>
      <c r="HX468" s="707"/>
      <c r="HY468" s="707"/>
      <c r="HZ468" s="707"/>
      <c r="IA468" s="707"/>
      <c r="IB468" s="707"/>
      <c r="IC468" s="707"/>
      <c r="ID468" s="707"/>
      <c r="IE468" s="707"/>
      <c r="IF468" s="707"/>
      <c r="IG468" s="707"/>
      <c r="IH468" s="707"/>
      <c r="II468" s="707"/>
      <c r="IJ468" s="707"/>
      <c r="IK468" s="707"/>
      <c r="IL468" s="707"/>
      <c r="IM468" s="707"/>
      <c r="IN468" s="707"/>
      <c r="IO468" s="707"/>
      <c r="IP468" s="707"/>
      <c r="IQ468" s="707"/>
      <c r="IR468" s="707"/>
      <c r="IS468" s="707"/>
      <c r="IT468" s="707"/>
      <c r="IU468" s="707"/>
      <c r="IV468" s="707"/>
      <c r="IW468" s="707"/>
    </row>
    <row r="469" customFormat="false" ht="12.75" hidden="false" customHeight="false" outlineLevel="1" collapsed="false">
      <c r="A469" s="706"/>
      <c r="B469" s="688"/>
      <c r="C469" s="688"/>
      <c r="D469" s="688"/>
      <c r="E469" s="688"/>
      <c r="F469" s="688"/>
      <c r="G469" s="688"/>
      <c r="H469" s="710"/>
      <c r="I469" s="688"/>
      <c r="J469" s="711"/>
      <c r="K469" s="707"/>
      <c r="L469" s="707"/>
      <c r="M469" s="707"/>
      <c r="N469" s="707"/>
      <c r="O469" s="707"/>
      <c r="P469" s="707"/>
      <c r="Q469" s="707"/>
      <c r="R469" s="707"/>
      <c r="S469" s="707"/>
      <c r="T469" s="707"/>
      <c r="U469" s="707"/>
      <c r="V469" s="707"/>
      <c r="W469" s="707"/>
      <c r="X469" s="707"/>
      <c r="Y469" s="707"/>
      <c r="Z469" s="707"/>
      <c r="AA469" s="707"/>
      <c r="AB469" s="707"/>
      <c r="AC469" s="707"/>
      <c r="AD469" s="707"/>
      <c r="AE469" s="707"/>
      <c r="AF469" s="707"/>
      <c r="AG469" s="707"/>
      <c r="AH469" s="707"/>
      <c r="AI469" s="707"/>
      <c r="AJ469" s="707"/>
      <c r="AK469" s="707"/>
      <c r="AL469" s="707"/>
      <c r="AM469" s="707"/>
      <c r="AN469" s="707"/>
      <c r="AO469" s="707"/>
      <c r="AP469" s="707"/>
      <c r="AQ469" s="707"/>
      <c r="AR469" s="707"/>
      <c r="AS469" s="707"/>
      <c r="AT469" s="707"/>
      <c r="AU469" s="707"/>
      <c r="AV469" s="707"/>
      <c r="AW469" s="707"/>
      <c r="AX469" s="707"/>
      <c r="AY469" s="707"/>
      <c r="AZ469" s="707"/>
      <c r="BA469" s="707"/>
      <c r="BB469" s="707"/>
      <c r="BC469" s="707"/>
      <c r="BD469" s="707"/>
      <c r="BE469" s="707"/>
      <c r="BF469" s="707"/>
      <c r="BG469" s="707"/>
      <c r="BH469" s="707"/>
      <c r="BI469" s="707"/>
      <c r="BJ469" s="707"/>
      <c r="BK469" s="707"/>
      <c r="BL469" s="707"/>
      <c r="BM469" s="707"/>
      <c r="BN469" s="707"/>
      <c r="BO469" s="707"/>
      <c r="BP469" s="707"/>
      <c r="BQ469" s="707"/>
      <c r="BR469" s="707"/>
      <c r="BS469" s="707"/>
      <c r="BT469" s="707"/>
      <c r="BU469" s="707"/>
      <c r="BV469" s="707"/>
      <c r="BW469" s="707"/>
      <c r="BX469" s="707"/>
      <c r="BY469" s="707"/>
      <c r="BZ469" s="707"/>
      <c r="CA469" s="707"/>
      <c r="CB469" s="707"/>
      <c r="CC469" s="707"/>
      <c r="CD469" s="707"/>
      <c r="CE469" s="707"/>
      <c r="CF469" s="707"/>
      <c r="CG469" s="707"/>
      <c r="CH469" s="707"/>
      <c r="CI469" s="707"/>
      <c r="CJ469" s="707"/>
      <c r="CK469" s="707"/>
      <c r="CL469" s="707"/>
      <c r="CM469" s="707"/>
      <c r="CN469" s="707"/>
      <c r="CO469" s="707"/>
      <c r="CP469" s="707"/>
      <c r="CQ469" s="707"/>
      <c r="CR469" s="707"/>
      <c r="CS469" s="707"/>
      <c r="CT469" s="707"/>
      <c r="CU469" s="707"/>
      <c r="CV469" s="707"/>
      <c r="CW469" s="707"/>
      <c r="CX469" s="707"/>
      <c r="CY469" s="707"/>
      <c r="CZ469" s="707"/>
      <c r="DA469" s="707"/>
      <c r="DB469" s="707"/>
      <c r="DC469" s="707"/>
      <c r="DD469" s="707"/>
      <c r="DE469" s="707"/>
      <c r="DF469" s="707"/>
      <c r="DG469" s="707"/>
      <c r="DH469" s="707"/>
      <c r="DI469" s="707"/>
      <c r="DJ469" s="707"/>
      <c r="DK469" s="707"/>
      <c r="DL469" s="707"/>
      <c r="DM469" s="707"/>
      <c r="DN469" s="707"/>
      <c r="DO469" s="707"/>
      <c r="DP469" s="707"/>
      <c r="DQ469" s="707"/>
      <c r="DR469" s="707"/>
      <c r="DS469" s="707"/>
      <c r="DT469" s="707"/>
      <c r="DU469" s="707"/>
      <c r="DV469" s="707"/>
      <c r="DW469" s="707"/>
      <c r="DX469" s="707"/>
      <c r="DY469" s="707"/>
      <c r="DZ469" s="707"/>
      <c r="EA469" s="707"/>
      <c r="EB469" s="707"/>
      <c r="EC469" s="707"/>
      <c r="ED469" s="707"/>
      <c r="EE469" s="707"/>
      <c r="EF469" s="707"/>
      <c r="EG469" s="707"/>
      <c r="EH469" s="707"/>
      <c r="EI469" s="707"/>
      <c r="EJ469" s="707"/>
      <c r="EK469" s="707"/>
      <c r="EL469" s="707"/>
      <c r="EM469" s="707"/>
      <c r="EN469" s="707"/>
      <c r="EO469" s="707"/>
      <c r="EP469" s="707"/>
      <c r="EQ469" s="707"/>
      <c r="ER469" s="707"/>
      <c r="ES469" s="707"/>
      <c r="ET469" s="707"/>
      <c r="EU469" s="707"/>
      <c r="EV469" s="707"/>
      <c r="EW469" s="707"/>
      <c r="EX469" s="707"/>
      <c r="EY469" s="707"/>
      <c r="EZ469" s="707"/>
      <c r="FA469" s="707"/>
      <c r="FB469" s="707"/>
      <c r="FC469" s="707"/>
      <c r="FD469" s="707"/>
      <c r="FE469" s="707"/>
      <c r="FF469" s="707"/>
      <c r="FG469" s="707"/>
      <c r="FH469" s="707"/>
      <c r="FI469" s="707"/>
      <c r="FJ469" s="707"/>
      <c r="FK469" s="707"/>
      <c r="FL469" s="707"/>
      <c r="FM469" s="707"/>
      <c r="FN469" s="707"/>
      <c r="FO469" s="707"/>
      <c r="FP469" s="707"/>
      <c r="FQ469" s="707"/>
      <c r="FR469" s="707"/>
      <c r="FS469" s="707"/>
      <c r="FT469" s="707"/>
      <c r="FU469" s="707"/>
      <c r="FV469" s="707"/>
      <c r="FW469" s="707"/>
      <c r="FX469" s="707"/>
      <c r="FY469" s="707"/>
      <c r="FZ469" s="707"/>
      <c r="GA469" s="707"/>
      <c r="GB469" s="707"/>
      <c r="GC469" s="707"/>
      <c r="GD469" s="707"/>
      <c r="GE469" s="707"/>
      <c r="GF469" s="707"/>
      <c r="GG469" s="707"/>
      <c r="GH469" s="707"/>
      <c r="GI469" s="707"/>
      <c r="GJ469" s="707"/>
      <c r="GK469" s="707"/>
      <c r="GL469" s="707"/>
      <c r="GM469" s="707"/>
      <c r="GN469" s="707"/>
      <c r="GO469" s="707"/>
      <c r="GP469" s="707"/>
      <c r="GQ469" s="707"/>
      <c r="GR469" s="707"/>
      <c r="GS469" s="707"/>
      <c r="GT469" s="707"/>
      <c r="GU469" s="707"/>
      <c r="GV469" s="707"/>
      <c r="GW469" s="707"/>
      <c r="GX469" s="707"/>
      <c r="GY469" s="707"/>
      <c r="GZ469" s="707"/>
      <c r="HA469" s="707"/>
      <c r="HB469" s="707"/>
      <c r="HC469" s="707"/>
      <c r="HD469" s="707"/>
      <c r="HE469" s="707"/>
      <c r="HF469" s="707"/>
      <c r="HG469" s="707"/>
      <c r="HH469" s="707"/>
      <c r="HI469" s="707"/>
      <c r="HJ469" s="707"/>
      <c r="HK469" s="707"/>
      <c r="HL469" s="707"/>
      <c r="HM469" s="707"/>
      <c r="HN469" s="707"/>
      <c r="HO469" s="707"/>
      <c r="HP469" s="707"/>
      <c r="HQ469" s="707"/>
      <c r="HR469" s="707"/>
      <c r="HS469" s="707"/>
      <c r="HT469" s="707"/>
      <c r="HU469" s="707"/>
      <c r="HV469" s="707"/>
      <c r="HW469" s="707"/>
      <c r="HX469" s="707"/>
      <c r="HY469" s="707"/>
      <c r="HZ469" s="707"/>
      <c r="IA469" s="707"/>
      <c r="IB469" s="707"/>
      <c r="IC469" s="707"/>
      <c r="ID469" s="707"/>
      <c r="IE469" s="707"/>
      <c r="IF469" s="707"/>
      <c r="IG469" s="707"/>
      <c r="IH469" s="707"/>
      <c r="II469" s="707"/>
      <c r="IJ469" s="707"/>
      <c r="IK469" s="707"/>
      <c r="IL469" s="707"/>
      <c r="IM469" s="707"/>
      <c r="IN469" s="707"/>
      <c r="IO469" s="707"/>
      <c r="IP469" s="707"/>
      <c r="IQ469" s="707"/>
      <c r="IR469" s="707"/>
      <c r="IS469" s="707"/>
      <c r="IT469" s="707"/>
      <c r="IU469" s="707"/>
      <c r="IV469" s="707"/>
      <c r="IW469" s="707"/>
    </row>
    <row r="470" customFormat="false" ht="12.75" hidden="false" customHeight="false" outlineLevel="1" collapsed="false">
      <c r="A470" s="712"/>
      <c r="B470" s="708"/>
      <c r="C470" s="708"/>
      <c r="D470" s="708"/>
      <c r="E470" s="708"/>
      <c r="F470" s="708"/>
      <c r="G470" s="708"/>
      <c r="H470" s="708"/>
      <c r="I470" s="708"/>
      <c r="J470" s="708"/>
      <c r="K470" s="708"/>
      <c r="L470" s="708"/>
      <c r="M470" s="708"/>
      <c r="N470" s="708"/>
      <c r="O470" s="708"/>
      <c r="P470" s="708"/>
      <c r="Q470" s="708"/>
      <c r="R470" s="708"/>
      <c r="S470" s="708"/>
      <c r="T470" s="708"/>
      <c r="U470" s="708"/>
      <c r="V470" s="708"/>
      <c r="W470" s="708"/>
      <c r="X470" s="708"/>
      <c r="Y470" s="708"/>
      <c r="Z470" s="708"/>
      <c r="AA470" s="707"/>
      <c r="AB470" s="707"/>
      <c r="AC470" s="707"/>
      <c r="AD470" s="707"/>
      <c r="AE470" s="707"/>
      <c r="AF470" s="707"/>
      <c r="AG470" s="707"/>
      <c r="AH470" s="707"/>
      <c r="AI470" s="707"/>
      <c r="AJ470" s="707"/>
      <c r="AK470" s="707"/>
      <c r="AL470" s="707"/>
      <c r="AM470" s="707"/>
      <c r="AN470" s="707"/>
      <c r="AO470" s="707"/>
      <c r="AP470" s="707"/>
      <c r="AQ470" s="707"/>
      <c r="AR470" s="707"/>
      <c r="AS470" s="707"/>
      <c r="AT470" s="707"/>
      <c r="AU470" s="707"/>
      <c r="AV470" s="707"/>
      <c r="AW470" s="707"/>
      <c r="AX470" s="707"/>
      <c r="AY470" s="707"/>
      <c r="AZ470" s="707"/>
      <c r="BA470" s="707"/>
      <c r="BB470" s="707"/>
      <c r="BC470" s="707"/>
      <c r="BD470" s="707"/>
      <c r="BE470" s="707"/>
      <c r="BF470" s="707"/>
      <c r="BG470" s="707"/>
      <c r="BH470" s="707"/>
      <c r="BI470" s="707"/>
      <c r="BJ470" s="707"/>
      <c r="BK470" s="707"/>
      <c r="BL470" s="707"/>
      <c r="BM470" s="707"/>
      <c r="BN470" s="707"/>
      <c r="BO470" s="707"/>
      <c r="BP470" s="707"/>
      <c r="BQ470" s="707"/>
      <c r="BR470" s="707"/>
      <c r="BS470" s="707"/>
      <c r="BT470" s="707"/>
      <c r="BU470" s="707"/>
      <c r="BV470" s="707"/>
      <c r="BW470" s="707"/>
      <c r="BX470" s="707"/>
      <c r="BY470" s="707"/>
      <c r="BZ470" s="707"/>
      <c r="CA470" s="707"/>
      <c r="CB470" s="707"/>
      <c r="CC470" s="707"/>
      <c r="CD470" s="707"/>
      <c r="CE470" s="707"/>
      <c r="CF470" s="707"/>
      <c r="CG470" s="707"/>
      <c r="CH470" s="707"/>
      <c r="CI470" s="707"/>
      <c r="CJ470" s="707"/>
      <c r="CK470" s="707"/>
      <c r="CL470" s="707"/>
      <c r="CM470" s="707"/>
      <c r="CN470" s="707"/>
      <c r="CO470" s="707"/>
      <c r="CP470" s="707"/>
      <c r="CQ470" s="707"/>
      <c r="CR470" s="707"/>
      <c r="CS470" s="707"/>
      <c r="CT470" s="707"/>
      <c r="CU470" s="707"/>
      <c r="CV470" s="707"/>
      <c r="CW470" s="707"/>
      <c r="CX470" s="707"/>
      <c r="CY470" s="707"/>
      <c r="CZ470" s="707"/>
      <c r="DA470" s="707"/>
      <c r="DB470" s="707"/>
      <c r="DC470" s="707"/>
      <c r="DD470" s="707"/>
      <c r="DE470" s="707"/>
      <c r="DF470" s="707"/>
      <c r="DG470" s="707"/>
      <c r="DH470" s="707"/>
      <c r="DI470" s="707"/>
      <c r="DJ470" s="707"/>
      <c r="DK470" s="707"/>
      <c r="DL470" s="707"/>
      <c r="DM470" s="707"/>
      <c r="DN470" s="707"/>
      <c r="DO470" s="707"/>
      <c r="DP470" s="707"/>
      <c r="DQ470" s="707"/>
      <c r="DR470" s="707"/>
      <c r="DS470" s="707"/>
      <c r="DT470" s="707"/>
      <c r="DU470" s="707"/>
      <c r="DV470" s="707"/>
      <c r="DW470" s="707"/>
      <c r="DX470" s="707"/>
      <c r="DY470" s="707"/>
      <c r="DZ470" s="707"/>
      <c r="EA470" s="707"/>
      <c r="EB470" s="707"/>
      <c r="EC470" s="707"/>
      <c r="ED470" s="707"/>
      <c r="EE470" s="707"/>
      <c r="EF470" s="707"/>
      <c r="EG470" s="707"/>
      <c r="EH470" s="707"/>
      <c r="EI470" s="707"/>
      <c r="EJ470" s="707"/>
      <c r="EK470" s="707"/>
      <c r="EL470" s="707"/>
      <c r="EM470" s="707"/>
      <c r="EN470" s="707"/>
      <c r="EO470" s="707"/>
      <c r="EP470" s="707"/>
      <c r="EQ470" s="707"/>
      <c r="ER470" s="707"/>
      <c r="ES470" s="707"/>
      <c r="ET470" s="707"/>
      <c r="EU470" s="707"/>
      <c r="EV470" s="707"/>
      <c r="EW470" s="707"/>
      <c r="EX470" s="707"/>
      <c r="EY470" s="707"/>
      <c r="EZ470" s="707"/>
      <c r="FA470" s="707"/>
      <c r="FB470" s="707"/>
      <c r="FC470" s="707"/>
      <c r="FD470" s="707"/>
      <c r="FE470" s="707"/>
      <c r="FF470" s="707"/>
      <c r="FG470" s="707"/>
      <c r="FH470" s="707"/>
      <c r="FI470" s="707"/>
      <c r="FJ470" s="707"/>
      <c r="FK470" s="707"/>
      <c r="FL470" s="707"/>
      <c r="FM470" s="707"/>
      <c r="FN470" s="707"/>
      <c r="FO470" s="707"/>
      <c r="FP470" s="707"/>
      <c r="FQ470" s="707"/>
      <c r="FR470" s="707"/>
      <c r="FS470" s="707"/>
      <c r="FT470" s="707"/>
      <c r="FU470" s="707"/>
      <c r="FV470" s="707"/>
      <c r="FW470" s="707"/>
      <c r="FX470" s="707"/>
      <c r="FY470" s="707"/>
      <c r="FZ470" s="707"/>
      <c r="GA470" s="707"/>
      <c r="GB470" s="707"/>
      <c r="GC470" s="707"/>
      <c r="GD470" s="707"/>
      <c r="GE470" s="707"/>
      <c r="GF470" s="707"/>
      <c r="GG470" s="707"/>
      <c r="GH470" s="707"/>
      <c r="GI470" s="707"/>
      <c r="GJ470" s="707"/>
      <c r="GK470" s="707"/>
      <c r="GL470" s="707"/>
      <c r="GM470" s="707"/>
      <c r="GN470" s="707"/>
      <c r="GO470" s="707"/>
      <c r="GP470" s="707"/>
      <c r="GQ470" s="707"/>
      <c r="GR470" s="707"/>
      <c r="GS470" s="707"/>
      <c r="GT470" s="707"/>
      <c r="GU470" s="707"/>
      <c r="GV470" s="707"/>
      <c r="GW470" s="707"/>
      <c r="GX470" s="707"/>
      <c r="GY470" s="707"/>
      <c r="GZ470" s="707"/>
      <c r="HA470" s="707"/>
      <c r="HB470" s="707"/>
      <c r="HC470" s="707"/>
      <c r="HD470" s="707"/>
      <c r="HE470" s="707"/>
      <c r="HF470" s="707"/>
      <c r="HG470" s="707"/>
      <c r="HH470" s="707"/>
      <c r="HI470" s="707"/>
      <c r="HJ470" s="707"/>
      <c r="HK470" s="707"/>
      <c r="HL470" s="707"/>
      <c r="HM470" s="707"/>
      <c r="HN470" s="707"/>
      <c r="HO470" s="707"/>
      <c r="HP470" s="707"/>
      <c r="HQ470" s="707"/>
      <c r="HR470" s="707"/>
      <c r="HS470" s="707"/>
      <c r="HT470" s="707"/>
      <c r="HU470" s="707"/>
      <c r="HV470" s="707"/>
      <c r="HW470" s="707"/>
      <c r="HX470" s="707"/>
      <c r="HY470" s="707"/>
      <c r="HZ470" s="707"/>
      <c r="IA470" s="707"/>
      <c r="IB470" s="707"/>
      <c r="IC470" s="707"/>
      <c r="ID470" s="707"/>
      <c r="IE470" s="707"/>
      <c r="IF470" s="707"/>
      <c r="IG470" s="707"/>
      <c r="IH470" s="707"/>
      <c r="II470" s="707"/>
      <c r="IJ470" s="707"/>
      <c r="IK470" s="707"/>
      <c r="IL470" s="707"/>
      <c r="IM470" s="707"/>
      <c r="IN470" s="707"/>
      <c r="IO470" s="707"/>
      <c r="IP470" s="707"/>
      <c r="IQ470" s="707"/>
      <c r="IR470" s="707"/>
      <c r="IS470" s="707"/>
      <c r="IT470" s="707"/>
      <c r="IU470" s="707"/>
      <c r="IV470" s="707"/>
      <c r="IW470" s="707"/>
    </row>
    <row r="471" customFormat="false" ht="12.75" hidden="false" customHeight="false" outlineLevel="1" collapsed="false">
      <c r="A471" s="388"/>
      <c r="B471" s="706"/>
      <c r="C471" s="706"/>
      <c r="D471" s="706"/>
      <c r="E471" s="706"/>
      <c r="F471" s="706"/>
      <c r="G471" s="706"/>
      <c r="H471" s="713"/>
      <c r="I471" s="713"/>
      <c r="J471" s="713"/>
      <c r="K471" s="713"/>
      <c r="L471" s="713"/>
      <c r="M471" s="713"/>
      <c r="N471" s="713"/>
      <c r="O471" s="713"/>
      <c r="P471" s="713"/>
      <c r="Q471" s="713"/>
      <c r="R471" s="713"/>
      <c r="S471" s="713"/>
      <c r="T471" s="713"/>
      <c r="U471" s="713"/>
      <c r="V471" s="713"/>
      <c r="W471" s="713"/>
      <c r="X471" s="713"/>
      <c r="Y471" s="713"/>
      <c r="Z471" s="713"/>
      <c r="AA471" s="707"/>
      <c r="AB471" s="707"/>
      <c r="AC471" s="707"/>
      <c r="AD471" s="707"/>
      <c r="AE471" s="707"/>
      <c r="AF471" s="707"/>
      <c r="AG471" s="707"/>
      <c r="AH471" s="707"/>
      <c r="AI471" s="707"/>
      <c r="AJ471" s="707"/>
      <c r="AK471" s="707"/>
      <c r="AL471" s="707"/>
      <c r="AM471" s="707"/>
      <c r="AN471" s="707"/>
      <c r="AO471" s="707"/>
      <c r="AP471" s="707"/>
      <c r="AQ471" s="707"/>
      <c r="AR471" s="707"/>
      <c r="AS471" s="707"/>
      <c r="AT471" s="707"/>
      <c r="AU471" s="707"/>
      <c r="AV471" s="707"/>
      <c r="AW471" s="707"/>
      <c r="AX471" s="707"/>
      <c r="AY471" s="707"/>
      <c r="AZ471" s="707"/>
      <c r="BA471" s="707"/>
      <c r="BB471" s="707"/>
      <c r="BC471" s="707"/>
      <c r="BD471" s="707"/>
      <c r="BE471" s="707"/>
      <c r="BF471" s="707"/>
      <c r="BG471" s="707"/>
      <c r="BH471" s="707"/>
      <c r="BI471" s="707"/>
      <c r="BJ471" s="707"/>
      <c r="BK471" s="707"/>
      <c r="BL471" s="707"/>
      <c r="BM471" s="707"/>
      <c r="BN471" s="707"/>
      <c r="BO471" s="707"/>
      <c r="BP471" s="707"/>
      <c r="BQ471" s="707"/>
      <c r="BR471" s="707"/>
      <c r="BS471" s="707"/>
      <c r="BT471" s="707"/>
      <c r="BU471" s="707"/>
      <c r="BV471" s="707"/>
      <c r="BW471" s="707"/>
      <c r="BX471" s="707"/>
      <c r="BY471" s="707"/>
      <c r="BZ471" s="707"/>
      <c r="CA471" s="707"/>
      <c r="CB471" s="707"/>
      <c r="CC471" s="707"/>
      <c r="CD471" s="707"/>
      <c r="CE471" s="707"/>
      <c r="CF471" s="707"/>
      <c r="CG471" s="707"/>
      <c r="CH471" s="707"/>
      <c r="CI471" s="707"/>
      <c r="CJ471" s="707"/>
      <c r="CK471" s="707"/>
      <c r="CL471" s="707"/>
      <c r="CM471" s="707"/>
      <c r="CN471" s="707"/>
      <c r="CO471" s="707"/>
      <c r="CP471" s="707"/>
      <c r="CQ471" s="707"/>
      <c r="CR471" s="707"/>
      <c r="CS471" s="707"/>
      <c r="CT471" s="707"/>
      <c r="CU471" s="707"/>
      <c r="CV471" s="707"/>
      <c r="CW471" s="707"/>
      <c r="CX471" s="707"/>
      <c r="CY471" s="707"/>
      <c r="CZ471" s="707"/>
      <c r="DA471" s="707"/>
      <c r="DB471" s="707"/>
      <c r="DC471" s="707"/>
      <c r="DD471" s="707"/>
      <c r="DE471" s="707"/>
      <c r="DF471" s="707"/>
      <c r="DG471" s="707"/>
      <c r="DH471" s="707"/>
      <c r="DI471" s="707"/>
      <c r="DJ471" s="707"/>
      <c r="DK471" s="707"/>
      <c r="DL471" s="707"/>
      <c r="DM471" s="707"/>
      <c r="DN471" s="707"/>
      <c r="DO471" s="707"/>
      <c r="DP471" s="707"/>
      <c r="DQ471" s="707"/>
      <c r="DR471" s="707"/>
      <c r="DS471" s="707"/>
      <c r="DT471" s="707"/>
      <c r="DU471" s="707"/>
      <c r="DV471" s="707"/>
      <c r="DW471" s="707"/>
      <c r="DX471" s="707"/>
      <c r="DY471" s="707"/>
      <c r="DZ471" s="707"/>
      <c r="EA471" s="707"/>
      <c r="EB471" s="707"/>
      <c r="EC471" s="707"/>
      <c r="ED471" s="707"/>
      <c r="EE471" s="707"/>
      <c r="EF471" s="707"/>
      <c r="EG471" s="707"/>
      <c r="EH471" s="707"/>
      <c r="EI471" s="707"/>
      <c r="EJ471" s="707"/>
      <c r="EK471" s="707"/>
      <c r="EL471" s="707"/>
      <c r="EM471" s="707"/>
      <c r="EN471" s="707"/>
      <c r="EO471" s="707"/>
      <c r="EP471" s="707"/>
      <c r="EQ471" s="707"/>
      <c r="ER471" s="707"/>
      <c r="ES471" s="707"/>
      <c r="ET471" s="707"/>
      <c r="EU471" s="707"/>
      <c r="EV471" s="707"/>
      <c r="EW471" s="707"/>
      <c r="EX471" s="707"/>
      <c r="EY471" s="707"/>
      <c r="EZ471" s="707"/>
      <c r="FA471" s="707"/>
      <c r="FB471" s="707"/>
      <c r="FC471" s="707"/>
      <c r="FD471" s="707"/>
      <c r="FE471" s="707"/>
      <c r="FF471" s="707"/>
      <c r="FG471" s="707"/>
      <c r="FH471" s="707"/>
      <c r="FI471" s="707"/>
      <c r="FJ471" s="707"/>
      <c r="FK471" s="707"/>
      <c r="FL471" s="707"/>
      <c r="FM471" s="707"/>
      <c r="FN471" s="707"/>
      <c r="FO471" s="707"/>
      <c r="FP471" s="707"/>
      <c r="FQ471" s="707"/>
      <c r="FR471" s="707"/>
      <c r="FS471" s="707"/>
      <c r="FT471" s="707"/>
      <c r="FU471" s="707"/>
      <c r="FV471" s="707"/>
      <c r="FW471" s="707"/>
      <c r="FX471" s="707"/>
      <c r="FY471" s="707"/>
      <c r="FZ471" s="707"/>
      <c r="GA471" s="707"/>
      <c r="GB471" s="707"/>
      <c r="GC471" s="707"/>
      <c r="GD471" s="707"/>
      <c r="GE471" s="707"/>
      <c r="GF471" s="707"/>
      <c r="GG471" s="707"/>
      <c r="GH471" s="707"/>
      <c r="GI471" s="707"/>
      <c r="GJ471" s="707"/>
      <c r="GK471" s="707"/>
      <c r="GL471" s="707"/>
      <c r="GM471" s="707"/>
      <c r="GN471" s="707"/>
      <c r="GO471" s="707"/>
      <c r="GP471" s="707"/>
      <c r="GQ471" s="707"/>
      <c r="GR471" s="707"/>
      <c r="GS471" s="707"/>
      <c r="GT471" s="707"/>
      <c r="GU471" s="707"/>
      <c r="GV471" s="707"/>
      <c r="GW471" s="707"/>
      <c r="GX471" s="707"/>
      <c r="GY471" s="707"/>
      <c r="GZ471" s="707"/>
      <c r="HA471" s="707"/>
      <c r="HB471" s="707"/>
      <c r="HC471" s="707"/>
      <c r="HD471" s="707"/>
      <c r="HE471" s="707"/>
      <c r="HF471" s="707"/>
      <c r="HG471" s="707"/>
      <c r="HH471" s="707"/>
      <c r="HI471" s="707"/>
      <c r="HJ471" s="707"/>
      <c r="HK471" s="707"/>
      <c r="HL471" s="707"/>
      <c r="HM471" s="707"/>
      <c r="HN471" s="707"/>
      <c r="HO471" s="707"/>
      <c r="HP471" s="707"/>
      <c r="HQ471" s="707"/>
      <c r="HR471" s="707"/>
      <c r="HS471" s="707"/>
      <c r="HT471" s="707"/>
      <c r="HU471" s="707"/>
      <c r="HV471" s="707"/>
      <c r="HW471" s="707"/>
      <c r="HX471" s="707"/>
      <c r="HY471" s="707"/>
      <c r="HZ471" s="707"/>
      <c r="IA471" s="707"/>
      <c r="IB471" s="707"/>
      <c r="IC471" s="707"/>
      <c r="ID471" s="707"/>
      <c r="IE471" s="707"/>
      <c r="IF471" s="707"/>
      <c r="IG471" s="707"/>
      <c r="IH471" s="707"/>
      <c r="II471" s="707"/>
      <c r="IJ471" s="707"/>
      <c r="IK471" s="707"/>
      <c r="IL471" s="707"/>
      <c r="IM471" s="707"/>
      <c r="IN471" s="707"/>
      <c r="IO471" s="707"/>
      <c r="IP471" s="707"/>
      <c r="IQ471" s="707"/>
      <c r="IR471" s="707"/>
      <c r="IS471" s="707"/>
      <c r="IT471" s="707"/>
      <c r="IU471" s="707"/>
      <c r="IV471" s="707"/>
      <c r="IW471" s="707"/>
    </row>
    <row r="472" customFormat="false" ht="12.75" hidden="false" customHeight="false" outlineLevel="1" collapsed="false">
      <c r="A472" s="367"/>
      <c r="B472" s="706"/>
      <c r="C472" s="706"/>
      <c r="D472" s="706"/>
      <c r="E472" s="713"/>
      <c r="F472" s="713"/>
      <c r="G472" s="713"/>
      <c r="H472" s="713"/>
      <c r="I472" s="713"/>
      <c r="J472" s="713"/>
      <c r="K472" s="713"/>
      <c r="L472" s="713"/>
      <c r="M472" s="713"/>
      <c r="N472" s="713"/>
      <c r="O472" s="713"/>
      <c r="P472" s="713"/>
      <c r="Q472" s="713"/>
      <c r="R472" s="713"/>
      <c r="S472" s="713"/>
      <c r="T472" s="713"/>
      <c r="U472" s="713"/>
      <c r="V472" s="713"/>
      <c r="W472" s="713"/>
      <c r="X472" s="713"/>
      <c r="Y472" s="713"/>
      <c r="Z472" s="713"/>
      <c r="AA472" s="707"/>
      <c r="AB472" s="707"/>
      <c r="AC472" s="707"/>
      <c r="AD472" s="707"/>
      <c r="AE472" s="707"/>
      <c r="AF472" s="707"/>
      <c r="AG472" s="707"/>
      <c r="AH472" s="707"/>
      <c r="AI472" s="707"/>
      <c r="AJ472" s="707"/>
      <c r="AK472" s="707"/>
      <c r="AL472" s="707"/>
      <c r="AM472" s="707"/>
      <c r="AN472" s="707"/>
      <c r="AO472" s="707"/>
      <c r="AP472" s="707"/>
      <c r="AQ472" s="707"/>
      <c r="AR472" s="707"/>
      <c r="AS472" s="707"/>
      <c r="AT472" s="707"/>
      <c r="AU472" s="707"/>
      <c r="AV472" s="707"/>
      <c r="AW472" s="707"/>
      <c r="AX472" s="707"/>
      <c r="AY472" s="707"/>
      <c r="AZ472" s="707"/>
      <c r="BA472" s="707"/>
      <c r="BB472" s="707"/>
      <c r="BC472" s="707"/>
      <c r="BD472" s="707"/>
      <c r="BE472" s="707"/>
      <c r="BF472" s="707"/>
      <c r="BG472" s="707"/>
      <c r="BH472" s="707"/>
      <c r="BI472" s="707"/>
      <c r="BJ472" s="707"/>
      <c r="BK472" s="707"/>
      <c r="BL472" s="707"/>
      <c r="BM472" s="707"/>
      <c r="BN472" s="707"/>
      <c r="BO472" s="707"/>
      <c r="BP472" s="707"/>
      <c r="BQ472" s="707"/>
      <c r="BR472" s="707"/>
      <c r="BS472" s="707"/>
      <c r="BT472" s="707"/>
      <c r="BU472" s="707"/>
      <c r="BV472" s="707"/>
      <c r="BW472" s="707"/>
      <c r="BX472" s="707"/>
      <c r="BY472" s="707"/>
      <c r="BZ472" s="707"/>
      <c r="CA472" s="707"/>
      <c r="CB472" s="707"/>
      <c r="CC472" s="707"/>
      <c r="CD472" s="707"/>
      <c r="CE472" s="707"/>
      <c r="CF472" s="707"/>
      <c r="CG472" s="707"/>
      <c r="CH472" s="707"/>
      <c r="CI472" s="707"/>
      <c r="CJ472" s="707"/>
      <c r="CK472" s="707"/>
      <c r="CL472" s="707"/>
      <c r="CM472" s="707"/>
      <c r="CN472" s="707"/>
      <c r="CO472" s="707"/>
      <c r="CP472" s="707"/>
      <c r="CQ472" s="707"/>
      <c r="CR472" s="707"/>
      <c r="CS472" s="707"/>
      <c r="CT472" s="707"/>
      <c r="CU472" s="707"/>
      <c r="CV472" s="707"/>
      <c r="CW472" s="707"/>
      <c r="CX472" s="707"/>
      <c r="CY472" s="707"/>
      <c r="CZ472" s="707"/>
      <c r="DA472" s="707"/>
      <c r="DB472" s="707"/>
      <c r="DC472" s="707"/>
      <c r="DD472" s="707"/>
      <c r="DE472" s="707"/>
      <c r="DF472" s="707"/>
      <c r="DG472" s="707"/>
      <c r="DH472" s="707"/>
      <c r="DI472" s="707"/>
      <c r="DJ472" s="707"/>
      <c r="DK472" s="707"/>
      <c r="DL472" s="707"/>
      <c r="DM472" s="707"/>
      <c r="DN472" s="707"/>
      <c r="DO472" s="707"/>
      <c r="DP472" s="707"/>
      <c r="DQ472" s="707"/>
      <c r="DR472" s="707"/>
      <c r="DS472" s="707"/>
      <c r="DT472" s="707"/>
      <c r="DU472" s="707"/>
      <c r="DV472" s="707"/>
      <c r="DW472" s="707"/>
      <c r="DX472" s="707"/>
      <c r="DY472" s="707"/>
      <c r="DZ472" s="707"/>
      <c r="EA472" s="707"/>
      <c r="EB472" s="707"/>
      <c r="EC472" s="707"/>
      <c r="ED472" s="707"/>
      <c r="EE472" s="707"/>
      <c r="EF472" s="707"/>
      <c r="EG472" s="707"/>
      <c r="EH472" s="707"/>
      <c r="EI472" s="707"/>
      <c r="EJ472" s="707"/>
      <c r="EK472" s="707"/>
      <c r="EL472" s="707"/>
      <c r="EM472" s="707"/>
      <c r="EN472" s="707"/>
      <c r="EO472" s="707"/>
      <c r="EP472" s="707"/>
      <c r="EQ472" s="707"/>
      <c r="ER472" s="707"/>
      <c r="ES472" s="707"/>
      <c r="ET472" s="707"/>
      <c r="EU472" s="707"/>
      <c r="EV472" s="707"/>
      <c r="EW472" s="707"/>
      <c r="EX472" s="707"/>
      <c r="EY472" s="707"/>
      <c r="EZ472" s="707"/>
      <c r="FA472" s="707"/>
      <c r="FB472" s="707"/>
      <c r="FC472" s="707"/>
      <c r="FD472" s="707"/>
      <c r="FE472" s="707"/>
      <c r="FF472" s="707"/>
      <c r="FG472" s="707"/>
      <c r="FH472" s="707"/>
      <c r="FI472" s="707"/>
      <c r="FJ472" s="707"/>
      <c r="FK472" s="707"/>
      <c r="FL472" s="707"/>
      <c r="FM472" s="707"/>
      <c r="FN472" s="707"/>
      <c r="FO472" s="707"/>
      <c r="FP472" s="707"/>
      <c r="FQ472" s="707"/>
      <c r="FR472" s="707"/>
      <c r="FS472" s="707"/>
      <c r="FT472" s="707"/>
      <c r="FU472" s="707"/>
      <c r="FV472" s="707"/>
      <c r="FW472" s="707"/>
      <c r="FX472" s="707"/>
      <c r="FY472" s="707"/>
      <c r="FZ472" s="707"/>
      <c r="GA472" s="707"/>
      <c r="GB472" s="707"/>
      <c r="GC472" s="707"/>
      <c r="GD472" s="707"/>
      <c r="GE472" s="707"/>
      <c r="GF472" s="707"/>
      <c r="GG472" s="707"/>
      <c r="GH472" s="707"/>
      <c r="GI472" s="707"/>
      <c r="GJ472" s="707"/>
      <c r="GK472" s="707"/>
      <c r="GL472" s="707"/>
      <c r="GM472" s="707"/>
      <c r="GN472" s="707"/>
      <c r="GO472" s="707"/>
      <c r="GP472" s="707"/>
      <c r="GQ472" s="707"/>
      <c r="GR472" s="707"/>
      <c r="GS472" s="707"/>
      <c r="GT472" s="707"/>
      <c r="GU472" s="707"/>
      <c r="GV472" s="707"/>
      <c r="GW472" s="707"/>
      <c r="GX472" s="707"/>
      <c r="GY472" s="707"/>
      <c r="GZ472" s="707"/>
      <c r="HA472" s="707"/>
      <c r="HB472" s="707"/>
      <c r="HC472" s="707"/>
      <c r="HD472" s="707"/>
      <c r="HE472" s="707"/>
      <c r="HF472" s="707"/>
      <c r="HG472" s="707"/>
      <c r="HH472" s="707"/>
      <c r="HI472" s="707"/>
      <c r="HJ472" s="707"/>
      <c r="HK472" s="707"/>
      <c r="HL472" s="707"/>
      <c r="HM472" s="707"/>
      <c r="HN472" s="707"/>
      <c r="HO472" s="707"/>
      <c r="HP472" s="707"/>
      <c r="HQ472" s="707"/>
      <c r="HR472" s="707"/>
      <c r="HS472" s="707"/>
      <c r="HT472" s="707"/>
      <c r="HU472" s="707"/>
      <c r="HV472" s="707"/>
      <c r="HW472" s="707"/>
      <c r="HX472" s="707"/>
      <c r="HY472" s="707"/>
      <c r="HZ472" s="707"/>
      <c r="IA472" s="707"/>
      <c r="IB472" s="707"/>
      <c r="IC472" s="707"/>
      <c r="ID472" s="707"/>
      <c r="IE472" s="707"/>
      <c r="IF472" s="707"/>
      <c r="IG472" s="707"/>
      <c r="IH472" s="707"/>
      <c r="II472" s="707"/>
      <c r="IJ472" s="707"/>
      <c r="IK472" s="707"/>
      <c r="IL472" s="707"/>
      <c r="IM472" s="707"/>
      <c r="IN472" s="707"/>
      <c r="IO472" s="707"/>
      <c r="IP472" s="707"/>
      <c r="IQ472" s="707"/>
      <c r="IR472" s="707"/>
      <c r="IS472" s="707"/>
      <c r="IT472" s="707"/>
      <c r="IU472" s="707"/>
      <c r="IV472" s="707"/>
      <c r="IW472" s="707"/>
    </row>
    <row r="473" customFormat="false" ht="12.75" hidden="false" customHeight="false" outlineLevel="1" collapsed="false">
      <c r="A473" s="367"/>
      <c r="B473" s="714"/>
      <c r="C473" s="714"/>
      <c r="D473" s="714"/>
      <c r="E473" s="713"/>
      <c r="F473" s="713"/>
      <c r="G473" s="713"/>
      <c r="H473" s="713"/>
      <c r="I473" s="713"/>
      <c r="J473" s="713"/>
      <c r="K473" s="713"/>
      <c r="L473" s="713"/>
      <c r="M473" s="713"/>
      <c r="N473" s="713"/>
      <c r="O473" s="713"/>
      <c r="P473" s="713"/>
      <c r="Q473" s="713"/>
      <c r="R473" s="713"/>
      <c r="S473" s="713"/>
      <c r="T473" s="713"/>
      <c r="U473" s="713"/>
      <c r="V473" s="713"/>
      <c r="W473" s="713"/>
      <c r="X473" s="713"/>
      <c r="Y473" s="713"/>
      <c r="Z473" s="713"/>
      <c r="AA473" s="707"/>
      <c r="AB473" s="707"/>
      <c r="AC473" s="707"/>
      <c r="AD473" s="707"/>
      <c r="AE473" s="707"/>
      <c r="AF473" s="707"/>
      <c r="AG473" s="707"/>
      <c r="AH473" s="707"/>
      <c r="AI473" s="707"/>
      <c r="AJ473" s="707"/>
      <c r="AK473" s="707"/>
      <c r="AL473" s="707"/>
      <c r="AM473" s="707"/>
      <c r="AN473" s="707"/>
      <c r="AO473" s="707"/>
      <c r="AP473" s="707"/>
      <c r="AQ473" s="707"/>
      <c r="AR473" s="707"/>
      <c r="AS473" s="707"/>
      <c r="AT473" s="707"/>
      <c r="AU473" s="707"/>
      <c r="AV473" s="707"/>
      <c r="AW473" s="707"/>
      <c r="AX473" s="707"/>
      <c r="AY473" s="707"/>
      <c r="AZ473" s="707"/>
      <c r="BA473" s="707"/>
      <c r="BB473" s="707"/>
      <c r="BC473" s="707"/>
      <c r="BD473" s="707"/>
      <c r="BE473" s="707"/>
      <c r="BF473" s="707"/>
      <c r="BG473" s="707"/>
      <c r="BH473" s="707"/>
      <c r="BI473" s="707"/>
      <c r="BJ473" s="707"/>
      <c r="BK473" s="707"/>
      <c r="BL473" s="707"/>
      <c r="BM473" s="707"/>
      <c r="BN473" s="707"/>
      <c r="BO473" s="707"/>
      <c r="BP473" s="707"/>
      <c r="BQ473" s="707"/>
      <c r="BR473" s="707"/>
      <c r="BS473" s="707"/>
      <c r="BT473" s="707"/>
      <c r="BU473" s="707"/>
      <c r="BV473" s="707"/>
      <c r="BW473" s="707"/>
      <c r="BX473" s="707"/>
      <c r="BY473" s="707"/>
      <c r="BZ473" s="707"/>
      <c r="CA473" s="707"/>
      <c r="CB473" s="707"/>
      <c r="CC473" s="707"/>
      <c r="CD473" s="707"/>
      <c r="CE473" s="707"/>
      <c r="CF473" s="707"/>
      <c r="CG473" s="707"/>
      <c r="CH473" s="707"/>
      <c r="CI473" s="707"/>
      <c r="CJ473" s="707"/>
      <c r="CK473" s="707"/>
      <c r="CL473" s="707"/>
      <c r="CM473" s="707"/>
      <c r="CN473" s="707"/>
      <c r="CO473" s="707"/>
      <c r="CP473" s="707"/>
      <c r="CQ473" s="707"/>
      <c r="CR473" s="707"/>
      <c r="CS473" s="707"/>
      <c r="CT473" s="707"/>
      <c r="CU473" s="707"/>
      <c r="CV473" s="707"/>
      <c r="CW473" s="707"/>
      <c r="CX473" s="707"/>
      <c r="CY473" s="707"/>
      <c r="CZ473" s="707"/>
      <c r="DA473" s="707"/>
      <c r="DB473" s="707"/>
      <c r="DC473" s="707"/>
      <c r="DD473" s="707"/>
      <c r="DE473" s="707"/>
      <c r="DF473" s="707"/>
      <c r="DG473" s="707"/>
      <c r="DH473" s="707"/>
      <c r="DI473" s="707"/>
      <c r="DJ473" s="707"/>
      <c r="DK473" s="707"/>
      <c r="DL473" s="707"/>
      <c r="DM473" s="707"/>
      <c r="DN473" s="707"/>
      <c r="DO473" s="707"/>
      <c r="DP473" s="707"/>
      <c r="DQ473" s="707"/>
      <c r="DR473" s="707"/>
      <c r="DS473" s="707"/>
      <c r="DT473" s="707"/>
      <c r="DU473" s="707"/>
      <c r="DV473" s="707"/>
      <c r="DW473" s="707"/>
      <c r="DX473" s="707"/>
      <c r="DY473" s="707"/>
      <c r="DZ473" s="707"/>
      <c r="EA473" s="707"/>
      <c r="EB473" s="707"/>
      <c r="EC473" s="707"/>
      <c r="ED473" s="707"/>
      <c r="EE473" s="707"/>
      <c r="EF473" s="707"/>
      <c r="EG473" s="707"/>
      <c r="EH473" s="707"/>
      <c r="EI473" s="707"/>
      <c r="EJ473" s="707"/>
      <c r="EK473" s="707"/>
      <c r="EL473" s="707"/>
      <c r="EM473" s="707"/>
      <c r="EN473" s="707"/>
      <c r="EO473" s="707"/>
      <c r="EP473" s="707"/>
      <c r="EQ473" s="707"/>
      <c r="ER473" s="707"/>
      <c r="ES473" s="707"/>
      <c r="ET473" s="707"/>
      <c r="EU473" s="707"/>
      <c r="EV473" s="707"/>
      <c r="EW473" s="707"/>
      <c r="EX473" s="707"/>
      <c r="EY473" s="707"/>
      <c r="EZ473" s="707"/>
      <c r="FA473" s="707"/>
      <c r="FB473" s="707"/>
      <c r="FC473" s="707"/>
      <c r="FD473" s="707"/>
      <c r="FE473" s="707"/>
      <c r="FF473" s="707"/>
      <c r="FG473" s="707"/>
      <c r="FH473" s="707"/>
      <c r="FI473" s="707"/>
      <c r="FJ473" s="707"/>
      <c r="FK473" s="707"/>
      <c r="FL473" s="707"/>
      <c r="FM473" s="707"/>
      <c r="FN473" s="707"/>
      <c r="FO473" s="707"/>
      <c r="FP473" s="707"/>
      <c r="FQ473" s="707"/>
      <c r="FR473" s="707"/>
      <c r="FS473" s="707"/>
      <c r="FT473" s="707"/>
      <c r="FU473" s="707"/>
      <c r="FV473" s="707"/>
      <c r="FW473" s="707"/>
      <c r="FX473" s="707"/>
      <c r="FY473" s="707"/>
      <c r="FZ473" s="707"/>
      <c r="GA473" s="707"/>
      <c r="GB473" s="707"/>
      <c r="GC473" s="707"/>
      <c r="GD473" s="707"/>
      <c r="GE473" s="707"/>
      <c r="GF473" s="707"/>
      <c r="GG473" s="707"/>
      <c r="GH473" s="707"/>
      <c r="GI473" s="707"/>
      <c r="GJ473" s="707"/>
      <c r="GK473" s="707"/>
      <c r="GL473" s="707"/>
      <c r="GM473" s="707"/>
      <c r="GN473" s="707"/>
      <c r="GO473" s="707"/>
      <c r="GP473" s="707"/>
      <c r="GQ473" s="707"/>
      <c r="GR473" s="707"/>
      <c r="GS473" s="707"/>
      <c r="GT473" s="707"/>
      <c r="GU473" s="707"/>
      <c r="GV473" s="707"/>
      <c r="GW473" s="707"/>
      <c r="GX473" s="707"/>
      <c r="GY473" s="707"/>
      <c r="GZ473" s="707"/>
      <c r="HA473" s="707"/>
      <c r="HB473" s="707"/>
      <c r="HC473" s="707"/>
      <c r="HD473" s="707"/>
      <c r="HE473" s="707"/>
      <c r="HF473" s="707"/>
      <c r="HG473" s="707"/>
      <c r="HH473" s="707"/>
      <c r="HI473" s="707"/>
      <c r="HJ473" s="707"/>
      <c r="HK473" s="707"/>
      <c r="HL473" s="707"/>
      <c r="HM473" s="707"/>
      <c r="HN473" s="707"/>
      <c r="HO473" s="707"/>
      <c r="HP473" s="707"/>
      <c r="HQ473" s="707"/>
      <c r="HR473" s="707"/>
      <c r="HS473" s="707"/>
      <c r="HT473" s="707"/>
      <c r="HU473" s="707"/>
      <c r="HV473" s="707"/>
      <c r="HW473" s="707"/>
      <c r="HX473" s="707"/>
      <c r="HY473" s="707"/>
      <c r="HZ473" s="707"/>
      <c r="IA473" s="707"/>
      <c r="IB473" s="707"/>
      <c r="IC473" s="707"/>
      <c r="ID473" s="707"/>
      <c r="IE473" s="707"/>
      <c r="IF473" s="707"/>
      <c r="IG473" s="707"/>
      <c r="IH473" s="707"/>
      <c r="II473" s="707"/>
      <c r="IJ473" s="707"/>
      <c r="IK473" s="707"/>
      <c r="IL473" s="707"/>
      <c r="IM473" s="707"/>
      <c r="IN473" s="707"/>
      <c r="IO473" s="707"/>
      <c r="IP473" s="707"/>
      <c r="IQ473" s="707"/>
      <c r="IR473" s="707"/>
      <c r="IS473" s="707"/>
      <c r="IT473" s="707"/>
      <c r="IU473" s="707"/>
      <c r="IV473" s="707"/>
      <c r="IW473" s="707"/>
    </row>
    <row r="474" customFormat="false" ht="12.75" hidden="false" customHeight="false" outlineLevel="1" collapsed="false">
      <c r="A474" s="367"/>
      <c r="B474" s="715"/>
      <c r="C474" s="715"/>
      <c r="D474" s="715"/>
      <c r="E474" s="713"/>
      <c r="F474" s="713"/>
      <c r="G474" s="713"/>
      <c r="H474" s="713"/>
      <c r="I474" s="713"/>
      <c r="J474" s="713"/>
      <c r="K474" s="713"/>
      <c r="L474" s="713"/>
      <c r="M474" s="713"/>
      <c r="N474" s="713"/>
      <c r="O474" s="713"/>
      <c r="P474" s="713"/>
      <c r="Q474" s="713"/>
      <c r="R474" s="713"/>
      <c r="S474" s="713"/>
      <c r="T474" s="713"/>
      <c r="U474" s="713"/>
      <c r="V474" s="713"/>
      <c r="W474" s="713"/>
      <c r="X474" s="713"/>
      <c r="Y474" s="713"/>
      <c r="Z474" s="713"/>
      <c r="AA474" s="707"/>
      <c r="AB474" s="707"/>
      <c r="AC474" s="707"/>
      <c r="AD474" s="707"/>
      <c r="AE474" s="707"/>
      <c r="AF474" s="707"/>
      <c r="AG474" s="707"/>
      <c r="AH474" s="707"/>
      <c r="AI474" s="707"/>
      <c r="AJ474" s="707"/>
      <c r="AK474" s="707"/>
      <c r="AL474" s="707"/>
      <c r="AM474" s="707"/>
      <c r="AN474" s="707"/>
      <c r="AO474" s="707"/>
      <c r="AP474" s="707"/>
      <c r="AQ474" s="707"/>
      <c r="AR474" s="707"/>
      <c r="AS474" s="707"/>
      <c r="AT474" s="707"/>
      <c r="AU474" s="707"/>
      <c r="AV474" s="707"/>
      <c r="AW474" s="707"/>
      <c r="AX474" s="707"/>
      <c r="AY474" s="707"/>
      <c r="AZ474" s="707"/>
      <c r="BA474" s="707"/>
      <c r="BB474" s="707"/>
      <c r="BC474" s="707"/>
      <c r="BD474" s="707"/>
      <c r="BE474" s="707"/>
      <c r="BF474" s="707"/>
      <c r="BG474" s="707"/>
      <c r="BH474" s="707"/>
      <c r="BI474" s="707"/>
      <c r="BJ474" s="707"/>
      <c r="BK474" s="707"/>
      <c r="BL474" s="707"/>
      <c r="BM474" s="707"/>
      <c r="BN474" s="707"/>
      <c r="BO474" s="707"/>
      <c r="BP474" s="707"/>
      <c r="BQ474" s="707"/>
      <c r="BR474" s="707"/>
      <c r="BS474" s="707"/>
      <c r="BT474" s="707"/>
      <c r="BU474" s="707"/>
      <c r="BV474" s="707"/>
      <c r="BW474" s="707"/>
      <c r="BX474" s="707"/>
      <c r="BY474" s="707"/>
      <c r="BZ474" s="707"/>
      <c r="CA474" s="707"/>
      <c r="CB474" s="707"/>
      <c r="CC474" s="707"/>
      <c r="CD474" s="707"/>
      <c r="CE474" s="707"/>
      <c r="CF474" s="707"/>
      <c r="CG474" s="707"/>
      <c r="CH474" s="707"/>
      <c r="CI474" s="707"/>
      <c r="CJ474" s="707"/>
      <c r="CK474" s="707"/>
      <c r="CL474" s="707"/>
      <c r="CM474" s="707"/>
      <c r="CN474" s="707"/>
      <c r="CO474" s="707"/>
      <c r="CP474" s="707"/>
      <c r="CQ474" s="707"/>
      <c r="CR474" s="707"/>
      <c r="CS474" s="707"/>
      <c r="CT474" s="707"/>
      <c r="CU474" s="707"/>
      <c r="CV474" s="707"/>
      <c r="CW474" s="707"/>
      <c r="CX474" s="707"/>
      <c r="CY474" s="707"/>
      <c r="CZ474" s="707"/>
      <c r="DA474" s="707"/>
      <c r="DB474" s="707"/>
      <c r="DC474" s="707"/>
      <c r="DD474" s="707"/>
      <c r="DE474" s="707"/>
      <c r="DF474" s="707"/>
      <c r="DG474" s="707"/>
      <c r="DH474" s="707"/>
      <c r="DI474" s="707"/>
      <c r="DJ474" s="707"/>
      <c r="DK474" s="707"/>
      <c r="DL474" s="707"/>
      <c r="DM474" s="707"/>
      <c r="DN474" s="707"/>
      <c r="DO474" s="707"/>
      <c r="DP474" s="707"/>
      <c r="DQ474" s="707"/>
      <c r="DR474" s="707"/>
      <c r="DS474" s="707"/>
      <c r="DT474" s="707"/>
      <c r="DU474" s="707"/>
      <c r="DV474" s="707"/>
      <c r="DW474" s="707"/>
      <c r="DX474" s="707"/>
      <c r="DY474" s="707"/>
      <c r="DZ474" s="707"/>
      <c r="EA474" s="707"/>
      <c r="EB474" s="707"/>
      <c r="EC474" s="707"/>
      <c r="ED474" s="707"/>
      <c r="EE474" s="707"/>
      <c r="EF474" s="707"/>
      <c r="EG474" s="707"/>
      <c r="EH474" s="707"/>
      <c r="EI474" s="707"/>
      <c r="EJ474" s="707"/>
      <c r="EK474" s="707"/>
      <c r="EL474" s="707"/>
      <c r="EM474" s="707"/>
      <c r="EN474" s="707"/>
      <c r="EO474" s="707"/>
      <c r="EP474" s="707"/>
      <c r="EQ474" s="707"/>
      <c r="ER474" s="707"/>
      <c r="ES474" s="707"/>
      <c r="ET474" s="707"/>
      <c r="EU474" s="707"/>
      <c r="EV474" s="707"/>
      <c r="EW474" s="707"/>
      <c r="EX474" s="707"/>
      <c r="EY474" s="707"/>
      <c r="EZ474" s="707"/>
      <c r="FA474" s="707"/>
      <c r="FB474" s="707"/>
      <c r="FC474" s="707"/>
      <c r="FD474" s="707"/>
      <c r="FE474" s="707"/>
      <c r="FF474" s="707"/>
      <c r="FG474" s="707"/>
      <c r="FH474" s="707"/>
      <c r="FI474" s="707"/>
      <c r="FJ474" s="707"/>
      <c r="FK474" s="707"/>
      <c r="FL474" s="707"/>
      <c r="FM474" s="707"/>
      <c r="FN474" s="707"/>
      <c r="FO474" s="707"/>
      <c r="FP474" s="707"/>
      <c r="FQ474" s="707"/>
      <c r="FR474" s="707"/>
      <c r="FS474" s="707"/>
      <c r="FT474" s="707"/>
      <c r="FU474" s="707"/>
      <c r="FV474" s="707"/>
      <c r="FW474" s="707"/>
      <c r="FX474" s="707"/>
      <c r="FY474" s="707"/>
      <c r="FZ474" s="707"/>
      <c r="GA474" s="707"/>
      <c r="GB474" s="707"/>
      <c r="GC474" s="707"/>
      <c r="GD474" s="707"/>
      <c r="GE474" s="707"/>
      <c r="GF474" s="707"/>
      <c r="GG474" s="707"/>
      <c r="GH474" s="707"/>
      <c r="GI474" s="707"/>
      <c r="GJ474" s="707"/>
      <c r="GK474" s="707"/>
      <c r="GL474" s="707"/>
      <c r="GM474" s="707"/>
      <c r="GN474" s="707"/>
      <c r="GO474" s="707"/>
      <c r="GP474" s="707"/>
      <c r="GQ474" s="707"/>
      <c r="GR474" s="707"/>
      <c r="GS474" s="707"/>
      <c r="GT474" s="707"/>
      <c r="GU474" s="707"/>
      <c r="GV474" s="707"/>
      <c r="GW474" s="707"/>
      <c r="GX474" s="707"/>
      <c r="GY474" s="707"/>
      <c r="GZ474" s="707"/>
      <c r="HA474" s="707"/>
      <c r="HB474" s="707"/>
      <c r="HC474" s="707"/>
      <c r="HD474" s="707"/>
      <c r="HE474" s="707"/>
      <c r="HF474" s="707"/>
      <c r="HG474" s="707"/>
      <c r="HH474" s="707"/>
      <c r="HI474" s="707"/>
      <c r="HJ474" s="707"/>
      <c r="HK474" s="707"/>
      <c r="HL474" s="707"/>
      <c r="HM474" s="707"/>
      <c r="HN474" s="707"/>
      <c r="HO474" s="707"/>
      <c r="HP474" s="707"/>
      <c r="HQ474" s="707"/>
      <c r="HR474" s="707"/>
      <c r="HS474" s="707"/>
      <c r="HT474" s="707"/>
      <c r="HU474" s="707"/>
      <c r="HV474" s="707"/>
      <c r="HW474" s="707"/>
      <c r="HX474" s="707"/>
      <c r="HY474" s="707"/>
      <c r="HZ474" s="707"/>
      <c r="IA474" s="707"/>
      <c r="IB474" s="707"/>
      <c r="IC474" s="707"/>
      <c r="ID474" s="707"/>
      <c r="IE474" s="707"/>
      <c r="IF474" s="707"/>
      <c r="IG474" s="707"/>
      <c r="IH474" s="707"/>
      <c r="II474" s="707"/>
      <c r="IJ474" s="707"/>
      <c r="IK474" s="707"/>
      <c r="IL474" s="707"/>
      <c r="IM474" s="707"/>
      <c r="IN474" s="707"/>
      <c r="IO474" s="707"/>
      <c r="IP474" s="707"/>
      <c r="IQ474" s="707"/>
      <c r="IR474" s="707"/>
      <c r="IS474" s="707"/>
      <c r="IT474" s="707"/>
      <c r="IU474" s="707"/>
      <c r="IV474" s="707"/>
      <c r="IW474" s="707"/>
    </row>
    <row r="475" customFormat="false" ht="12.75" hidden="false" customHeight="false" outlineLevel="1" collapsed="false">
      <c r="A475" s="366"/>
      <c r="B475" s="712"/>
      <c r="C475" s="712"/>
      <c r="D475" s="712"/>
      <c r="E475" s="713"/>
      <c r="F475" s="713"/>
      <c r="G475" s="713"/>
      <c r="H475" s="713"/>
      <c r="I475" s="713"/>
      <c r="J475" s="713"/>
      <c r="K475" s="713"/>
      <c r="L475" s="713"/>
      <c r="M475" s="713"/>
      <c r="N475" s="713"/>
      <c r="O475" s="713"/>
      <c r="P475" s="713"/>
      <c r="Q475" s="713"/>
      <c r="R475" s="713"/>
      <c r="S475" s="713"/>
      <c r="T475" s="713"/>
      <c r="U475" s="713"/>
      <c r="V475" s="713"/>
      <c r="W475" s="713"/>
      <c r="X475" s="713"/>
      <c r="Y475" s="713"/>
      <c r="Z475" s="713"/>
      <c r="AA475" s="707"/>
      <c r="AB475" s="707"/>
      <c r="AC475" s="707"/>
      <c r="AD475" s="707"/>
      <c r="AE475" s="707"/>
      <c r="AF475" s="707"/>
      <c r="AG475" s="707"/>
      <c r="AH475" s="707"/>
      <c r="AI475" s="707"/>
      <c r="AJ475" s="707"/>
      <c r="AK475" s="707"/>
      <c r="AL475" s="707"/>
      <c r="AM475" s="707"/>
      <c r="AN475" s="707"/>
      <c r="AO475" s="707"/>
      <c r="AP475" s="707"/>
      <c r="AQ475" s="707"/>
      <c r="AR475" s="707"/>
      <c r="AS475" s="707"/>
      <c r="AT475" s="707"/>
      <c r="AU475" s="707"/>
      <c r="AV475" s="707"/>
      <c r="AW475" s="707"/>
      <c r="AX475" s="707"/>
      <c r="AY475" s="707"/>
      <c r="AZ475" s="707"/>
      <c r="BA475" s="707"/>
      <c r="BB475" s="707"/>
      <c r="BC475" s="707"/>
      <c r="BD475" s="707"/>
      <c r="BE475" s="707"/>
      <c r="BF475" s="707"/>
      <c r="BG475" s="707"/>
      <c r="BH475" s="707"/>
      <c r="BI475" s="707"/>
      <c r="BJ475" s="707"/>
      <c r="BK475" s="707"/>
      <c r="BL475" s="707"/>
      <c r="BM475" s="707"/>
      <c r="BN475" s="707"/>
      <c r="BO475" s="707"/>
      <c r="BP475" s="707"/>
      <c r="BQ475" s="707"/>
      <c r="BR475" s="707"/>
      <c r="BS475" s="707"/>
      <c r="BT475" s="707"/>
      <c r="BU475" s="707"/>
      <c r="BV475" s="707"/>
      <c r="BW475" s="707"/>
      <c r="BX475" s="707"/>
      <c r="BY475" s="707"/>
      <c r="BZ475" s="707"/>
      <c r="CA475" s="707"/>
      <c r="CB475" s="707"/>
      <c r="CC475" s="707"/>
      <c r="CD475" s="707"/>
      <c r="CE475" s="707"/>
      <c r="CF475" s="707"/>
      <c r="CG475" s="707"/>
      <c r="CH475" s="707"/>
      <c r="CI475" s="707"/>
      <c r="CJ475" s="707"/>
      <c r="CK475" s="707"/>
      <c r="CL475" s="707"/>
      <c r="CM475" s="707"/>
      <c r="CN475" s="707"/>
      <c r="CO475" s="707"/>
      <c r="CP475" s="707"/>
      <c r="CQ475" s="707"/>
      <c r="CR475" s="707"/>
      <c r="CS475" s="707"/>
      <c r="CT475" s="707"/>
      <c r="CU475" s="707"/>
      <c r="CV475" s="707"/>
      <c r="CW475" s="707"/>
      <c r="CX475" s="707"/>
      <c r="CY475" s="707"/>
      <c r="CZ475" s="707"/>
      <c r="DA475" s="707"/>
      <c r="DB475" s="707"/>
      <c r="DC475" s="707"/>
      <c r="DD475" s="707"/>
      <c r="DE475" s="707"/>
      <c r="DF475" s="707"/>
      <c r="DG475" s="707"/>
      <c r="DH475" s="707"/>
      <c r="DI475" s="707"/>
      <c r="DJ475" s="707"/>
      <c r="DK475" s="707"/>
      <c r="DL475" s="707"/>
      <c r="DM475" s="707"/>
      <c r="DN475" s="707"/>
      <c r="DO475" s="707"/>
      <c r="DP475" s="707"/>
      <c r="DQ475" s="707"/>
      <c r="DR475" s="707"/>
      <c r="DS475" s="707"/>
      <c r="DT475" s="707"/>
      <c r="DU475" s="707"/>
      <c r="DV475" s="707"/>
      <c r="DW475" s="707"/>
      <c r="DX475" s="707"/>
      <c r="DY475" s="707"/>
      <c r="DZ475" s="707"/>
      <c r="EA475" s="707"/>
      <c r="EB475" s="707"/>
      <c r="EC475" s="707"/>
      <c r="ED475" s="707"/>
      <c r="EE475" s="707"/>
      <c r="EF475" s="707"/>
      <c r="EG475" s="707"/>
      <c r="EH475" s="707"/>
      <c r="EI475" s="707"/>
      <c r="EJ475" s="707"/>
      <c r="EK475" s="707"/>
      <c r="EL475" s="707"/>
      <c r="EM475" s="707"/>
      <c r="EN475" s="707"/>
      <c r="EO475" s="707"/>
      <c r="EP475" s="707"/>
      <c r="EQ475" s="707"/>
      <c r="ER475" s="707"/>
      <c r="ES475" s="707"/>
      <c r="ET475" s="707"/>
      <c r="EU475" s="707"/>
      <c r="EV475" s="707"/>
      <c r="EW475" s="707"/>
      <c r="EX475" s="707"/>
      <c r="EY475" s="707"/>
      <c r="EZ475" s="707"/>
      <c r="FA475" s="707"/>
      <c r="FB475" s="707"/>
      <c r="FC475" s="707"/>
      <c r="FD475" s="707"/>
      <c r="FE475" s="707"/>
      <c r="FF475" s="707"/>
      <c r="FG475" s="707"/>
      <c r="FH475" s="707"/>
      <c r="FI475" s="707"/>
      <c r="FJ475" s="707"/>
      <c r="FK475" s="707"/>
      <c r="FL475" s="707"/>
      <c r="FM475" s="707"/>
      <c r="FN475" s="707"/>
      <c r="FO475" s="707"/>
      <c r="FP475" s="707"/>
      <c r="FQ475" s="707"/>
      <c r="FR475" s="707"/>
      <c r="FS475" s="707"/>
      <c r="FT475" s="707"/>
      <c r="FU475" s="707"/>
      <c r="FV475" s="707"/>
      <c r="FW475" s="707"/>
      <c r="FX475" s="707"/>
      <c r="FY475" s="707"/>
      <c r="FZ475" s="707"/>
      <c r="GA475" s="707"/>
      <c r="GB475" s="707"/>
      <c r="GC475" s="707"/>
      <c r="GD475" s="707"/>
      <c r="GE475" s="707"/>
      <c r="GF475" s="707"/>
      <c r="GG475" s="707"/>
      <c r="GH475" s="707"/>
      <c r="GI475" s="707"/>
      <c r="GJ475" s="707"/>
      <c r="GK475" s="707"/>
      <c r="GL475" s="707"/>
      <c r="GM475" s="707"/>
      <c r="GN475" s="707"/>
      <c r="GO475" s="707"/>
      <c r="GP475" s="707"/>
      <c r="GQ475" s="707"/>
      <c r="GR475" s="707"/>
      <c r="GS475" s="707"/>
      <c r="GT475" s="707"/>
      <c r="GU475" s="707"/>
      <c r="GV475" s="707"/>
      <c r="GW475" s="707"/>
      <c r="GX475" s="707"/>
      <c r="GY475" s="707"/>
      <c r="GZ475" s="707"/>
      <c r="HA475" s="707"/>
      <c r="HB475" s="707"/>
      <c r="HC475" s="707"/>
      <c r="HD475" s="707"/>
      <c r="HE475" s="707"/>
      <c r="HF475" s="707"/>
      <c r="HG475" s="707"/>
      <c r="HH475" s="707"/>
      <c r="HI475" s="707"/>
      <c r="HJ475" s="707"/>
      <c r="HK475" s="707"/>
      <c r="HL475" s="707"/>
      <c r="HM475" s="707"/>
      <c r="HN475" s="707"/>
      <c r="HO475" s="707"/>
      <c r="HP475" s="707"/>
      <c r="HQ475" s="707"/>
      <c r="HR475" s="707"/>
      <c r="HS475" s="707"/>
      <c r="HT475" s="707"/>
      <c r="HU475" s="707"/>
      <c r="HV475" s="707"/>
      <c r="HW475" s="707"/>
      <c r="HX475" s="707"/>
      <c r="HY475" s="707"/>
      <c r="HZ475" s="707"/>
      <c r="IA475" s="707"/>
      <c r="IB475" s="707"/>
      <c r="IC475" s="707"/>
      <c r="ID475" s="707"/>
      <c r="IE475" s="707"/>
      <c r="IF475" s="707"/>
      <c r="IG475" s="707"/>
      <c r="IH475" s="707"/>
      <c r="II475" s="707"/>
      <c r="IJ475" s="707"/>
      <c r="IK475" s="707"/>
      <c r="IL475" s="707"/>
      <c r="IM475" s="707"/>
      <c r="IN475" s="707"/>
      <c r="IO475" s="707"/>
      <c r="IP475" s="707"/>
      <c r="IQ475" s="707"/>
      <c r="IR475" s="707"/>
      <c r="IS475" s="707"/>
      <c r="IT475" s="707"/>
      <c r="IU475" s="707"/>
      <c r="IV475" s="707"/>
      <c r="IW475" s="707"/>
    </row>
    <row r="476" customFormat="false" ht="12.75" hidden="false" customHeight="false" outlineLevel="1" collapsed="false">
      <c r="A476" s="245"/>
      <c r="B476" s="707"/>
      <c r="C476" s="707"/>
      <c r="D476" s="707"/>
      <c r="E476" s="713"/>
      <c r="F476" s="713"/>
      <c r="G476" s="713"/>
      <c r="H476" s="713"/>
      <c r="I476" s="713"/>
      <c r="J476" s="713"/>
      <c r="K476" s="713"/>
      <c r="L476" s="713"/>
      <c r="M476" s="713"/>
      <c r="N476" s="713"/>
      <c r="O476" s="713"/>
      <c r="P476" s="713"/>
      <c r="Q476" s="713"/>
      <c r="R476" s="713"/>
      <c r="S476" s="713"/>
      <c r="T476" s="713"/>
      <c r="U476" s="713"/>
      <c r="V476" s="713"/>
      <c r="W476" s="713"/>
      <c r="X476" s="713"/>
      <c r="Y476" s="713"/>
      <c r="Z476" s="713"/>
      <c r="AA476" s="707"/>
      <c r="AB476" s="707"/>
      <c r="AC476" s="707"/>
      <c r="AD476" s="707"/>
      <c r="AE476" s="707"/>
      <c r="AF476" s="707"/>
      <c r="AG476" s="707"/>
      <c r="AH476" s="707"/>
      <c r="AI476" s="707"/>
      <c r="AJ476" s="707"/>
      <c r="AK476" s="707"/>
      <c r="AL476" s="707"/>
      <c r="AM476" s="707"/>
      <c r="AN476" s="707"/>
      <c r="AO476" s="707"/>
      <c r="AP476" s="707"/>
      <c r="AQ476" s="707"/>
      <c r="AR476" s="707"/>
      <c r="AS476" s="707"/>
      <c r="AT476" s="707"/>
      <c r="AU476" s="707"/>
      <c r="AV476" s="707"/>
      <c r="AW476" s="707"/>
      <c r="AX476" s="707"/>
      <c r="AY476" s="707"/>
      <c r="AZ476" s="707"/>
      <c r="BA476" s="707"/>
      <c r="BB476" s="707"/>
      <c r="BC476" s="707"/>
      <c r="BD476" s="707"/>
      <c r="BE476" s="707"/>
      <c r="BF476" s="707"/>
      <c r="BG476" s="707"/>
      <c r="BH476" s="707"/>
      <c r="BI476" s="707"/>
      <c r="BJ476" s="707"/>
      <c r="BK476" s="707"/>
      <c r="BL476" s="707"/>
      <c r="BM476" s="707"/>
      <c r="BN476" s="707"/>
      <c r="BO476" s="707"/>
      <c r="BP476" s="707"/>
      <c r="BQ476" s="707"/>
      <c r="BR476" s="707"/>
      <c r="BS476" s="707"/>
      <c r="BT476" s="707"/>
      <c r="BU476" s="707"/>
      <c r="BV476" s="707"/>
      <c r="BW476" s="707"/>
      <c r="BX476" s="707"/>
      <c r="BY476" s="707"/>
      <c r="BZ476" s="707"/>
      <c r="CA476" s="707"/>
      <c r="CB476" s="707"/>
      <c r="CC476" s="707"/>
      <c r="CD476" s="707"/>
      <c r="CE476" s="707"/>
      <c r="CF476" s="707"/>
      <c r="CG476" s="707"/>
      <c r="CH476" s="707"/>
      <c r="CI476" s="707"/>
      <c r="CJ476" s="707"/>
      <c r="CK476" s="707"/>
      <c r="CL476" s="707"/>
      <c r="CM476" s="707"/>
      <c r="CN476" s="707"/>
      <c r="CO476" s="707"/>
      <c r="CP476" s="707"/>
      <c r="CQ476" s="707"/>
      <c r="CR476" s="707"/>
      <c r="CS476" s="707"/>
      <c r="CT476" s="707"/>
      <c r="CU476" s="707"/>
      <c r="CV476" s="707"/>
      <c r="CW476" s="707"/>
      <c r="CX476" s="707"/>
      <c r="CY476" s="707"/>
      <c r="CZ476" s="707"/>
      <c r="DA476" s="707"/>
      <c r="DB476" s="707"/>
      <c r="DC476" s="707"/>
      <c r="DD476" s="707"/>
      <c r="DE476" s="707"/>
      <c r="DF476" s="707"/>
      <c r="DG476" s="707"/>
      <c r="DH476" s="707"/>
      <c r="DI476" s="707"/>
      <c r="DJ476" s="707"/>
      <c r="DK476" s="707"/>
      <c r="DL476" s="707"/>
      <c r="DM476" s="707"/>
      <c r="DN476" s="707"/>
      <c r="DO476" s="707"/>
      <c r="DP476" s="707"/>
      <c r="DQ476" s="707"/>
      <c r="DR476" s="707"/>
      <c r="DS476" s="707"/>
      <c r="DT476" s="707"/>
      <c r="DU476" s="707"/>
      <c r="DV476" s="707"/>
      <c r="DW476" s="707"/>
      <c r="DX476" s="707"/>
      <c r="DY476" s="707"/>
      <c r="DZ476" s="707"/>
      <c r="EA476" s="707"/>
      <c r="EB476" s="707"/>
      <c r="EC476" s="707"/>
      <c r="ED476" s="707"/>
      <c r="EE476" s="707"/>
      <c r="EF476" s="707"/>
      <c r="EG476" s="707"/>
      <c r="EH476" s="707"/>
      <c r="EI476" s="707"/>
      <c r="EJ476" s="707"/>
      <c r="EK476" s="707"/>
      <c r="EL476" s="707"/>
      <c r="EM476" s="707"/>
      <c r="EN476" s="707"/>
      <c r="EO476" s="707"/>
      <c r="EP476" s="707"/>
      <c r="EQ476" s="707"/>
      <c r="ER476" s="707"/>
      <c r="ES476" s="707"/>
      <c r="ET476" s="707"/>
      <c r="EU476" s="707"/>
      <c r="EV476" s="707"/>
      <c r="EW476" s="707"/>
      <c r="EX476" s="707"/>
      <c r="EY476" s="707"/>
      <c r="EZ476" s="707"/>
      <c r="FA476" s="707"/>
      <c r="FB476" s="707"/>
      <c r="FC476" s="707"/>
      <c r="FD476" s="707"/>
      <c r="FE476" s="707"/>
      <c r="FF476" s="707"/>
      <c r="FG476" s="707"/>
      <c r="FH476" s="707"/>
      <c r="FI476" s="707"/>
      <c r="FJ476" s="707"/>
      <c r="FK476" s="707"/>
      <c r="FL476" s="707"/>
      <c r="FM476" s="707"/>
      <c r="FN476" s="707"/>
      <c r="FO476" s="707"/>
      <c r="FP476" s="707"/>
      <c r="FQ476" s="707"/>
      <c r="FR476" s="707"/>
      <c r="FS476" s="707"/>
      <c r="FT476" s="707"/>
      <c r="FU476" s="707"/>
      <c r="FV476" s="707"/>
      <c r="FW476" s="707"/>
      <c r="FX476" s="707"/>
      <c r="FY476" s="707"/>
      <c r="FZ476" s="707"/>
      <c r="GA476" s="707"/>
      <c r="GB476" s="707"/>
      <c r="GC476" s="707"/>
      <c r="GD476" s="707"/>
      <c r="GE476" s="707"/>
      <c r="GF476" s="707"/>
      <c r="GG476" s="707"/>
      <c r="GH476" s="707"/>
      <c r="GI476" s="707"/>
      <c r="GJ476" s="707"/>
      <c r="GK476" s="707"/>
      <c r="GL476" s="707"/>
      <c r="GM476" s="707"/>
      <c r="GN476" s="707"/>
      <c r="GO476" s="707"/>
      <c r="GP476" s="707"/>
      <c r="GQ476" s="707"/>
      <c r="GR476" s="707"/>
      <c r="GS476" s="707"/>
      <c r="GT476" s="707"/>
      <c r="GU476" s="707"/>
      <c r="GV476" s="707"/>
      <c r="GW476" s="707"/>
      <c r="GX476" s="707"/>
      <c r="GY476" s="707"/>
      <c r="GZ476" s="707"/>
      <c r="HA476" s="707"/>
      <c r="HB476" s="707"/>
      <c r="HC476" s="707"/>
      <c r="HD476" s="707"/>
      <c r="HE476" s="707"/>
      <c r="HF476" s="707"/>
      <c r="HG476" s="707"/>
      <c r="HH476" s="707"/>
      <c r="HI476" s="707"/>
      <c r="HJ476" s="707"/>
      <c r="HK476" s="707"/>
      <c r="HL476" s="707"/>
      <c r="HM476" s="707"/>
      <c r="HN476" s="707"/>
      <c r="HO476" s="707"/>
      <c r="HP476" s="707"/>
      <c r="HQ476" s="707"/>
      <c r="HR476" s="707"/>
      <c r="HS476" s="707"/>
      <c r="HT476" s="707"/>
      <c r="HU476" s="707"/>
      <c r="HV476" s="707"/>
      <c r="HW476" s="707"/>
      <c r="HX476" s="707"/>
      <c r="HY476" s="707"/>
      <c r="HZ476" s="707"/>
      <c r="IA476" s="707"/>
      <c r="IB476" s="707"/>
      <c r="IC476" s="707"/>
      <c r="ID476" s="707"/>
      <c r="IE476" s="707"/>
      <c r="IF476" s="707"/>
      <c r="IG476" s="707"/>
      <c r="IH476" s="707"/>
      <c r="II476" s="707"/>
      <c r="IJ476" s="707"/>
      <c r="IK476" s="707"/>
      <c r="IL476" s="707"/>
      <c r="IM476" s="707"/>
      <c r="IN476" s="707"/>
      <c r="IO476" s="707"/>
      <c r="IP476" s="707"/>
      <c r="IQ476" s="707"/>
      <c r="IR476" s="707"/>
      <c r="IS476" s="707"/>
      <c r="IT476" s="707"/>
      <c r="IU476" s="707"/>
      <c r="IV476" s="707"/>
      <c r="IW476" s="707"/>
    </row>
    <row r="477" customFormat="false" ht="12.75" hidden="false" customHeight="false" outlineLevel="1" collapsed="false">
      <c r="A477" s="388"/>
      <c r="B477" s="706"/>
      <c r="C477" s="706"/>
      <c r="D477" s="706"/>
      <c r="E477" s="713"/>
      <c r="F477" s="713"/>
      <c r="G477" s="713"/>
      <c r="H477" s="713"/>
      <c r="I477" s="713"/>
      <c r="J477" s="713"/>
      <c r="K477" s="713"/>
      <c r="L477" s="713"/>
      <c r="M477" s="713"/>
      <c r="N477" s="713"/>
      <c r="O477" s="713"/>
      <c r="P477" s="713"/>
      <c r="Q477" s="713"/>
      <c r="R477" s="713"/>
      <c r="S477" s="713"/>
      <c r="T477" s="713"/>
      <c r="U477" s="713"/>
      <c r="V477" s="713"/>
      <c r="W477" s="713"/>
      <c r="X477" s="713"/>
      <c r="Y477" s="713"/>
      <c r="Z477" s="713"/>
      <c r="AA477" s="707"/>
      <c r="AB477" s="707"/>
      <c r="AC477" s="707"/>
      <c r="AD477" s="707"/>
      <c r="AE477" s="707"/>
      <c r="AF477" s="707"/>
      <c r="AG477" s="707"/>
      <c r="AH477" s="707"/>
      <c r="AI477" s="707"/>
      <c r="AJ477" s="707"/>
      <c r="AK477" s="707"/>
      <c r="AL477" s="707"/>
      <c r="AM477" s="707"/>
      <c r="AN477" s="707"/>
      <c r="AO477" s="707"/>
      <c r="AP477" s="707"/>
      <c r="AQ477" s="707"/>
      <c r="AR477" s="707"/>
      <c r="AS477" s="707"/>
      <c r="AT477" s="707"/>
      <c r="AU477" s="707"/>
      <c r="AV477" s="707"/>
      <c r="AW477" s="707"/>
      <c r="AX477" s="707"/>
      <c r="AY477" s="707"/>
      <c r="AZ477" s="707"/>
      <c r="BA477" s="707"/>
      <c r="BB477" s="707"/>
      <c r="BC477" s="707"/>
      <c r="BD477" s="707"/>
      <c r="BE477" s="707"/>
      <c r="BF477" s="707"/>
      <c r="BG477" s="707"/>
      <c r="BH477" s="707"/>
      <c r="BI477" s="707"/>
      <c r="BJ477" s="707"/>
      <c r="BK477" s="707"/>
      <c r="BL477" s="707"/>
      <c r="BM477" s="707"/>
      <c r="BN477" s="707"/>
      <c r="BO477" s="707"/>
      <c r="BP477" s="707"/>
      <c r="BQ477" s="707"/>
      <c r="BR477" s="707"/>
      <c r="BS477" s="707"/>
      <c r="BT477" s="707"/>
      <c r="BU477" s="707"/>
      <c r="BV477" s="707"/>
      <c r="BW477" s="707"/>
      <c r="BX477" s="707"/>
      <c r="BY477" s="707"/>
      <c r="BZ477" s="707"/>
      <c r="CA477" s="707"/>
      <c r="CB477" s="707"/>
      <c r="CC477" s="707"/>
      <c r="CD477" s="707"/>
      <c r="CE477" s="707"/>
      <c r="CF477" s="707"/>
      <c r="CG477" s="707"/>
      <c r="CH477" s="707"/>
      <c r="CI477" s="707"/>
      <c r="CJ477" s="707"/>
      <c r="CK477" s="707"/>
      <c r="CL477" s="707"/>
      <c r="CM477" s="707"/>
      <c r="CN477" s="707"/>
      <c r="CO477" s="707"/>
      <c r="CP477" s="707"/>
      <c r="CQ477" s="707"/>
      <c r="CR477" s="707"/>
      <c r="CS477" s="707"/>
      <c r="CT477" s="707"/>
      <c r="CU477" s="707"/>
      <c r="CV477" s="707"/>
      <c r="CW477" s="707"/>
      <c r="CX477" s="707"/>
      <c r="CY477" s="707"/>
      <c r="CZ477" s="707"/>
      <c r="DA477" s="707"/>
      <c r="DB477" s="707"/>
      <c r="DC477" s="707"/>
      <c r="DD477" s="707"/>
      <c r="DE477" s="707"/>
      <c r="DF477" s="707"/>
      <c r="DG477" s="707"/>
      <c r="DH477" s="707"/>
      <c r="DI477" s="707"/>
      <c r="DJ477" s="707"/>
      <c r="DK477" s="707"/>
      <c r="DL477" s="707"/>
      <c r="DM477" s="707"/>
      <c r="DN477" s="707"/>
      <c r="DO477" s="707"/>
      <c r="DP477" s="707"/>
      <c r="DQ477" s="707"/>
      <c r="DR477" s="707"/>
      <c r="DS477" s="707"/>
      <c r="DT477" s="707"/>
      <c r="DU477" s="707"/>
      <c r="DV477" s="707"/>
      <c r="DW477" s="707"/>
      <c r="DX477" s="707"/>
      <c r="DY477" s="707"/>
      <c r="DZ477" s="707"/>
      <c r="EA477" s="707"/>
      <c r="EB477" s="707"/>
      <c r="EC477" s="707"/>
      <c r="ED477" s="707"/>
      <c r="EE477" s="707"/>
      <c r="EF477" s="707"/>
      <c r="EG477" s="707"/>
      <c r="EH477" s="707"/>
      <c r="EI477" s="707"/>
      <c r="EJ477" s="707"/>
      <c r="EK477" s="707"/>
      <c r="EL477" s="707"/>
      <c r="EM477" s="707"/>
      <c r="EN477" s="707"/>
      <c r="EO477" s="707"/>
      <c r="EP477" s="707"/>
      <c r="EQ477" s="707"/>
      <c r="ER477" s="707"/>
      <c r="ES477" s="707"/>
      <c r="ET477" s="707"/>
      <c r="EU477" s="707"/>
      <c r="EV477" s="707"/>
      <c r="EW477" s="707"/>
      <c r="EX477" s="707"/>
      <c r="EY477" s="707"/>
      <c r="EZ477" s="707"/>
      <c r="FA477" s="707"/>
      <c r="FB477" s="707"/>
      <c r="FC477" s="707"/>
      <c r="FD477" s="707"/>
      <c r="FE477" s="707"/>
      <c r="FF477" s="707"/>
      <c r="FG477" s="707"/>
      <c r="FH477" s="707"/>
      <c r="FI477" s="707"/>
      <c r="FJ477" s="707"/>
      <c r="FK477" s="707"/>
      <c r="FL477" s="707"/>
      <c r="FM477" s="707"/>
      <c r="FN477" s="707"/>
      <c r="FO477" s="707"/>
      <c r="FP477" s="707"/>
      <c r="FQ477" s="707"/>
      <c r="FR477" s="707"/>
      <c r="FS477" s="707"/>
      <c r="FT477" s="707"/>
      <c r="FU477" s="707"/>
      <c r="FV477" s="707"/>
      <c r="FW477" s="707"/>
      <c r="FX477" s="707"/>
      <c r="FY477" s="707"/>
      <c r="FZ477" s="707"/>
      <c r="GA477" s="707"/>
      <c r="GB477" s="707"/>
      <c r="GC477" s="707"/>
      <c r="GD477" s="707"/>
      <c r="GE477" s="707"/>
      <c r="GF477" s="707"/>
      <c r="GG477" s="707"/>
      <c r="GH477" s="707"/>
      <c r="GI477" s="707"/>
      <c r="GJ477" s="707"/>
      <c r="GK477" s="707"/>
      <c r="GL477" s="707"/>
      <c r="GM477" s="707"/>
      <c r="GN477" s="707"/>
      <c r="GO477" s="707"/>
      <c r="GP477" s="707"/>
      <c r="GQ477" s="707"/>
      <c r="GR477" s="707"/>
      <c r="GS477" s="707"/>
      <c r="GT477" s="707"/>
      <c r="GU477" s="707"/>
      <c r="GV477" s="707"/>
      <c r="GW477" s="707"/>
      <c r="GX477" s="707"/>
      <c r="GY477" s="707"/>
      <c r="GZ477" s="707"/>
      <c r="HA477" s="707"/>
      <c r="HB477" s="707"/>
      <c r="HC477" s="707"/>
      <c r="HD477" s="707"/>
      <c r="HE477" s="707"/>
      <c r="HF477" s="707"/>
      <c r="HG477" s="707"/>
      <c r="HH477" s="707"/>
      <c r="HI477" s="707"/>
      <c r="HJ477" s="707"/>
      <c r="HK477" s="707"/>
      <c r="HL477" s="707"/>
      <c r="HM477" s="707"/>
      <c r="HN477" s="707"/>
      <c r="HO477" s="707"/>
      <c r="HP477" s="707"/>
      <c r="HQ477" s="707"/>
      <c r="HR477" s="707"/>
      <c r="HS477" s="707"/>
      <c r="HT477" s="707"/>
      <c r="HU477" s="707"/>
      <c r="HV477" s="707"/>
      <c r="HW477" s="707"/>
      <c r="HX477" s="707"/>
      <c r="HY477" s="707"/>
      <c r="HZ477" s="707"/>
      <c r="IA477" s="707"/>
      <c r="IB477" s="707"/>
      <c r="IC477" s="707"/>
      <c r="ID477" s="707"/>
      <c r="IE477" s="707"/>
      <c r="IF477" s="707"/>
      <c r="IG477" s="707"/>
      <c r="IH477" s="707"/>
      <c r="II477" s="707"/>
      <c r="IJ477" s="707"/>
      <c r="IK477" s="707"/>
      <c r="IL477" s="707"/>
      <c r="IM477" s="707"/>
      <c r="IN477" s="707"/>
      <c r="IO477" s="707"/>
      <c r="IP477" s="707"/>
      <c r="IQ477" s="707"/>
      <c r="IR477" s="707"/>
      <c r="IS477" s="707"/>
      <c r="IT477" s="707"/>
      <c r="IU477" s="707"/>
      <c r="IV477" s="707"/>
      <c r="IW477" s="707"/>
    </row>
    <row r="478" customFormat="false" ht="12.75" hidden="false" customHeight="false" outlineLevel="1" collapsed="false">
      <c r="A478" s="716"/>
      <c r="B478" s="717"/>
      <c r="C478" s="717"/>
      <c r="D478" s="717"/>
      <c r="E478" s="713"/>
      <c r="F478" s="713"/>
      <c r="G478" s="713"/>
      <c r="H478" s="713"/>
      <c r="I478" s="713"/>
      <c r="J478" s="713"/>
      <c r="K478" s="713"/>
      <c r="L478" s="713"/>
      <c r="M478" s="713"/>
      <c r="N478" s="713"/>
      <c r="O478" s="713"/>
      <c r="P478" s="713"/>
      <c r="Q478" s="713"/>
      <c r="R478" s="713"/>
      <c r="S478" s="713"/>
      <c r="T478" s="713"/>
      <c r="U478" s="713"/>
      <c r="V478" s="713"/>
      <c r="W478" s="713"/>
      <c r="X478" s="713"/>
      <c r="Y478" s="713"/>
      <c r="Z478" s="713"/>
      <c r="AA478" s="707"/>
      <c r="AB478" s="707"/>
      <c r="AC478" s="707"/>
      <c r="AD478" s="707"/>
      <c r="AE478" s="707"/>
      <c r="AF478" s="707"/>
      <c r="AG478" s="707"/>
      <c r="AH478" s="707"/>
      <c r="AI478" s="707"/>
      <c r="AJ478" s="707"/>
      <c r="AK478" s="707"/>
      <c r="AL478" s="707"/>
      <c r="AM478" s="707"/>
      <c r="AN478" s="707"/>
      <c r="AO478" s="707"/>
      <c r="AP478" s="707"/>
      <c r="AQ478" s="707"/>
      <c r="AR478" s="707"/>
      <c r="AS478" s="707"/>
      <c r="AT478" s="707"/>
      <c r="AU478" s="707"/>
      <c r="AV478" s="707"/>
      <c r="AW478" s="707"/>
      <c r="AX478" s="707"/>
      <c r="AY478" s="707"/>
      <c r="AZ478" s="707"/>
      <c r="BA478" s="707"/>
      <c r="BB478" s="707"/>
      <c r="BC478" s="707"/>
      <c r="BD478" s="707"/>
      <c r="BE478" s="707"/>
      <c r="BF478" s="707"/>
      <c r="BG478" s="707"/>
      <c r="BH478" s="707"/>
      <c r="BI478" s="707"/>
      <c r="BJ478" s="707"/>
      <c r="BK478" s="707"/>
      <c r="BL478" s="707"/>
      <c r="BM478" s="707"/>
      <c r="BN478" s="707"/>
      <c r="BO478" s="707"/>
      <c r="BP478" s="707"/>
      <c r="BQ478" s="707"/>
      <c r="BR478" s="707"/>
      <c r="BS478" s="707"/>
      <c r="BT478" s="707"/>
      <c r="BU478" s="707"/>
      <c r="BV478" s="707"/>
      <c r="BW478" s="707"/>
      <c r="BX478" s="707"/>
      <c r="BY478" s="707"/>
      <c r="BZ478" s="707"/>
      <c r="CA478" s="707"/>
      <c r="CB478" s="707"/>
      <c r="CC478" s="707"/>
      <c r="CD478" s="707"/>
      <c r="CE478" s="707"/>
      <c r="CF478" s="707"/>
      <c r="CG478" s="707"/>
      <c r="CH478" s="707"/>
      <c r="CI478" s="707"/>
      <c r="CJ478" s="707"/>
      <c r="CK478" s="707"/>
      <c r="CL478" s="707"/>
      <c r="CM478" s="707"/>
      <c r="CN478" s="707"/>
      <c r="CO478" s="707"/>
      <c r="CP478" s="707"/>
      <c r="CQ478" s="707"/>
      <c r="CR478" s="707"/>
      <c r="CS478" s="707"/>
      <c r="CT478" s="707"/>
      <c r="CU478" s="707"/>
      <c r="CV478" s="707"/>
      <c r="CW478" s="707"/>
      <c r="CX478" s="707"/>
      <c r="CY478" s="707"/>
      <c r="CZ478" s="707"/>
      <c r="DA478" s="707"/>
      <c r="DB478" s="707"/>
      <c r="DC478" s="707"/>
      <c r="DD478" s="707"/>
      <c r="DE478" s="707"/>
      <c r="DF478" s="707"/>
      <c r="DG478" s="707"/>
      <c r="DH478" s="707"/>
      <c r="DI478" s="707"/>
      <c r="DJ478" s="707"/>
      <c r="DK478" s="707"/>
      <c r="DL478" s="707"/>
      <c r="DM478" s="707"/>
      <c r="DN478" s="707"/>
      <c r="DO478" s="707"/>
      <c r="DP478" s="707"/>
      <c r="DQ478" s="707"/>
      <c r="DR478" s="707"/>
      <c r="DS478" s="707"/>
      <c r="DT478" s="707"/>
      <c r="DU478" s="707"/>
      <c r="DV478" s="707"/>
      <c r="DW478" s="707"/>
      <c r="DX478" s="707"/>
      <c r="DY478" s="707"/>
      <c r="DZ478" s="707"/>
      <c r="EA478" s="707"/>
      <c r="EB478" s="707"/>
      <c r="EC478" s="707"/>
      <c r="ED478" s="707"/>
      <c r="EE478" s="707"/>
      <c r="EF478" s="707"/>
      <c r="EG478" s="707"/>
      <c r="EH478" s="707"/>
      <c r="EI478" s="707"/>
      <c r="EJ478" s="707"/>
      <c r="EK478" s="707"/>
      <c r="EL478" s="707"/>
      <c r="EM478" s="707"/>
      <c r="EN478" s="707"/>
      <c r="EO478" s="707"/>
      <c r="EP478" s="707"/>
      <c r="EQ478" s="707"/>
      <c r="ER478" s="707"/>
      <c r="ES478" s="707"/>
      <c r="ET478" s="707"/>
      <c r="EU478" s="707"/>
      <c r="EV478" s="707"/>
      <c r="EW478" s="707"/>
      <c r="EX478" s="707"/>
      <c r="EY478" s="707"/>
      <c r="EZ478" s="707"/>
      <c r="FA478" s="707"/>
      <c r="FB478" s="707"/>
      <c r="FC478" s="707"/>
      <c r="FD478" s="707"/>
      <c r="FE478" s="707"/>
      <c r="FF478" s="707"/>
      <c r="FG478" s="707"/>
      <c r="FH478" s="707"/>
      <c r="FI478" s="707"/>
      <c r="FJ478" s="707"/>
      <c r="FK478" s="707"/>
      <c r="FL478" s="707"/>
      <c r="FM478" s="707"/>
      <c r="FN478" s="707"/>
      <c r="FO478" s="707"/>
      <c r="FP478" s="707"/>
      <c r="FQ478" s="707"/>
      <c r="FR478" s="707"/>
      <c r="FS478" s="707"/>
      <c r="FT478" s="707"/>
      <c r="FU478" s="707"/>
      <c r="FV478" s="707"/>
      <c r="FW478" s="707"/>
      <c r="FX478" s="707"/>
      <c r="FY478" s="707"/>
      <c r="FZ478" s="707"/>
      <c r="GA478" s="707"/>
      <c r="GB478" s="707"/>
      <c r="GC478" s="707"/>
      <c r="GD478" s="707"/>
      <c r="GE478" s="707"/>
      <c r="GF478" s="707"/>
      <c r="GG478" s="707"/>
      <c r="GH478" s="707"/>
      <c r="GI478" s="707"/>
      <c r="GJ478" s="707"/>
      <c r="GK478" s="707"/>
      <c r="GL478" s="707"/>
      <c r="GM478" s="707"/>
      <c r="GN478" s="707"/>
      <c r="GO478" s="707"/>
      <c r="GP478" s="707"/>
      <c r="GQ478" s="707"/>
      <c r="GR478" s="707"/>
      <c r="GS478" s="707"/>
      <c r="GT478" s="707"/>
      <c r="GU478" s="707"/>
      <c r="GV478" s="707"/>
      <c r="GW478" s="707"/>
      <c r="GX478" s="707"/>
      <c r="GY478" s="707"/>
      <c r="GZ478" s="707"/>
      <c r="HA478" s="707"/>
      <c r="HB478" s="707"/>
      <c r="HC478" s="707"/>
      <c r="HD478" s="707"/>
      <c r="HE478" s="707"/>
      <c r="HF478" s="707"/>
      <c r="HG478" s="707"/>
      <c r="HH478" s="707"/>
      <c r="HI478" s="707"/>
      <c r="HJ478" s="707"/>
      <c r="HK478" s="707"/>
      <c r="HL478" s="707"/>
      <c r="HM478" s="707"/>
      <c r="HN478" s="707"/>
      <c r="HO478" s="707"/>
      <c r="HP478" s="707"/>
      <c r="HQ478" s="707"/>
      <c r="HR478" s="707"/>
      <c r="HS478" s="707"/>
      <c r="HT478" s="707"/>
      <c r="HU478" s="707"/>
      <c r="HV478" s="707"/>
      <c r="HW478" s="707"/>
      <c r="HX478" s="707"/>
      <c r="HY478" s="707"/>
      <c r="HZ478" s="707"/>
      <c r="IA478" s="707"/>
      <c r="IB478" s="707"/>
      <c r="IC478" s="707"/>
      <c r="ID478" s="707"/>
      <c r="IE478" s="707"/>
      <c r="IF478" s="707"/>
      <c r="IG478" s="707"/>
      <c r="IH478" s="707"/>
      <c r="II478" s="707"/>
      <c r="IJ478" s="707"/>
      <c r="IK478" s="707"/>
      <c r="IL478" s="707"/>
      <c r="IM478" s="707"/>
      <c r="IN478" s="707"/>
      <c r="IO478" s="707"/>
      <c r="IP478" s="707"/>
      <c r="IQ478" s="707"/>
      <c r="IR478" s="707"/>
      <c r="IS478" s="707"/>
      <c r="IT478" s="707"/>
      <c r="IU478" s="707"/>
      <c r="IV478" s="707"/>
      <c r="IW478" s="707"/>
    </row>
    <row r="479" customFormat="false" ht="12.75" hidden="false" customHeight="false" outlineLevel="1" collapsed="false">
      <c r="A479" s="716"/>
      <c r="B479" s="717"/>
      <c r="C479" s="717"/>
      <c r="D479" s="717"/>
      <c r="E479" s="713"/>
      <c r="F479" s="713"/>
      <c r="G479" s="713"/>
      <c r="H479" s="713"/>
      <c r="I479" s="713"/>
      <c r="J479" s="713"/>
      <c r="K479" s="713"/>
      <c r="L479" s="713"/>
      <c r="M479" s="713"/>
      <c r="N479" s="713"/>
      <c r="O479" s="713"/>
      <c r="P479" s="713"/>
      <c r="Q479" s="713"/>
      <c r="R479" s="713"/>
      <c r="S479" s="713"/>
      <c r="T479" s="713"/>
      <c r="U479" s="713"/>
      <c r="V479" s="713"/>
      <c r="W479" s="713"/>
      <c r="X479" s="713"/>
      <c r="Y479" s="713"/>
      <c r="Z479" s="713"/>
      <c r="AA479" s="707"/>
      <c r="AB479" s="707"/>
      <c r="AC479" s="707"/>
      <c r="AD479" s="707"/>
      <c r="AE479" s="707"/>
      <c r="AF479" s="707"/>
      <c r="AG479" s="707"/>
      <c r="AH479" s="707"/>
      <c r="AI479" s="707"/>
      <c r="AJ479" s="707"/>
      <c r="AK479" s="707"/>
      <c r="AL479" s="707"/>
      <c r="AM479" s="707"/>
      <c r="AN479" s="707"/>
      <c r="AO479" s="707"/>
      <c r="AP479" s="707"/>
      <c r="AQ479" s="707"/>
      <c r="AR479" s="707"/>
      <c r="AS479" s="707"/>
      <c r="AT479" s="707"/>
      <c r="AU479" s="707"/>
      <c r="AV479" s="707"/>
      <c r="AW479" s="707"/>
      <c r="AX479" s="707"/>
      <c r="AY479" s="707"/>
      <c r="AZ479" s="707"/>
      <c r="BA479" s="707"/>
      <c r="BB479" s="707"/>
      <c r="BC479" s="707"/>
      <c r="BD479" s="707"/>
      <c r="BE479" s="707"/>
      <c r="BF479" s="707"/>
      <c r="BG479" s="707"/>
      <c r="BH479" s="707"/>
      <c r="BI479" s="707"/>
      <c r="BJ479" s="707"/>
      <c r="BK479" s="707"/>
      <c r="BL479" s="707"/>
      <c r="BM479" s="707"/>
      <c r="BN479" s="707"/>
      <c r="BO479" s="707"/>
      <c r="BP479" s="707"/>
      <c r="BQ479" s="707"/>
      <c r="BR479" s="707"/>
      <c r="BS479" s="707"/>
      <c r="BT479" s="707"/>
      <c r="BU479" s="707"/>
      <c r="BV479" s="707"/>
      <c r="BW479" s="707"/>
      <c r="BX479" s="707"/>
      <c r="BY479" s="707"/>
      <c r="BZ479" s="707"/>
      <c r="CA479" s="707"/>
      <c r="CB479" s="707"/>
      <c r="CC479" s="707"/>
      <c r="CD479" s="707"/>
      <c r="CE479" s="707"/>
      <c r="CF479" s="707"/>
      <c r="CG479" s="707"/>
      <c r="CH479" s="707"/>
      <c r="CI479" s="707"/>
      <c r="CJ479" s="707"/>
      <c r="CK479" s="707"/>
      <c r="CL479" s="707"/>
      <c r="CM479" s="707"/>
      <c r="CN479" s="707"/>
      <c r="CO479" s="707"/>
      <c r="CP479" s="707"/>
      <c r="CQ479" s="707"/>
      <c r="CR479" s="707"/>
      <c r="CS479" s="707"/>
      <c r="CT479" s="707"/>
      <c r="CU479" s="707"/>
      <c r="CV479" s="707"/>
      <c r="CW479" s="707"/>
      <c r="CX479" s="707"/>
      <c r="CY479" s="707"/>
      <c r="CZ479" s="707"/>
      <c r="DA479" s="707"/>
      <c r="DB479" s="707"/>
      <c r="DC479" s="707"/>
      <c r="DD479" s="707"/>
      <c r="DE479" s="707"/>
      <c r="DF479" s="707"/>
      <c r="DG479" s="707"/>
      <c r="DH479" s="707"/>
      <c r="DI479" s="707"/>
      <c r="DJ479" s="707"/>
      <c r="DK479" s="707"/>
      <c r="DL479" s="707"/>
      <c r="DM479" s="707"/>
      <c r="DN479" s="707"/>
      <c r="DO479" s="707"/>
      <c r="DP479" s="707"/>
      <c r="DQ479" s="707"/>
      <c r="DR479" s="707"/>
      <c r="DS479" s="707"/>
      <c r="DT479" s="707"/>
      <c r="DU479" s="707"/>
      <c r="DV479" s="707"/>
      <c r="DW479" s="707"/>
      <c r="DX479" s="707"/>
      <c r="DY479" s="707"/>
      <c r="DZ479" s="707"/>
      <c r="EA479" s="707"/>
      <c r="EB479" s="707"/>
      <c r="EC479" s="707"/>
      <c r="ED479" s="707"/>
      <c r="EE479" s="707"/>
      <c r="EF479" s="707"/>
      <c r="EG479" s="707"/>
      <c r="EH479" s="707"/>
      <c r="EI479" s="707"/>
      <c r="EJ479" s="707"/>
      <c r="EK479" s="707"/>
      <c r="EL479" s="707"/>
      <c r="EM479" s="707"/>
      <c r="EN479" s="707"/>
      <c r="EO479" s="707"/>
      <c r="EP479" s="707"/>
      <c r="EQ479" s="707"/>
      <c r="ER479" s="707"/>
      <c r="ES479" s="707"/>
      <c r="ET479" s="707"/>
      <c r="EU479" s="707"/>
      <c r="EV479" s="707"/>
      <c r="EW479" s="707"/>
      <c r="EX479" s="707"/>
      <c r="EY479" s="707"/>
      <c r="EZ479" s="707"/>
      <c r="FA479" s="707"/>
      <c r="FB479" s="707"/>
      <c r="FC479" s="707"/>
      <c r="FD479" s="707"/>
      <c r="FE479" s="707"/>
      <c r="FF479" s="707"/>
      <c r="FG479" s="707"/>
      <c r="FH479" s="707"/>
      <c r="FI479" s="707"/>
      <c r="FJ479" s="707"/>
      <c r="FK479" s="707"/>
      <c r="FL479" s="707"/>
      <c r="FM479" s="707"/>
      <c r="FN479" s="707"/>
      <c r="FO479" s="707"/>
      <c r="FP479" s="707"/>
      <c r="FQ479" s="707"/>
      <c r="FR479" s="707"/>
      <c r="FS479" s="707"/>
      <c r="FT479" s="707"/>
      <c r="FU479" s="707"/>
      <c r="FV479" s="707"/>
      <c r="FW479" s="707"/>
      <c r="FX479" s="707"/>
      <c r="FY479" s="707"/>
      <c r="FZ479" s="707"/>
      <c r="GA479" s="707"/>
      <c r="GB479" s="707"/>
      <c r="GC479" s="707"/>
      <c r="GD479" s="707"/>
      <c r="GE479" s="707"/>
      <c r="GF479" s="707"/>
      <c r="GG479" s="707"/>
      <c r="GH479" s="707"/>
      <c r="GI479" s="707"/>
      <c r="GJ479" s="707"/>
      <c r="GK479" s="707"/>
      <c r="GL479" s="707"/>
      <c r="GM479" s="707"/>
      <c r="GN479" s="707"/>
      <c r="GO479" s="707"/>
      <c r="GP479" s="707"/>
      <c r="GQ479" s="707"/>
      <c r="GR479" s="707"/>
      <c r="GS479" s="707"/>
      <c r="GT479" s="707"/>
      <c r="GU479" s="707"/>
      <c r="GV479" s="707"/>
      <c r="GW479" s="707"/>
      <c r="GX479" s="707"/>
      <c r="GY479" s="707"/>
      <c r="GZ479" s="707"/>
      <c r="HA479" s="707"/>
      <c r="HB479" s="707"/>
      <c r="HC479" s="707"/>
      <c r="HD479" s="707"/>
      <c r="HE479" s="707"/>
      <c r="HF479" s="707"/>
      <c r="HG479" s="707"/>
      <c r="HH479" s="707"/>
      <c r="HI479" s="707"/>
      <c r="HJ479" s="707"/>
      <c r="HK479" s="707"/>
      <c r="HL479" s="707"/>
      <c r="HM479" s="707"/>
      <c r="HN479" s="707"/>
      <c r="HO479" s="707"/>
      <c r="HP479" s="707"/>
      <c r="HQ479" s="707"/>
      <c r="HR479" s="707"/>
      <c r="HS479" s="707"/>
      <c r="HT479" s="707"/>
      <c r="HU479" s="707"/>
      <c r="HV479" s="707"/>
      <c r="HW479" s="707"/>
      <c r="HX479" s="707"/>
      <c r="HY479" s="707"/>
      <c r="HZ479" s="707"/>
      <c r="IA479" s="707"/>
      <c r="IB479" s="707"/>
      <c r="IC479" s="707"/>
      <c r="ID479" s="707"/>
      <c r="IE479" s="707"/>
      <c r="IF479" s="707"/>
      <c r="IG479" s="707"/>
      <c r="IH479" s="707"/>
      <c r="II479" s="707"/>
      <c r="IJ479" s="707"/>
      <c r="IK479" s="707"/>
      <c r="IL479" s="707"/>
      <c r="IM479" s="707"/>
      <c r="IN479" s="707"/>
      <c r="IO479" s="707"/>
      <c r="IP479" s="707"/>
      <c r="IQ479" s="707"/>
      <c r="IR479" s="707"/>
      <c r="IS479" s="707"/>
      <c r="IT479" s="707"/>
      <c r="IU479" s="707"/>
      <c r="IV479" s="707"/>
      <c r="IW479" s="707"/>
    </row>
    <row r="480" customFormat="false" ht="12.75" hidden="false" customHeight="false" outlineLevel="1" collapsed="false">
      <c r="A480" s="716"/>
      <c r="B480" s="717"/>
      <c r="C480" s="717"/>
      <c r="D480" s="717"/>
      <c r="E480" s="713"/>
      <c r="F480" s="713"/>
      <c r="G480" s="713"/>
      <c r="H480" s="713"/>
      <c r="I480" s="713"/>
      <c r="J480" s="713"/>
      <c r="K480" s="713"/>
      <c r="L480" s="713"/>
      <c r="M480" s="713"/>
      <c r="N480" s="713"/>
      <c r="O480" s="713"/>
      <c r="P480" s="713"/>
      <c r="Q480" s="713"/>
      <c r="R480" s="713"/>
      <c r="S480" s="713"/>
      <c r="T480" s="713"/>
      <c r="U480" s="713"/>
      <c r="V480" s="713"/>
      <c r="W480" s="713"/>
      <c r="X480" s="713"/>
      <c r="Y480" s="713"/>
      <c r="Z480" s="713"/>
      <c r="AA480" s="707"/>
      <c r="AB480" s="707"/>
      <c r="AC480" s="707"/>
      <c r="AD480" s="707"/>
      <c r="AE480" s="707"/>
      <c r="AF480" s="707"/>
      <c r="AG480" s="707"/>
      <c r="AH480" s="707"/>
      <c r="AI480" s="707"/>
      <c r="AJ480" s="707"/>
      <c r="AK480" s="707"/>
      <c r="AL480" s="707"/>
      <c r="AM480" s="707"/>
      <c r="AN480" s="707"/>
      <c r="AO480" s="707"/>
      <c r="AP480" s="707"/>
      <c r="AQ480" s="707"/>
      <c r="AR480" s="707"/>
      <c r="AS480" s="707"/>
      <c r="AT480" s="707"/>
      <c r="AU480" s="707"/>
      <c r="AV480" s="707"/>
      <c r="AW480" s="707"/>
      <c r="AX480" s="707"/>
      <c r="AY480" s="707"/>
      <c r="AZ480" s="707"/>
      <c r="BA480" s="707"/>
      <c r="BB480" s="707"/>
      <c r="BC480" s="707"/>
      <c r="BD480" s="707"/>
      <c r="BE480" s="707"/>
      <c r="BF480" s="707"/>
      <c r="BG480" s="707"/>
      <c r="BH480" s="707"/>
      <c r="BI480" s="707"/>
      <c r="BJ480" s="707"/>
      <c r="BK480" s="707"/>
      <c r="BL480" s="707"/>
      <c r="BM480" s="707"/>
      <c r="BN480" s="707"/>
      <c r="BO480" s="707"/>
      <c r="BP480" s="707"/>
      <c r="BQ480" s="707"/>
      <c r="BR480" s="707"/>
      <c r="BS480" s="707"/>
      <c r="BT480" s="707"/>
      <c r="BU480" s="707"/>
      <c r="BV480" s="707"/>
      <c r="BW480" s="707"/>
      <c r="BX480" s="707"/>
      <c r="BY480" s="707"/>
      <c r="BZ480" s="707"/>
      <c r="CA480" s="707"/>
      <c r="CB480" s="707"/>
      <c r="CC480" s="707"/>
      <c r="CD480" s="707"/>
      <c r="CE480" s="707"/>
      <c r="CF480" s="707"/>
      <c r="CG480" s="707"/>
      <c r="CH480" s="707"/>
      <c r="CI480" s="707"/>
      <c r="CJ480" s="707"/>
      <c r="CK480" s="707"/>
      <c r="CL480" s="707"/>
      <c r="CM480" s="707"/>
      <c r="CN480" s="707"/>
      <c r="CO480" s="707"/>
      <c r="CP480" s="707"/>
      <c r="CQ480" s="707"/>
      <c r="CR480" s="707"/>
      <c r="CS480" s="707"/>
      <c r="CT480" s="707"/>
      <c r="CU480" s="707"/>
      <c r="CV480" s="707"/>
      <c r="CW480" s="707"/>
      <c r="CX480" s="707"/>
      <c r="CY480" s="707"/>
      <c r="CZ480" s="707"/>
      <c r="DA480" s="707"/>
      <c r="DB480" s="707"/>
      <c r="DC480" s="707"/>
      <c r="DD480" s="707"/>
      <c r="DE480" s="707"/>
      <c r="DF480" s="707"/>
      <c r="DG480" s="707"/>
      <c r="DH480" s="707"/>
      <c r="DI480" s="707"/>
      <c r="DJ480" s="707"/>
      <c r="DK480" s="707"/>
      <c r="DL480" s="707"/>
      <c r="DM480" s="707"/>
      <c r="DN480" s="707"/>
      <c r="DO480" s="707"/>
      <c r="DP480" s="707"/>
      <c r="DQ480" s="707"/>
      <c r="DR480" s="707"/>
      <c r="DS480" s="707"/>
      <c r="DT480" s="707"/>
      <c r="DU480" s="707"/>
      <c r="DV480" s="707"/>
      <c r="DW480" s="707"/>
      <c r="DX480" s="707"/>
      <c r="DY480" s="707"/>
      <c r="DZ480" s="707"/>
      <c r="EA480" s="707"/>
      <c r="EB480" s="707"/>
      <c r="EC480" s="707"/>
      <c r="ED480" s="707"/>
      <c r="EE480" s="707"/>
      <c r="EF480" s="707"/>
      <c r="EG480" s="707"/>
      <c r="EH480" s="707"/>
      <c r="EI480" s="707"/>
      <c r="EJ480" s="707"/>
      <c r="EK480" s="707"/>
      <c r="EL480" s="707"/>
      <c r="EM480" s="707"/>
      <c r="EN480" s="707"/>
      <c r="EO480" s="707"/>
      <c r="EP480" s="707"/>
      <c r="EQ480" s="707"/>
      <c r="ER480" s="707"/>
      <c r="ES480" s="707"/>
      <c r="ET480" s="707"/>
      <c r="EU480" s="707"/>
      <c r="EV480" s="707"/>
      <c r="EW480" s="707"/>
      <c r="EX480" s="707"/>
      <c r="EY480" s="707"/>
      <c r="EZ480" s="707"/>
      <c r="FA480" s="707"/>
      <c r="FB480" s="707"/>
      <c r="FC480" s="707"/>
      <c r="FD480" s="707"/>
      <c r="FE480" s="707"/>
      <c r="FF480" s="707"/>
      <c r="FG480" s="707"/>
      <c r="FH480" s="707"/>
      <c r="FI480" s="707"/>
      <c r="FJ480" s="707"/>
      <c r="FK480" s="707"/>
      <c r="FL480" s="707"/>
      <c r="FM480" s="707"/>
      <c r="FN480" s="707"/>
      <c r="FO480" s="707"/>
      <c r="FP480" s="707"/>
      <c r="FQ480" s="707"/>
      <c r="FR480" s="707"/>
      <c r="FS480" s="707"/>
      <c r="FT480" s="707"/>
      <c r="FU480" s="707"/>
      <c r="FV480" s="707"/>
      <c r="FW480" s="707"/>
      <c r="FX480" s="707"/>
      <c r="FY480" s="707"/>
      <c r="FZ480" s="707"/>
      <c r="GA480" s="707"/>
      <c r="GB480" s="707"/>
      <c r="GC480" s="707"/>
      <c r="GD480" s="707"/>
      <c r="GE480" s="707"/>
      <c r="GF480" s="707"/>
      <c r="GG480" s="707"/>
      <c r="GH480" s="707"/>
      <c r="GI480" s="707"/>
      <c r="GJ480" s="707"/>
      <c r="GK480" s="707"/>
      <c r="GL480" s="707"/>
      <c r="GM480" s="707"/>
      <c r="GN480" s="707"/>
      <c r="GO480" s="707"/>
      <c r="GP480" s="707"/>
      <c r="GQ480" s="707"/>
      <c r="GR480" s="707"/>
      <c r="GS480" s="707"/>
      <c r="GT480" s="707"/>
      <c r="GU480" s="707"/>
      <c r="GV480" s="707"/>
      <c r="GW480" s="707"/>
      <c r="GX480" s="707"/>
      <c r="GY480" s="707"/>
      <c r="GZ480" s="707"/>
      <c r="HA480" s="707"/>
      <c r="HB480" s="707"/>
      <c r="HC480" s="707"/>
      <c r="HD480" s="707"/>
      <c r="HE480" s="707"/>
      <c r="HF480" s="707"/>
      <c r="HG480" s="707"/>
      <c r="HH480" s="707"/>
      <c r="HI480" s="707"/>
      <c r="HJ480" s="707"/>
      <c r="HK480" s="707"/>
      <c r="HL480" s="707"/>
      <c r="HM480" s="707"/>
      <c r="HN480" s="707"/>
      <c r="HO480" s="707"/>
      <c r="HP480" s="707"/>
      <c r="HQ480" s="707"/>
      <c r="HR480" s="707"/>
      <c r="HS480" s="707"/>
      <c r="HT480" s="707"/>
      <c r="HU480" s="707"/>
      <c r="HV480" s="707"/>
      <c r="HW480" s="707"/>
      <c r="HX480" s="707"/>
      <c r="HY480" s="707"/>
      <c r="HZ480" s="707"/>
      <c r="IA480" s="707"/>
      <c r="IB480" s="707"/>
      <c r="IC480" s="707"/>
      <c r="ID480" s="707"/>
      <c r="IE480" s="707"/>
      <c r="IF480" s="707"/>
      <c r="IG480" s="707"/>
      <c r="IH480" s="707"/>
      <c r="II480" s="707"/>
      <c r="IJ480" s="707"/>
      <c r="IK480" s="707"/>
      <c r="IL480" s="707"/>
      <c r="IM480" s="707"/>
      <c r="IN480" s="707"/>
      <c r="IO480" s="707"/>
      <c r="IP480" s="707"/>
      <c r="IQ480" s="707"/>
      <c r="IR480" s="707"/>
      <c r="IS480" s="707"/>
      <c r="IT480" s="707"/>
      <c r="IU480" s="707"/>
      <c r="IV480" s="707"/>
      <c r="IW480" s="707"/>
    </row>
    <row r="481" customFormat="false" ht="12.75" hidden="false" customHeight="false" outlineLevel="1" collapsed="false">
      <c r="A481" s="716"/>
      <c r="B481" s="717"/>
      <c r="C481" s="717"/>
      <c r="D481" s="717"/>
      <c r="E481" s="713"/>
      <c r="F481" s="713"/>
      <c r="G481" s="713"/>
      <c r="H481" s="713"/>
      <c r="I481" s="713"/>
      <c r="J481" s="713"/>
      <c r="K481" s="713"/>
      <c r="L481" s="713"/>
      <c r="M481" s="713"/>
      <c r="N481" s="713"/>
      <c r="O481" s="713"/>
      <c r="P481" s="713"/>
      <c r="Q481" s="713"/>
      <c r="R481" s="713"/>
      <c r="S481" s="713"/>
      <c r="T481" s="713"/>
      <c r="U481" s="713"/>
      <c r="V481" s="713"/>
      <c r="W481" s="713"/>
      <c r="X481" s="713"/>
      <c r="Y481" s="713"/>
      <c r="Z481" s="713"/>
      <c r="AA481" s="707"/>
      <c r="AB481" s="707"/>
      <c r="AC481" s="707"/>
      <c r="AD481" s="707"/>
      <c r="AE481" s="707"/>
      <c r="AF481" s="707"/>
      <c r="AG481" s="707"/>
      <c r="AH481" s="707"/>
      <c r="AI481" s="707"/>
      <c r="AJ481" s="707"/>
      <c r="AK481" s="707"/>
      <c r="AL481" s="707"/>
      <c r="AM481" s="707"/>
      <c r="AN481" s="707"/>
      <c r="AO481" s="707"/>
      <c r="AP481" s="707"/>
      <c r="AQ481" s="707"/>
      <c r="AR481" s="707"/>
      <c r="AS481" s="707"/>
      <c r="AT481" s="707"/>
      <c r="AU481" s="707"/>
      <c r="AV481" s="707"/>
      <c r="AW481" s="707"/>
      <c r="AX481" s="707"/>
      <c r="AY481" s="707"/>
      <c r="AZ481" s="707"/>
      <c r="BA481" s="707"/>
      <c r="BB481" s="707"/>
      <c r="BC481" s="707"/>
      <c r="BD481" s="707"/>
      <c r="BE481" s="707"/>
      <c r="BF481" s="707"/>
      <c r="BG481" s="707"/>
      <c r="BH481" s="707"/>
      <c r="BI481" s="707"/>
      <c r="BJ481" s="707"/>
      <c r="BK481" s="707"/>
      <c r="BL481" s="707"/>
      <c r="BM481" s="707"/>
      <c r="BN481" s="707"/>
      <c r="BO481" s="707"/>
      <c r="BP481" s="707"/>
      <c r="BQ481" s="707"/>
      <c r="BR481" s="707"/>
      <c r="BS481" s="707"/>
      <c r="BT481" s="707"/>
      <c r="BU481" s="707"/>
      <c r="BV481" s="707"/>
      <c r="BW481" s="707"/>
      <c r="BX481" s="707"/>
      <c r="BY481" s="707"/>
      <c r="BZ481" s="707"/>
      <c r="CA481" s="707"/>
      <c r="CB481" s="707"/>
      <c r="CC481" s="707"/>
      <c r="CD481" s="707"/>
      <c r="CE481" s="707"/>
      <c r="CF481" s="707"/>
      <c r="CG481" s="707"/>
      <c r="CH481" s="707"/>
      <c r="CI481" s="707"/>
      <c r="CJ481" s="707"/>
      <c r="CK481" s="707"/>
      <c r="CL481" s="707"/>
      <c r="CM481" s="707"/>
      <c r="CN481" s="707"/>
      <c r="CO481" s="707"/>
      <c r="CP481" s="707"/>
      <c r="CQ481" s="707"/>
      <c r="CR481" s="707"/>
      <c r="CS481" s="707"/>
      <c r="CT481" s="707"/>
      <c r="CU481" s="707"/>
      <c r="CV481" s="707"/>
      <c r="CW481" s="707"/>
      <c r="CX481" s="707"/>
      <c r="CY481" s="707"/>
      <c r="CZ481" s="707"/>
      <c r="DA481" s="707"/>
      <c r="DB481" s="707"/>
      <c r="DC481" s="707"/>
      <c r="DD481" s="707"/>
      <c r="DE481" s="707"/>
      <c r="DF481" s="707"/>
      <c r="DG481" s="707"/>
      <c r="DH481" s="707"/>
      <c r="DI481" s="707"/>
      <c r="DJ481" s="707"/>
      <c r="DK481" s="707"/>
      <c r="DL481" s="707"/>
      <c r="DM481" s="707"/>
      <c r="DN481" s="707"/>
      <c r="DO481" s="707"/>
      <c r="DP481" s="707"/>
      <c r="DQ481" s="707"/>
      <c r="DR481" s="707"/>
      <c r="DS481" s="707"/>
      <c r="DT481" s="707"/>
      <c r="DU481" s="707"/>
      <c r="DV481" s="707"/>
      <c r="DW481" s="707"/>
      <c r="DX481" s="707"/>
      <c r="DY481" s="707"/>
      <c r="DZ481" s="707"/>
      <c r="EA481" s="707"/>
      <c r="EB481" s="707"/>
      <c r="EC481" s="707"/>
      <c r="ED481" s="707"/>
      <c r="EE481" s="707"/>
      <c r="EF481" s="707"/>
      <c r="EG481" s="707"/>
      <c r="EH481" s="707"/>
      <c r="EI481" s="707"/>
      <c r="EJ481" s="707"/>
      <c r="EK481" s="707"/>
      <c r="EL481" s="707"/>
      <c r="EM481" s="707"/>
      <c r="EN481" s="707"/>
      <c r="EO481" s="707"/>
      <c r="EP481" s="707"/>
      <c r="EQ481" s="707"/>
      <c r="ER481" s="707"/>
      <c r="ES481" s="707"/>
      <c r="ET481" s="707"/>
      <c r="EU481" s="707"/>
      <c r="EV481" s="707"/>
      <c r="EW481" s="707"/>
      <c r="EX481" s="707"/>
      <c r="EY481" s="707"/>
      <c r="EZ481" s="707"/>
      <c r="FA481" s="707"/>
      <c r="FB481" s="707"/>
      <c r="FC481" s="707"/>
      <c r="FD481" s="707"/>
      <c r="FE481" s="707"/>
      <c r="FF481" s="707"/>
      <c r="FG481" s="707"/>
      <c r="FH481" s="707"/>
      <c r="FI481" s="707"/>
      <c r="FJ481" s="707"/>
      <c r="FK481" s="707"/>
      <c r="FL481" s="707"/>
      <c r="FM481" s="707"/>
      <c r="FN481" s="707"/>
      <c r="FO481" s="707"/>
      <c r="FP481" s="707"/>
      <c r="FQ481" s="707"/>
      <c r="FR481" s="707"/>
      <c r="FS481" s="707"/>
      <c r="FT481" s="707"/>
      <c r="FU481" s="707"/>
      <c r="FV481" s="707"/>
      <c r="FW481" s="707"/>
      <c r="FX481" s="707"/>
      <c r="FY481" s="707"/>
      <c r="FZ481" s="707"/>
      <c r="GA481" s="707"/>
      <c r="GB481" s="707"/>
      <c r="GC481" s="707"/>
      <c r="GD481" s="707"/>
      <c r="GE481" s="707"/>
      <c r="GF481" s="707"/>
      <c r="GG481" s="707"/>
      <c r="GH481" s="707"/>
      <c r="GI481" s="707"/>
      <c r="GJ481" s="707"/>
      <c r="GK481" s="707"/>
      <c r="GL481" s="707"/>
      <c r="GM481" s="707"/>
      <c r="GN481" s="707"/>
      <c r="GO481" s="707"/>
      <c r="GP481" s="707"/>
      <c r="GQ481" s="707"/>
      <c r="GR481" s="707"/>
      <c r="GS481" s="707"/>
      <c r="GT481" s="707"/>
      <c r="GU481" s="707"/>
      <c r="GV481" s="707"/>
      <c r="GW481" s="707"/>
      <c r="GX481" s="707"/>
      <c r="GY481" s="707"/>
      <c r="GZ481" s="707"/>
      <c r="HA481" s="707"/>
      <c r="HB481" s="707"/>
      <c r="HC481" s="707"/>
      <c r="HD481" s="707"/>
      <c r="HE481" s="707"/>
      <c r="HF481" s="707"/>
      <c r="HG481" s="707"/>
      <c r="HH481" s="707"/>
      <c r="HI481" s="707"/>
      <c r="HJ481" s="707"/>
      <c r="HK481" s="707"/>
      <c r="HL481" s="707"/>
      <c r="HM481" s="707"/>
      <c r="HN481" s="707"/>
      <c r="HO481" s="707"/>
      <c r="HP481" s="707"/>
      <c r="HQ481" s="707"/>
      <c r="HR481" s="707"/>
      <c r="HS481" s="707"/>
      <c r="HT481" s="707"/>
      <c r="HU481" s="707"/>
      <c r="HV481" s="707"/>
      <c r="HW481" s="707"/>
      <c r="HX481" s="707"/>
      <c r="HY481" s="707"/>
      <c r="HZ481" s="707"/>
      <c r="IA481" s="707"/>
      <c r="IB481" s="707"/>
      <c r="IC481" s="707"/>
      <c r="ID481" s="707"/>
      <c r="IE481" s="707"/>
      <c r="IF481" s="707"/>
      <c r="IG481" s="707"/>
      <c r="IH481" s="707"/>
      <c r="II481" s="707"/>
      <c r="IJ481" s="707"/>
      <c r="IK481" s="707"/>
      <c r="IL481" s="707"/>
      <c r="IM481" s="707"/>
      <c r="IN481" s="707"/>
      <c r="IO481" s="707"/>
      <c r="IP481" s="707"/>
      <c r="IQ481" s="707"/>
      <c r="IR481" s="707"/>
      <c r="IS481" s="707"/>
      <c r="IT481" s="707"/>
      <c r="IU481" s="707"/>
      <c r="IV481" s="707"/>
      <c r="IW481" s="707"/>
    </row>
    <row r="482" customFormat="false" ht="12.75" hidden="false" customHeight="false" outlineLevel="1" collapsed="false">
      <c r="A482" s="716"/>
      <c r="B482" s="717"/>
      <c r="C482" s="717"/>
      <c r="D482" s="717"/>
      <c r="E482" s="713"/>
      <c r="F482" s="713"/>
      <c r="G482" s="713"/>
      <c r="H482" s="713"/>
      <c r="I482" s="713"/>
      <c r="J482" s="713"/>
      <c r="K482" s="713"/>
      <c r="L482" s="713"/>
      <c r="M482" s="713"/>
      <c r="N482" s="713"/>
      <c r="O482" s="713"/>
      <c r="P482" s="713"/>
      <c r="Q482" s="713"/>
      <c r="R482" s="713"/>
      <c r="S482" s="713"/>
      <c r="T482" s="713"/>
      <c r="U482" s="713"/>
      <c r="V482" s="713"/>
      <c r="W482" s="713"/>
      <c r="X482" s="713"/>
      <c r="Y482" s="713"/>
      <c r="Z482" s="713"/>
      <c r="AA482" s="707"/>
      <c r="AB482" s="707"/>
      <c r="AC482" s="707"/>
      <c r="AD482" s="707"/>
      <c r="AE482" s="707"/>
      <c r="AF482" s="707"/>
      <c r="AG482" s="707"/>
      <c r="AH482" s="707"/>
      <c r="AI482" s="707"/>
      <c r="AJ482" s="707"/>
      <c r="AK482" s="707"/>
      <c r="AL482" s="707"/>
      <c r="AM482" s="707"/>
      <c r="AN482" s="707"/>
      <c r="AO482" s="707"/>
      <c r="AP482" s="707"/>
      <c r="AQ482" s="707"/>
      <c r="AR482" s="707"/>
      <c r="AS482" s="707"/>
      <c r="AT482" s="707"/>
      <c r="AU482" s="707"/>
      <c r="AV482" s="707"/>
      <c r="AW482" s="707"/>
      <c r="AX482" s="707"/>
      <c r="AY482" s="707"/>
      <c r="AZ482" s="707"/>
      <c r="BA482" s="707"/>
      <c r="BB482" s="707"/>
      <c r="BC482" s="707"/>
      <c r="BD482" s="707"/>
      <c r="BE482" s="707"/>
      <c r="BF482" s="707"/>
      <c r="BG482" s="707"/>
      <c r="BH482" s="707"/>
      <c r="BI482" s="707"/>
      <c r="BJ482" s="707"/>
      <c r="BK482" s="707"/>
      <c r="BL482" s="707"/>
      <c r="BM482" s="707"/>
      <c r="BN482" s="707"/>
      <c r="BO482" s="707"/>
      <c r="BP482" s="707"/>
      <c r="BQ482" s="707"/>
      <c r="BR482" s="707"/>
      <c r="BS482" s="707"/>
      <c r="BT482" s="707"/>
      <c r="BU482" s="707"/>
      <c r="BV482" s="707"/>
      <c r="BW482" s="707"/>
      <c r="BX482" s="707"/>
      <c r="BY482" s="707"/>
      <c r="BZ482" s="707"/>
      <c r="CA482" s="707"/>
      <c r="CB482" s="707"/>
      <c r="CC482" s="707"/>
      <c r="CD482" s="707"/>
      <c r="CE482" s="707"/>
      <c r="CF482" s="707"/>
      <c r="CG482" s="707"/>
      <c r="CH482" s="707"/>
      <c r="CI482" s="707"/>
      <c r="CJ482" s="707"/>
      <c r="CK482" s="707"/>
      <c r="CL482" s="707"/>
      <c r="CM482" s="707"/>
      <c r="CN482" s="707"/>
      <c r="CO482" s="707"/>
      <c r="CP482" s="707"/>
      <c r="CQ482" s="707"/>
      <c r="CR482" s="707"/>
      <c r="CS482" s="707"/>
      <c r="CT482" s="707"/>
      <c r="CU482" s="707"/>
      <c r="CV482" s="707"/>
      <c r="CW482" s="707"/>
      <c r="CX482" s="707"/>
      <c r="CY482" s="707"/>
      <c r="CZ482" s="707"/>
      <c r="DA482" s="707"/>
      <c r="DB482" s="707"/>
      <c r="DC482" s="707"/>
      <c r="DD482" s="707"/>
      <c r="DE482" s="707"/>
      <c r="DF482" s="707"/>
      <c r="DG482" s="707"/>
      <c r="DH482" s="707"/>
      <c r="DI482" s="707"/>
      <c r="DJ482" s="707"/>
      <c r="DK482" s="707"/>
      <c r="DL482" s="707"/>
      <c r="DM482" s="707"/>
      <c r="DN482" s="707"/>
      <c r="DO482" s="707"/>
      <c r="DP482" s="707"/>
      <c r="DQ482" s="707"/>
      <c r="DR482" s="707"/>
      <c r="DS482" s="707"/>
      <c r="DT482" s="707"/>
      <c r="DU482" s="707"/>
      <c r="DV482" s="707"/>
      <c r="DW482" s="707"/>
      <c r="DX482" s="707"/>
      <c r="DY482" s="707"/>
      <c r="DZ482" s="707"/>
      <c r="EA482" s="707"/>
      <c r="EB482" s="707"/>
      <c r="EC482" s="707"/>
      <c r="ED482" s="707"/>
      <c r="EE482" s="707"/>
      <c r="EF482" s="707"/>
      <c r="EG482" s="707"/>
      <c r="EH482" s="707"/>
      <c r="EI482" s="707"/>
      <c r="EJ482" s="707"/>
      <c r="EK482" s="707"/>
      <c r="EL482" s="707"/>
      <c r="EM482" s="707"/>
      <c r="EN482" s="707"/>
      <c r="EO482" s="707"/>
      <c r="EP482" s="707"/>
      <c r="EQ482" s="707"/>
      <c r="ER482" s="707"/>
      <c r="ES482" s="707"/>
      <c r="ET482" s="707"/>
      <c r="EU482" s="707"/>
      <c r="EV482" s="707"/>
      <c r="EW482" s="707"/>
      <c r="EX482" s="707"/>
      <c r="EY482" s="707"/>
      <c r="EZ482" s="707"/>
      <c r="FA482" s="707"/>
      <c r="FB482" s="707"/>
      <c r="FC482" s="707"/>
      <c r="FD482" s="707"/>
      <c r="FE482" s="707"/>
      <c r="FF482" s="707"/>
      <c r="FG482" s="707"/>
      <c r="FH482" s="707"/>
      <c r="FI482" s="707"/>
      <c r="FJ482" s="707"/>
      <c r="FK482" s="707"/>
      <c r="FL482" s="707"/>
      <c r="FM482" s="707"/>
      <c r="FN482" s="707"/>
      <c r="FO482" s="707"/>
      <c r="FP482" s="707"/>
      <c r="FQ482" s="707"/>
      <c r="FR482" s="707"/>
      <c r="FS482" s="707"/>
      <c r="FT482" s="707"/>
      <c r="FU482" s="707"/>
      <c r="FV482" s="707"/>
      <c r="FW482" s="707"/>
      <c r="FX482" s="707"/>
      <c r="FY482" s="707"/>
      <c r="FZ482" s="707"/>
      <c r="GA482" s="707"/>
      <c r="GB482" s="707"/>
      <c r="GC482" s="707"/>
      <c r="GD482" s="707"/>
      <c r="GE482" s="707"/>
      <c r="GF482" s="707"/>
      <c r="GG482" s="707"/>
      <c r="GH482" s="707"/>
      <c r="GI482" s="707"/>
      <c r="GJ482" s="707"/>
      <c r="GK482" s="707"/>
      <c r="GL482" s="707"/>
      <c r="GM482" s="707"/>
      <c r="GN482" s="707"/>
      <c r="GO482" s="707"/>
      <c r="GP482" s="707"/>
      <c r="GQ482" s="707"/>
      <c r="GR482" s="707"/>
      <c r="GS482" s="707"/>
      <c r="GT482" s="707"/>
      <c r="GU482" s="707"/>
      <c r="GV482" s="707"/>
      <c r="GW482" s="707"/>
      <c r="GX482" s="707"/>
      <c r="GY482" s="707"/>
      <c r="GZ482" s="707"/>
      <c r="HA482" s="707"/>
      <c r="HB482" s="707"/>
      <c r="HC482" s="707"/>
      <c r="HD482" s="707"/>
      <c r="HE482" s="707"/>
      <c r="HF482" s="707"/>
      <c r="HG482" s="707"/>
      <c r="HH482" s="707"/>
      <c r="HI482" s="707"/>
      <c r="HJ482" s="707"/>
      <c r="HK482" s="707"/>
      <c r="HL482" s="707"/>
      <c r="HM482" s="707"/>
      <c r="HN482" s="707"/>
      <c r="HO482" s="707"/>
      <c r="HP482" s="707"/>
      <c r="HQ482" s="707"/>
      <c r="HR482" s="707"/>
      <c r="HS482" s="707"/>
      <c r="HT482" s="707"/>
      <c r="HU482" s="707"/>
      <c r="HV482" s="707"/>
      <c r="HW482" s="707"/>
      <c r="HX482" s="707"/>
      <c r="HY482" s="707"/>
      <c r="HZ482" s="707"/>
      <c r="IA482" s="707"/>
      <c r="IB482" s="707"/>
      <c r="IC482" s="707"/>
      <c r="ID482" s="707"/>
      <c r="IE482" s="707"/>
      <c r="IF482" s="707"/>
      <c r="IG482" s="707"/>
      <c r="IH482" s="707"/>
      <c r="II482" s="707"/>
      <c r="IJ482" s="707"/>
      <c r="IK482" s="707"/>
      <c r="IL482" s="707"/>
      <c r="IM482" s="707"/>
      <c r="IN482" s="707"/>
      <c r="IO482" s="707"/>
      <c r="IP482" s="707"/>
      <c r="IQ482" s="707"/>
      <c r="IR482" s="707"/>
      <c r="IS482" s="707"/>
      <c r="IT482" s="707"/>
      <c r="IU482" s="707"/>
      <c r="IV482" s="707"/>
      <c r="IW482" s="707"/>
    </row>
    <row r="483" customFormat="false" ht="12.75" hidden="false" customHeight="false" outlineLevel="1" collapsed="false">
      <c r="A483" s="398"/>
      <c r="B483" s="717"/>
      <c r="C483" s="717"/>
      <c r="D483" s="717"/>
      <c r="E483" s="713"/>
      <c r="F483" s="713"/>
      <c r="G483" s="713"/>
      <c r="H483" s="713"/>
      <c r="I483" s="713"/>
      <c r="J483" s="713"/>
      <c r="K483" s="713"/>
      <c r="L483" s="713"/>
      <c r="M483" s="713"/>
      <c r="N483" s="713"/>
      <c r="O483" s="713"/>
      <c r="P483" s="713"/>
      <c r="Q483" s="713"/>
      <c r="R483" s="713"/>
      <c r="S483" s="713"/>
      <c r="T483" s="713"/>
      <c r="U483" s="713"/>
      <c r="V483" s="713"/>
      <c r="W483" s="713"/>
      <c r="X483" s="713"/>
      <c r="Y483" s="713"/>
      <c r="Z483" s="713"/>
      <c r="AA483" s="707"/>
      <c r="AB483" s="707"/>
      <c r="AC483" s="707"/>
      <c r="AD483" s="707"/>
      <c r="AE483" s="707"/>
      <c r="AF483" s="707"/>
      <c r="AG483" s="707"/>
      <c r="AH483" s="707"/>
      <c r="AI483" s="707"/>
      <c r="AJ483" s="707"/>
      <c r="AK483" s="707"/>
      <c r="AL483" s="707"/>
      <c r="AM483" s="707"/>
      <c r="AN483" s="707"/>
      <c r="AO483" s="707"/>
      <c r="AP483" s="707"/>
      <c r="AQ483" s="707"/>
      <c r="AR483" s="707"/>
      <c r="AS483" s="707"/>
      <c r="AT483" s="707"/>
      <c r="AU483" s="707"/>
      <c r="AV483" s="707"/>
      <c r="AW483" s="707"/>
      <c r="AX483" s="707"/>
      <c r="AY483" s="707"/>
      <c r="AZ483" s="707"/>
      <c r="BA483" s="707"/>
      <c r="BB483" s="707"/>
      <c r="BC483" s="707"/>
      <c r="BD483" s="707"/>
      <c r="BE483" s="707"/>
      <c r="BF483" s="707"/>
      <c r="BG483" s="707"/>
      <c r="BH483" s="707"/>
      <c r="BI483" s="707"/>
      <c r="BJ483" s="707"/>
      <c r="BK483" s="707"/>
      <c r="BL483" s="707"/>
      <c r="BM483" s="707"/>
      <c r="BN483" s="707"/>
      <c r="BO483" s="707"/>
      <c r="BP483" s="707"/>
      <c r="BQ483" s="707"/>
      <c r="BR483" s="707"/>
      <c r="BS483" s="707"/>
      <c r="BT483" s="707"/>
      <c r="BU483" s="707"/>
      <c r="BV483" s="707"/>
      <c r="BW483" s="707"/>
      <c r="BX483" s="707"/>
      <c r="BY483" s="707"/>
      <c r="BZ483" s="707"/>
      <c r="CA483" s="707"/>
      <c r="CB483" s="707"/>
      <c r="CC483" s="707"/>
      <c r="CD483" s="707"/>
      <c r="CE483" s="707"/>
      <c r="CF483" s="707"/>
      <c r="CG483" s="707"/>
      <c r="CH483" s="707"/>
      <c r="CI483" s="707"/>
      <c r="CJ483" s="707"/>
      <c r="CK483" s="707"/>
      <c r="CL483" s="707"/>
      <c r="CM483" s="707"/>
      <c r="CN483" s="707"/>
      <c r="CO483" s="707"/>
      <c r="CP483" s="707"/>
      <c r="CQ483" s="707"/>
      <c r="CR483" s="707"/>
      <c r="CS483" s="707"/>
      <c r="CT483" s="707"/>
      <c r="CU483" s="707"/>
      <c r="CV483" s="707"/>
      <c r="CW483" s="707"/>
      <c r="CX483" s="707"/>
      <c r="CY483" s="707"/>
      <c r="CZ483" s="707"/>
      <c r="DA483" s="707"/>
      <c r="DB483" s="707"/>
      <c r="DC483" s="707"/>
      <c r="DD483" s="707"/>
      <c r="DE483" s="707"/>
      <c r="DF483" s="707"/>
      <c r="DG483" s="707"/>
      <c r="DH483" s="707"/>
      <c r="DI483" s="707"/>
      <c r="DJ483" s="707"/>
      <c r="DK483" s="707"/>
      <c r="DL483" s="707"/>
      <c r="DM483" s="707"/>
      <c r="DN483" s="707"/>
      <c r="DO483" s="707"/>
      <c r="DP483" s="707"/>
      <c r="DQ483" s="707"/>
      <c r="DR483" s="707"/>
      <c r="DS483" s="707"/>
      <c r="DT483" s="707"/>
      <c r="DU483" s="707"/>
      <c r="DV483" s="707"/>
      <c r="DW483" s="707"/>
      <c r="DX483" s="707"/>
      <c r="DY483" s="707"/>
      <c r="DZ483" s="707"/>
      <c r="EA483" s="707"/>
      <c r="EB483" s="707"/>
      <c r="EC483" s="707"/>
      <c r="ED483" s="707"/>
      <c r="EE483" s="707"/>
      <c r="EF483" s="707"/>
      <c r="EG483" s="707"/>
      <c r="EH483" s="707"/>
      <c r="EI483" s="707"/>
      <c r="EJ483" s="707"/>
      <c r="EK483" s="707"/>
      <c r="EL483" s="707"/>
      <c r="EM483" s="707"/>
      <c r="EN483" s="707"/>
      <c r="EO483" s="707"/>
      <c r="EP483" s="707"/>
      <c r="EQ483" s="707"/>
      <c r="ER483" s="707"/>
      <c r="ES483" s="707"/>
      <c r="ET483" s="707"/>
      <c r="EU483" s="707"/>
      <c r="EV483" s="707"/>
      <c r="EW483" s="707"/>
      <c r="EX483" s="707"/>
      <c r="EY483" s="707"/>
      <c r="EZ483" s="707"/>
      <c r="FA483" s="707"/>
      <c r="FB483" s="707"/>
      <c r="FC483" s="707"/>
      <c r="FD483" s="707"/>
      <c r="FE483" s="707"/>
      <c r="FF483" s="707"/>
      <c r="FG483" s="707"/>
      <c r="FH483" s="707"/>
      <c r="FI483" s="707"/>
      <c r="FJ483" s="707"/>
      <c r="FK483" s="707"/>
      <c r="FL483" s="707"/>
      <c r="FM483" s="707"/>
      <c r="FN483" s="707"/>
      <c r="FO483" s="707"/>
      <c r="FP483" s="707"/>
      <c r="FQ483" s="707"/>
      <c r="FR483" s="707"/>
      <c r="FS483" s="707"/>
      <c r="FT483" s="707"/>
      <c r="FU483" s="707"/>
      <c r="FV483" s="707"/>
      <c r="FW483" s="707"/>
      <c r="FX483" s="707"/>
      <c r="FY483" s="707"/>
      <c r="FZ483" s="707"/>
      <c r="GA483" s="707"/>
      <c r="GB483" s="707"/>
      <c r="GC483" s="707"/>
      <c r="GD483" s="707"/>
      <c r="GE483" s="707"/>
      <c r="GF483" s="707"/>
      <c r="GG483" s="707"/>
      <c r="GH483" s="707"/>
      <c r="GI483" s="707"/>
      <c r="GJ483" s="707"/>
      <c r="GK483" s="707"/>
      <c r="GL483" s="707"/>
      <c r="GM483" s="707"/>
      <c r="GN483" s="707"/>
      <c r="GO483" s="707"/>
      <c r="GP483" s="707"/>
      <c r="GQ483" s="707"/>
      <c r="GR483" s="707"/>
      <c r="GS483" s="707"/>
      <c r="GT483" s="707"/>
      <c r="GU483" s="707"/>
      <c r="GV483" s="707"/>
      <c r="GW483" s="707"/>
      <c r="GX483" s="707"/>
      <c r="GY483" s="707"/>
      <c r="GZ483" s="707"/>
      <c r="HA483" s="707"/>
      <c r="HB483" s="707"/>
      <c r="HC483" s="707"/>
      <c r="HD483" s="707"/>
      <c r="HE483" s="707"/>
      <c r="HF483" s="707"/>
      <c r="HG483" s="707"/>
      <c r="HH483" s="707"/>
      <c r="HI483" s="707"/>
      <c r="HJ483" s="707"/>
      <c r="HK483" s="707"/>
      <c r="HL483" s="707"/>
      <c r="HM483" s="707"/>
      <c r="HN483" s="707"/>
      <c r="HO483" s="707"/>
      <c r="HP483" s="707"/>
      <c r="HQ483" s="707"/>
      <c r="HR483" s="707"/>
      <c r="HS483" s="707"/>
      <c r="HT483" s="707"/>
      <c r="HU483" s="707"/>
      <c r="HV483" s="707"/>
      <c r="HW483" s="707"/>
      <c r="HX483" s="707"/>
      <c r="HY483" s="707"/>
      <c r="HZ483" s="707"/>
      <c r="IA483" s="707"/>
      <c r="IB483" s="707"/>
      <c r="IC483" s="707"/>
      <c r="ID483" s="707"/>
      <c r="IE483" s="707"/>
      <c r="IF483" s="707"/>
      <c r="IG483" s="707"/>
      <c r="IH483" s="707"/>
      <c r="II483" s="707"/>
      <c r="IJ483" s="707"/>
      <c r="IK483" s="707"/>
      <c r="IL483" s="707"/>
      <c r="IM483" s="707"/>
      <c r="IN483" s="707"/>
      <c r="IO483" s="707"/>
      <c r="IP483" s="707"/>
      <c r="IQ483" s="707"/>
      <c r="IR483" s="707"/>
      <c r="IS483" s="707"/>
      <c r="IT483" s="707"/>
      <c r="IU483" s="707"/>
      <c r="IV483" s="707"/>
      <c r="IW483" s="707"/>
    </row>
    <row r="484" customFormat="false" ht="12.75" hidden="false" customHeight="false" outlineLevel="1" collapsed="false">
      <c r="A484" s="716"/>
      <c r="B484" s="717"/>
      <c r="C484" s="717"/>
      <c r="D484" s="717"/>
      <c r="E484" s="713"/>
      <c r="F484" s="713"/>
      <c r="G484" s="713"/>
      <c r="H484" s="713"/>
      <c r="I484" s="713"/>
      <c r="J484" s="713"/>
      <c r="K484" s="713"/>
      <c r="L484" s="713"/>
      <c r="M484" s="713"/>
      <c r="N484" s="713"/>
      <c r="O484" s="713"/>
      <c r="P484" s="713"/>
      <c r="Q484" s="713"/>
      <c r="R484" s="713"/>
      <c r="S484" s="713"/>
      <c r="T484" s="713"/>
      <c r="U484" s="713"/>
      <c r="V484" s="713"/>
      <c r="W484" s="713"/>
      <c r="X484" s="713"/>
      <c r="Y484" s="713"/>
      <c r="Z484" s="713"/>
      <c r="AA484" s="707"/>
      <c r="AB484" s="707"/>
      <c r="AC484" s="707"/>
      <c r="AD484" s="707"/>
      <c r="AE484" s="707"/>
      <c r="AF484" s="707"/>
      <c r="AG484" s="707"/>
      <c r="AH484" s="707"/>
      <c r="AI484" s="707"/>
      <c r="AJ484" s="707"/>
      <c r="AK484" s="707"/>
      <c r="AL484" s="707"/>
      <c r="AM484" s="707"/>
      <c r="AN484" s="707"/>
      <c r="AO484" s="707"/>
      <c r="AP484" s="707"/>
      <c r="AQ484" s="707"/>
      <c r="AR484" s="707"/>
      <c r="AS484" s="707"/>
      <c r="AT484" s="707"/>
      <c r="AU484" s="707"/>
      <c r="AV484" s="707"/>
      <c r="AW484" s="707"/>
      <c r="AX484" s="707"/>
      <c r="AY484" s="707"/>
      <c r="AZ484" s="707"/>
      <c r="BA484" s="707"/>
      <c r="BB484" s="707"/>
      <c r="BC484" s="707"/>
      <c r="BD484" s="707"/>
      <c r="BE484" s="707"/>
      <c r="BF484" s="707"/>
      <c r="BG484" s="707"/>
      <c r="BH484" s="707"/>
      <c r="BI484" s="707"/>
      <c r="BJ484" s="707"/>
      <c r="BK484" s="707"/>
      <c r="BL484" s="707"/>
      <c r="BM484" s="707"/>
      <c r="BN484" s="707"/>
      <c r="BO484" s="707"/>
      <c r="BP484" s="707"/>
      <c r="BQ484" s="707"/>
      <c r="BR484" s="707"/>
      <c r="BS484" s="707"/>
      <c r="BT484" s="707"/>
      <c r="BU484" s="707"/>
      <c r="BV484" s="707"/>
      <c r="BW484" s="707"/>
      <c r="BX484" s="707"/>
      <c r="BY484" s="707"/>
      <c r="BZ484" s="707"/>
      <c r="CA484" s="707"/>
      <c r="CB484" s="707"/>
      <c r="CC484" s="707"/>
      <c r="CD484" s="707"/>
      <c r="CE484" s="707"/>
      <c r="CF484" s="707"/>
      <c r="CG484" s="707"/>
      <c r="CH484" s="707"/>
      <c r="CI484" s="707"/>
      <c r="CJ484" s="707"/>
      <c r="CK484" s="707"/>
      <c r="CL484" s="707"/>
      <c r="CM484" s="707"/>
      <c r="CN484" s="707"/>
      <c r="CO484" s="707"/>
      <c r="CP484" s="707"/>
      <c r="CQ484" s="707"/>
      <c r="CR484" s="707"/>
      <c r="CS484" s="707"/>
      <c r="CT484" s="707"/>
      <c r="CU484" s="707"/>
      <c r="CV484" s="707"/>
      <c r="CW484" s="707"/>
      <c r="CX484" s="707"/>
      <c r="CY484" s="707"/>
      <c r="CZ484" s="707"/>
      <c r="DA484" s="707"/>
      <c r="DB484" s="707"/>
      <c r="DC484" s="707"/>
      <c r="DD484" s="707"/>
      <c r="DE484" s="707"/>
      <c r="DF484" s="707"/>
      <c r="DG484" s="707"/>
      <c r="DH484" s="707"/>
      <c r="DI484" s="707"/>
      <c r="DJ484" s="707"/>
      <c r="DK484" s="707"/>
      <c r="DL484" s="707"/>
      <c r="DM484" s="707"/>
      <c r="DN484" s="707"/>
      <c r="DO484" s="707"/>
      <c r="DP484" s="707"/>
      <c r="DQ484" s="707"/>
      <c r="DR484" s="707"/>
      <c r="DS484" s="707"/>
      <c r="DT484" s="707"/>
      <c r="DU484" s="707"/>
      <c r="DV484" s="707"/>
      <c r="DW484" s="707"/>
      <c r="DX484" s="707"/>
      <c r="DY484" s="707"/>
      <c r="DZ484" s="707"/>
      <c r="EA484" s="707"/>
      <c r="EB484" s="707"/>
      <c r="EC484" s="707"/>
      <c r="ED484" s="707"/>
      <c r="EE484" s="707"/>
      <c r="EF484" s="707"/>
      <c r="EG484" s="707"/>
      <c r="EH484" s="707"/>
      <c r="EI484" s="707"/>
      <c r="EJ484" s="707"/>
      <c r="EK484" s="707"/>
      <c r="EL484" s="707"/>
      <c r="EM484" s="707"/>
      <c r="EN484" s="707"/>
      <c r="EO484" s="707"/>
      <c r="EP484" s="707"/>
      <c r="EQ484" s="707"/>
      <c r="ER484" s="707"/>
      <c r="ES484" s="707"/>
      <c r="ET484" s="707"/>
      <c r="EU484" s="707"/>
      <c r="EV484" s="707"/>
      <c r="EW484" s="707"/>
      <c r="EX484" s="707"/>
      <c r="EY484" s="707"/>
      <c r="EZ484" s="707"/>
      <c r="FA484" s="707"/>
      <c r="FB484" s="707"/>
      <c r="FC484" s="707"/>
      <c r="FD484" s="707"/>
      <c r="FE484" s="707"/>
      <c r="FF484" s="707"/>
      <c r="FG484" s="707"/>
      <c r="FH484" s="707"/>
      <c r="FI484" s="707"/>
      <c r="FJ484" s="707"/>
      <c r="FK484" s="707"/>
      <c r="FL484" s="707"/>
      <c r="FM484" s="707"/>
      <c r="FN484" s="707"/>
      <c r="FO484" s="707"/>
      <c r="FP484" s="707"/>
      <c r="FQ484" s="707"/>
      <c r="FR484" s="707"/>
      <c r="FS484" s="707"/>
      <c r="FT484" s="707"/>
      <c r="FU484" s="707"/>
      <c r="FV484" s="707"/>
      <c r="FW484" s="707"/>
      <c r="FX484" s="707"/>
      <c r="FY484" s="707"/>
      <c r="FZ484" s="707"/>
      <c r="GA484" s="707"/>
      <c r="GB484" s="707"/>
      <c r="GC484" s="707"/>
      <c r="GD484" s="707"/>
      <c r="GE484" s="707"/>
      <c r="GF484" s="707"/>
      <c r="GG484" s="707"/>
      <c r="GH484" s="707"/>
      <c r="GI484" s="707"/>
      <c r="GJ484" s="707"/>
      <c r="GK484" s="707"/>
      <c r="GL484" s="707"/>
      <c r="GM484" s="707"/>
      <c r="GN484" s="707"/>
      <c r="GO484" s="707"/>
      <c r="GP484" s="707"/>
      <c r="GQ484" s="707"/>
      <c r="GR484" s="707"/>
      <c r="GS484" s="707"/>
      <c r="GT484" s="707"/>
      <c r="GU484" s="707"/>
      <c r="GV484" s="707"/>
      <c r="GW484" s="707"/>
      <c r="GX484" s="707"/>
      <c r="GY484" s="707"/>
      <c r="GZ484" s="707"/>
      <c r="HA484" s="707"/>
      <c r="HB484" s="707"/>
      <c r="HC484" s="707"/>
      <c r="HD484" s="707"/>
      <c r="HE484" s="707"/>
      <c r="HF484" s="707"/>
      <c r="HG484" s="707"/>
      <c r="HH484" s="707"/>
      <c r="HI484" s="707"/>
      <c r="HJ484" s="707"/>
      <c r="HK484" s="707"/>
      <c r="HL484" s="707"/>
      <c r="HM484" s="707"/>
      <c r="HN484" s="707"/>
      <c r="HO484" s="707"/>
      <c r="HP484" s="707"/>
      <c r="HQ484" s="707"/>
      <c r="HR484" s="707"/>
      <c r="HS484" s="707"/>
      <c r="HT484" s="707"/>
      <c r="HU484" s="707"/>
      <c r="HV484" s="707"/>
      <c r="HW484" s="707"/>
      <c r="HX484" s="707"/>
      <c r="HY484" s="707"/>
      <c r="HZ484" s="707"/>
      <c r="IA484" s="707"/>
      <c r="IB484" s="707"/>
      <c r="IC484" s="707"/>
      <c r="ID484" s="707"/>
      <c r="IE484" s="707"/>
      <c r="IF484" s="707"/>
      <c r="IG484" s="707"/>
      <c r="IH484" s="707"/>
      <c r="II484" s="707"/>
      <c r="IJ484" s="707"/>
      <c r="IK484" s="707"/>
      <c r="IL484" s="707"/>
      <c r="IM484" s="707"/>
      <c r="IN484" s="707"/>
      <c r="IO484" s="707"/>
      <c r="IP484" s="707"/>
      <c r="IQ484" s="707"/>
      <c r="IR484" s="707"/>
      <c r="IS484" s="707"/>
      <c r="IT484" s="707"/>
      <c r="IU484" s="707"/>
      <c r="IV484" s="707"/>
      <c r="IW484" s="707"/>
    </row>
    <row r="485" customFormat="false" ht="12.75" hidden="false" customHeight="false" outlineLevel="1" collapsed="false">
      <c r="A485" s="716"/>
      <c r="B485" s="717"/>
      <c r="C485" s="717"/>
      <c r="D485" s="717"/>
      <c r="E485" s="713"/>
      <c r="F485" s="713"/>
      <c r="G485" s="713"/>
      <c r="H485" s="713"/>
      <c r="I485" s="713"/>
      <c r="J485" s="713"/>
      <c r="K485" s="713"/>
      <c r="L485" s="713"/>
      <c r="M485" s="713"/>
      <c r="N485" s="713"/>
      <c r="O485" s="713"/>
      <c r="P485" s="713"/>
      <c r="Q485" s="713"/>
      <c r="R485" s="713"/>
      <c r="S485" s="713"/>
      <c r="T485" s="713"/>
      <c r="U485" s="713"/>
      <c r="V485" s="713"/>
      <c r="W485" s="713"/>
      <c r="X485" s="713"/>
      <c r="Y485" s="713"/>
      <c r="Z485" s="713"/>
      <c r="AA485" s="707"/>
      <c r="AB485" s="707"/>
      <c r="AC485" s="707"/>
      <c r="AD485" s="707"/>
      <c r="AE485" s="707"/>
      <c r="AF485" s="707"/>
      <c r="AG485" s="707"/>
      <c r="AH485" s="707"/>
      <c r="AI485" s="707"/>
      <c r="AJ485" s="707"/>
      <c r="AK485" s="707"/>
      <c r="AL485" s="707"/>
      <c r="AM485" s="707"/>
      <c r="AN485" s="707"/>
      <c r="AO485" s="707"/>
      <c r="AP485" s="707"/>
      <c r="AQ485" s="707"/>
      <c r="AR485" s="707"/>
      <c r="AS485" s="707"/>
      <c r="AT485" s="707"/>
      <c r="AU485" s="707"/>
      <c r="AV485" s="707"/>
      <c r="AW485" s="707"/>
      <c r="AX485" s="707"/>
      <c r="AY485" s="707"/>
      <c r="AZ485" s="707"/>
      <c r="BA485" s="707"/>
      <c r="BB485" s="707"/>
      <c r="BC485" s="707"/>
      <c r="BD485" s="707"/>
      <c r="BE485" s="707"/>
      <c r="BF485" s="707"/>
      <c r="BG485" s="707"/>
      <c r="BH485" s="707"/>
      <c r="BI485" s="707"/>
      <c r="BJ485" s="707"/>
      <c r="BK485" s="707"/>
      <c r="BL485" s="707"/>
      <c r="BM485" s="707"/>
      <c r="BN485" s="707"/>
      <c r="BO485" s="707"/>
      <c r="BP485" s="707"/>
      <c r="BQ485" s="707"/>
      <c r="BR485" s="707"/>
      <c r="BS485" s="707"/>
      <c r="BT485" s="707"/>
      <c r="BU485" s="707"/>
      <c r="BV485" s="707"/>
      <c r="BW485" s="707"/>
      <c r="BX485" s="707"/>
      <c r="BY485" s="707"/>
      <c r="BZ485" s="707"/>
      <c r="CA485" s="707"/>
      <c r="CB485" s="707"/>
      <c r="CC485" s="707"/>
      <c r="CD485" s="707"/>
      <c r="CE485" s="707"/>
      <c r="CF485" s="707"/>
      <c r="CG485" s="707"/>
      <c r="CH485" s="707"/>
      <c r="CI485" s="707"/>
      <c r="CJ485" s="707"/>
      <c r="CK485" s="707"/>
      <c r="CL485" s="707"/>
      <c r="CM485" s="707"/>
      <c r="CN485" s="707"/>
      <c r="CO485" s="707"/>
      <c r="CP485" s="707"/>
      <c r="CQ485" s="707"/>
      <c r="CR485" s="707"/>
      <c r="CS485" s="707"/>
      <c r="CT485" s="707"/>
      <c r="CU485" s="707"/>
      <c r="CV485" s="707"/>
      <c r="CW485" s="707"/>
      <c r="CX485" s="707"/>
      <c r="CY485" s="707"/>
      <c r="CZ485" s="707"/>
      <c r="DA485" s="707"/>
      <c r="DB485" s="707"/>
      <c r="DC485" s="707"/>
      <c r="DD485" s="707"/>
      <c r="DE485" s="707"/>
      <c r="DF485" s="707"/>
      <c r="DG485" s="707"/>
      <c r="DH485" s="707"/>
      <c r="DI485" s="707"/>
      <c r="DJ485" s="707"/>
      <c r="DK485" s="707"/>
      <c r="DL485" s="707"/>
      <c r="DM485" s="707"/>
      <c r="DN485" s="707"/>
      <c r="DO485" s="707"/>
      <c r="DP485" s="707"/>
      <c r="DQ485" s="707"/>
      <c r="DR485" s="707"/>
      <c r="DS485" s="707"/>
      <c r="DT485" s="707"/>
      <c r="DU485" s="707"/>
      <c r="DV485" s="707"/>
      <c r="DW485" s="707"/>
      <c r="DX485" s="707"/>
      <c r="DY485" s="707"/>
      <c r="DZ485" s="707"/>
      <c r="EA485" s="707"/>
      <c r="EB485" s="707"/>
      <c r="EC485" s="707"/>
      <c r="ED485" s="707"/>
      <c r="EE485" s="707"/>
      <c r="EF485" s="707"/>
      <c r="EG485" s="707"/>
      <c r="EH485" s="707"/>
      <c r="EI485" s="707"/>
      <c r="EJ485" s="707"/>
      <c r="EK485" s="707"/>
      <c r="EL485" s="707"/>
      <c r="EM485" s="707"/>
      <c r="EN485" s="707"/>
      <c r="EO485" s="707"/>
      <c r="EP485" s="707"/>
      <c r="EQ485" s="707"/>
      <c r="ER485" s="707"/>
      <c r="ES485" s="707"/>
      <c r="ET485" s="707"/>
      <c r="EU485" s="707"/>
      <c r="EV485" s="707"/>
      <c r="EW485" s="707"/>
      <c r="EX485" s="707"/>
      <c r="EY485" s="707"/>
      <c r="EZ485" s="707"/>
      <c r="FA485" s="707"/>
      <c r="FB485" s="707"/>
      <c r="FC485" s="707"/>
      <c r="FD485" s="707"/>
      <c r="FE485" s="707"/>
      <c r="FF485" s="707"/>
      <c r="FG485" s="707"/>
      <c r="FH485" s="707"/>
      <c r="FI485" s="707"/>
      <c r="FJ485" s="707"/>
      <c r="FK485" s="707"/>
      <c r="FL485" s="707"/>
      <c r="FM485" s="707"/>
      <c r="FN485" s="707"/>
      <c r="FO485" s="707"/>
      <c r="FP485" s="707"/>
      <c r="FQ485" s="707"/>
      <c r="FR485" s="707"/>
      <c r="FS485" s="707"/>
      <c r="FT485" s="707"/>
      <c r="FU485" s="707"/>
      <c r="FV485" s="707"/>
      <c r="FW485" s="707"/>
      <c r="FX485" s="707"/>
      <c r="FY485" s="707"/>
      <c r="FZ485" s="707"/>
      <c r="GA485" s="707"/>
      <c r="GB485" s="707"/>
      <c r="GC485" s="707"/>
      <c r="GD485" s="707"/>
      <c r="GE485" s="707"/>
      <c r="GF485" s="707"/>
      <c r="GG485" s="707"/>
      <c r="GH485" s="707"/>
      <c r="GI485" s="707"/>
      <c r="GJ485" s="707"/>
      <c r="GK485" s="707"/>
      <c r="GL485" s="707"/>
      <c r="GM485" s="707"/>
      <c r="GN485" s="707"/>
      <c r="GO485" s="707"/>
      <c r="GP485" s="707"/>
      <c r="GQ485" s="707"/>
      <c r="GR485" s="707"/>
      <c r="GS485" s="707"/>
      <c r="GT485" s="707"/>
      <c r="GU485" s="707"/>
      <c r="GV485" s="707"/>
      <c r="GW485" s="707"/>
      <c r="GX485" s="707"/>
      <c r="GY485" s="707"/>
      <c r="GZ485" s="707"/>
      <c r="HA485" s="707"/>
      <c r="HB485" s="707"/>
      <c r="HC485" s="707"/>
      <c r="HD485" s="707"/>
      <c r="HE485" s="707"/>
      <c r="HF485" s="707"/>
      <c r="HG485" s="707"/>
      <c r="HH485" s="707"/>
      <c r="HI485" s="707"/>
      <c r="HJ485" s="707"/>
      <c r="HK485" s="707"/>
      <c r="HL485" s="707"/>
      <c r="HM485" s="707"/>
      <c r="HN485" s="707"/>
      <c r="HO485" s="707"/>
      <c r="HP485" s="707"/>
      <c r="HQ485" s="707"/>
      <c r="HR485" s="707"/>
      <c r="HS485" s="707"/>
      <c r="HT485" s="707"/>
      <c r="HU485" s="707"/>
      <c r="HV485" s="707"/>
      <c r="HW485" s="707"/>
      <c r="HX485" s="707"/>
      <c r="HY485" s="707"/>
      <c r="HZ485" s="707"/>
      <c r="IA485" s="707"/>
      <c r="IB485" s="707"/>
      <c r="IC485" s="707"/>
      <c r="ID485" s="707"/>
      <c r="IE485" s="707"/>
      <c r="IF485" s="707"/>
      <c r="IG485" s="707"/>
      <c r="IH485" s="707"/>
      <c r="II485" s="707"/>
      <c r="IJ485" s="707"/>
      <c r="IK485" s="707"/>
      <c r="IL485" s="707"/>
      <c r="IM485" s="707"/>
      <c r="IN485" s="707"/>
      <c r="IO485" s="707"/>
      <c r="IP485" s="707"/>
      <c r="IQ485" s="707"/>
      <c r="IR485" s="707"/>
      <c r="IS485" s="707"/>
      <c r="IT485" s="707"/>
      <c r="IU485" s="707"/>
      <c r="IV485" s="707"/>
      <c r="IW485" s="707"/>
    </row>
    <row r="486" customFormat="false" ht="12.75" hidden="false" customHeight="false" outlineLevel="1" collapsed="false">
      <c r="A486" s="716"/>
      <c r="B486" s="717"/>
      <c r="C486" s="717"/>
      <c r="D486" s="717"/>
      <c r="E486" s="713"/>
      <c r="F486" s="713"/>
      <c r="G486" s="713"/>
      <c r="H486" s="713"/>
      <c r="I486" s="713"/>
      <c r="J486" s="713"/>
      <c r="K486" s="713"/>
      <c r="L486" s="713"/>
      <c r="M486" s="713"/>
      <c r="N486" s="713"/>
      <c r="O486" s="713"/>
      <c r="P486" s="713"/>
      <c r="Q486" s="713"/>
      <c r="R486" s="713"/>
      <c r="S486" s="713"/>
      <c r="T486" s="713"/>
      <c r="U486" s="713"/>
      <c r="V486" s="713"/>
      <c r="W486" s="713"/>
      <c r="X486" s="713"/>
      <c r="Y486" s="713"/>
      <c r="Z486" s="713"/>
      <c r="AA486" s="707"/>
      <c r="AB486" s="707"/>
      <c r="AC486" s="707"/>
      <c r="AD486" s="707"/>
      <c r="AE486" s="707"/>
      <c r="AF486" s="707"/>
      <c r="AG486" s="707"/>
      <c r="AH486" s="707"/>
      <c r="AI486" s="707"/>
      <c r="AJ486" s="707"/>
      <c r="AK486" s="707"/>
      <c r="AL486" s="707"/>
      <c r="AM486" s="707"/>
      <c r="AN486" s="707"/>
      <c r="AO486" s="707"/>
      <c r="AP486" s="707"/>
      <c r="AQ486" s="707"/>
      <c r="AR486" s="707"/>
      <c r="AS486" s="707"/>
      <c r="AT486" s="707"/>
      <c r="AU486" s="707"/>
      <c r="AV486" s="707"/>
      <c r="AW486" s="707"/>
      <c r="AX486" s="707"/>
      <c r="AY486" s="707"/>
      <c r="AZ486" s="707"/>
      <c r="BA486" s="707"/>
      <c r="BB486" s="707"/>
      <c r="BC486" s="707"/>
      <c r="BD486" s="707"/>
      <c r="BE486" s="707"/>
      <c r="BF486" s="707"/>
      <c r="BG486" s="707"/>
      <c r="BH486" s="707"/>
      <c r="BI486" s="707"/>
      <c r="BJ486" s="707"/>
      <c r="BK486" s="707"/>
      <c r="BL486" s="707"/>
      <c r="BM486" s="707"/>
      <c r="BN486" s="707"/>
      <c r="BO486" s="707"/>
      <c r="BP486" s="707"/>
      <c r="BQ486" s="707"/>
      <c r="BR486" s="707"/>
      <c r="BS486" s="707"/>
      <c r="BT486" s="707"/>
      <c r="BU486" s="707"/>
      <c r="BV486" s="707"/>
      <c r="BW486" s="707"/>
      <c r="BX486" s="707"/>
      <c r="BY486" s="707"/>
      <c r="BZ486" s="707"/>
      <c r="CA486" s="707"/>
      <c r="CB486" s="707"/>
      <c r="CC486" s="707"/>
      <c r="CD486" s="707"/>
      <c r="CE486" s="707"/>
      <c r="CF486" s="707"/>
      <c r="CG486" s="707"/>
      <c r="CH486" s="707"/>
      <c r="CI486" s="707"/>
      <c r="CJ486" s="707"/>
      <c r="CK486" s="707"/>
      <c r="CL486" s="707"/>
      <c r="CM486" s="707"/>
      <c r="CN486" s="707"/>
      <c r="CO486" s="707"/>
      <c r="CP486" s="707"/>
      <c r="CQ486" s="707"/>
      <c r="CR486" s="707"/>
      <c r="CS486" s="707"/>
      <c r="CT486" s="707"/>
      <c r="CU486" s="707"/>
      <c r="CV486" s="707"/>
      <c r="CW486" s="707"/>
      <c r="CX486" s="707"/>
      <c r="CY486" s="707"/>
      <c r="CZ486" s="707"/>
      <c r="DA486" s="707"/>
      <c r="DB486" s="707"/>
      <c r="DC486" s="707"/>
      <c r="DD486" s="707"/>
      <c r="DE486" s="707"/>
      <c r="DF486" s="707"/>
      <c r="DG486" s="707"/>
      <c r="DH486" s="707"/>
      <c r="DI486" s="707"/>
      <c r="DJ486" s="707"/>
      <c r="DK486" s="707"/>
      <c r="DL486" s="707"/>
      <c r="DM486" s="707"/>
      <c r="DN486" s="707"/>
      <c r="DO486" s="707"/>
      <c r="DP486" s="707"/>
      <c r="DQ486" s="707"/>
      <c r="DR486" s="707"/>
      <c r="DS486" s="707"/>
      <c r="DT486" s="707"/>
      <c r="DU486" s="707"/>
      <c r="DV486" s="707"/>
      <c r="DW486" s="707"/>
      <c r="DX486" s="707"/>
      <c r="DY486" s="707"/>
      <c r="DZ486" s="707"/>
      <c r="EA486" s="707"/>
      <c r="EB486" s="707"/>
      <c r="EC486" s="707"/>
      <c r="ED486" s="707"/>
      <c r="EE486" s="707"/>
      <c r="EF486" s="707"/>
      <c r="EG486" s="707"/>
      <c r="EH486" s="707"/>
      <c r="EI486" s="707"/>
      <c r="EJ486" s="707"/>
      <c r="EK486" s="707"/>
      <c r="EL486" s="707"/>
      <c r="EM486" s="707"/>
      <c r="EN486" s="707"/>
      <c r="EO486" s="707"/>
      <c r="EP486" s="707"/>
      <c r="EQ486" s="707"/>
      <c r="ER486" s="707"/>
      <c r="ES486" s="707"/>
      <c r="ET486" s="707"/>
      <c r="EU486" s="707"/>
      <c r="EV486" s="707"/>
      <c r="EW486" s="707"/>
      <c r="EX486" s="707"/>
      <c r="EY486" s="707"/>
      <c r="EZ486" s="707"/>
      <c r="FA486" s="707"/>
      <c r="FB486" s="707"/>
      <c r="FC486" s="707"/>
      <c r="FD486" s="707"/>
      <c r="FE486" s="707"/>
      <c r="FF486" s="707"/>
      <c r="FG486" s="707"/>
      <c r="FH486" s="707"/>
      <c r="FI486" s="707"/>
      <c r="FJ486" s="707"/>
      <c r="FK486" s="707"/>
      <c r="FL486" s="707"/>
      <c r="FM486" s="707"/>
      <c r="FN486" s="707"/>
      <c r="FO486" s="707"/>
      <c r="FP486" s="707"/>
      <c r="FQ486" s="707"/>
      <c r="FR486" s="707"/>
      <c r="FS486" s="707"/>
      <c r="FT486" s="707"/>
      <c r="FU486" s="707"/>
      <c r="FV486" s="707"/>
      <c r="FW486" s="707"/>
      <c r="FX486" s="707"/>
      <c r="FY486" s="707"/>
      <c r="FZ486" s="707"/>
      <c r="GA486" s="707"/>
      <c r="GB486" s="707"/>
      <c r="GC486" s="707"/>
      <c r="GD486" s="707"/>
      <c r="GE486" s="707"/>
      <c r="GF486" s="707"/>
      <c r="GG486" s="707"/>
      <c r="GH486" s="707"/>
      <c r="GI486" s="707"/>
      <c r="GJ486" s="707"/>
      <c r="GK486" s="707"/>
      <c r="GL486" s="707"/>
      <c r="GM486" s="707"/>
      <c r="GN486" s="707"/>
      <c r="GO486" s="707"/>
      <c r="GP486" s="707"/>
      <c r="GQ486" s="707"/>
      <c r="GR486" s="707"/>
      <c r="GS486" s="707"/>
      <c r="GT486" s="707"/>
      <c r="GU486" s="707"/>
      <c r="GV486" s="707"/>
      <c r="GW486" s="707"/>
      <c r="GX486" s="707"/>
      <c r="GY486" s="707"/>
      <c r="GZ486" s="707"/>
      <c r="HA486" s="707"/>
      <c r="HB486" s="707"/>
      <c r="HC486" s="707"/>
      <c r="HD486" s="707"/>
      <c r="HE486" s="707"/>
      <c r="HF486" s="707"/>
      <c r="HG486" s="707"/>
      <c r="HH486" s="707"/>
      <c r="HI486" s="707"/>
      <c r="HJ486" s="707"/>
      <c r="HK486" s="707"/>
      <c r="HL486" s="707"/>
      <c r="HM486" s="707"/>
      <c r="HN486" s="707"/>
      <c r="HO486" s="707"/>
      <c r="HP486" s="707"/>
      <c r="HQ486" s="707"/>
      <c r="HR486" s="707"/>
      <c r="HS486" s="707"/>
      <c r="HT486" s="707"/>
      <c r="HU486" s="707"/>
      <c r="HV486" s="707"/>
      <c r="HW486" s="707"/>
      <c r="HX486" s="707"/>
      <c r="HY486" s="707"/>
      <c r="HZ486" s="707"/>
      <c r="IA486" s="707"/>
      <c r="IB486" s="707"/>
      <c r="IC486" s="707"/>
      <c r="ID486" s="707"/>
      <c r="IE486" s="707"/>
      <c r="IF486" s="707"/>
      <c r="IG486" s="707"/>
      <c r="IH486" s="707"/>
      <c r="II486" s="707"/>
      <c r="IJ486" s="707"/>
      <c r="IK486" s="707"/>
      <c r="IL486" s="707"/>
      <c r="IM486" s="707"/>
      <c r="IN486" s="707"/>
      <c r="IO486" s="707"/>
      <c r="IP486" s="707"/>
      <c r="IQ486" s="707"/>
      <c r="IR486" s="707"/>
      <c r="IS486" s="707"/>
      <c r="IT486" s="707"/>
      <c r="IU486" s="707"/>
      <c r="IV486" s="707"/>
      <c r="IW486" s="707"/>
    </row>
    <row r="487" customFormat="false" ht="12.75" hidden="false" customHeight="false" outlineLevel="1" collapsed="false">
      <c r="A487" s="716"/>
      <c r="B487" s="717"/>
      <c r="C487" s="717"/>
      <c r="D487" s="717"/>
      <c r="E487" s="713"/>
      <c r="F487" s="713"/>
      <c r="G487" s="713"/>
      <c r="H487" s="713"/>
      <c r="I487" s="713"/>
      <c r="J487" s="713"/>
      <c r="K487" s="713"/>
      <c r="L487" s="713"/>
      <c r="M487" s="713"/>
      <c r="N487" s="713"/>
      <c r="O487" s="713"/>
      <c r="P487" s="713"/>
      <c r="Q487" s="713"/>
      <c r="R487" s="713"/>
      <c r="S487" s="713"/>
      <c r="T487" s="713"/>
      <c r="U487" s="713"/>
      <c r="V487" s="713"/>
      <c r="W487" s="713"/>
      <c r="X487" s="713"/>
      <c r="Y487" s="713"/>
      <c r="Z487" s="713"/>
      <c r="AA487" s="707"/>
      <c r="AB487" s="707"/>
      <c r="AC487" s="707"/>
      <c r="AD487" s="707"/>
      <c r="AE487" s="707"/>
      <c r="AF487" s="707"/>
      <c r="AG487" s="707"/>
      <c r="AH487" s="707"/>
      <c r="AI487" s="707"/>
      <c r="AJ487" s="707"/>
      <c r="AK487" s="707"/>
      <c r="AL487" s="707"/>
      <c r="AM487" s="707"/>
      <c r="AN487" s="707"/>
      <c r="AO487" s="707"/>
      <c r="AP487" s="707"/>
      <c r="AQ487" s="707"/>
      <c r="AR487" s="707"/>
      <c r="AS487" s="707"/>
      <c r="AT487" s="707"/>
      <c r="AU487" s="707"/>
      <c r="AV487" s="707"/>
      <c r="AW487" s="707"/>
      <c r="AX487" s="707"/>
      <c r="AY487" s="707"/>
      <c r="AZ487" s="707"/>
      <c r="BA487" s="707"/>
      <c r="BB487" s="707"/>
      <c r="BC487" s="707"/>
      <c r="BD487" s="707"/>
      <c r="BE487" s="707"/>
      <c r="BF487" s="707"/>
      <c r="BG487" s="707"/>
      <c r="BH487" s="707"/>
      <c r="BI487" s="707"/>
      <c r="BJ487" s="707"/>
      <c r="BK487" s="707"/>
      <c r="BL487" s="707"/>
      <c r="BM487" s="707"/>
      <c r="BN487" s="707"/>
      <c r="BO487" s="707"/>
      <c r="BP487" s="707"/>
      <c r="BQ487" s="707"/>
      <c r="BR487" s="707"/>
      <c r="BS487" s="707"/>
      <c r="BT487" s="707"/>
      <c r="BU487" s="707"/>
      <c r="BV487" s="707"/>
      <c r="BW487" s="707"/>
      <c r="BX487" s="707"/>
      <c r="BY487" s="707"/>
      <c r="BZ487" s="707"/>
      <c r="CA487" s="707"/>
      <c r="CB487" s="707"/>
      <c r="CC487" s="707"/>
      <c r="CD487" s="707"/>
      <c r="CE487" s="707"/>
      <c r="CF487" s="707"/>
      <c r="CG487" s="707"/>
      <c r="CH487" s="707"/>
      <c r="CI487" s="707"/>
      <c r="CJ487" s="707"/>
      <c r="CK487" s="707"/>
      <c r="CL487" s="707"/>
      <c r="CM487" s="707"/>
      <c r="CN487" s="707"/>
      <c r="CO487" s="707"/>
      <c r="CP487" s="707"/>
      <c r="CQ487" s="707"/>
      <c r="CR487" s="707"/>
      <c r="CS487" s="707"/>
      <c r="CT487" s="707"/>
      <c r="CU487" s="707"/>
      <c r="CV487" s="707"/>
      <c r="CW487" s="707"/>
      <c r="CX487" s="707"/>
      <c r="CY487" s="707"/>
      <c r="CZ487" s="707"/>
      <c r="DA487" s="707"/>
      <c r="DB487" s="707"/>
      <c r="DC487" s="707"/>
      <c r="DD487" s="707"/>
      <c r="DE487" s="707"/>
      <c r="DF487" s="707"/>
      <c r="DG487" s="707"/>
      <c r="DH487" s="707"/>
      <c r="DI487" s="707"/>
      <c r="DJ487" s="707"/>
      <c r="DK487" s="707"/>
      <c r="DL487" s="707"/>
      <c r="DM487" s="707"/>
      <c r="DN487" s="707"/>
      <c r="DO487" s="707"/>
      <c r="DP487" s="707"/>
      <c r="DQ487" s="707"/>
      <c r="DR487" s="707"/>
      <c r="DS487" s="707"/>
      <c r="DT487" s="707"/>
      <c r="DU487" s="707"/>
      <c r="DV487" s="707"/>
      <c r="DW487" s="707"/>
      <c r="DX487" s="707"/>
      <c r="DY487" s="707"/>
      <c r="DZ487" s="707"/>
      <c r="EA487" s="707"/>
      <c r="EB487" s="707"/>
      <c r="EC487" s="707"/>
      <c r="ED487" s="707"/>
      <c r="EE487" s="707"/>
      <c r="EF487" s="707"/>
      <c r="EG487" s="707"/>
      <c r="EH487" s="707"/>
      <c r="EI487" s="707"/>
      <c r="EJ487" s="707"/>
      <c r="EK487" s="707"/>
      <c r="EL487" s="707"/>
      <c r="EM487" s="707"/>
      <c r="EN487" s="707"/>
      <c r="EO487" s="707"/>
      <c r="EP487" s="707"/>
      <c r="EQ487" s="707"/>
      <c r="ER487" s="707"/>
      <c r="ES487" s="707"/>
      <c r="ET487" s="707"/>
      <c r="EU487" s="707"/>
      <c r="EV487" s="707"/>
      <c r="EW487" s="707"/>
      <c r="EX487" s="707"/>
      <c r="EY487" s="707"/>
      <c r="EZ487" s="707"/>
      <c r="FA487" s="707"/>
      <c r="FB487" s="707"/>
      <c r="FC487" s="707"/>
      <c r="FD487" s="707"/>
      <c r="FE487" s="707"/>
      <c r="FF487" s="707"/>
      <c r="FG487" s="707"/>
      <c r="FH487" s="707"/>
      <c r="FI487" s="707"/>
      <c r="FJ487" s="707"/>
      <c r="FK487" s="707"/>
      <c r="FL487" s="707"/>
      <c r="FM487" s="707"/>
      <c r="FN487" s="707"/>
      <c r="FO487" s="707"/>
      <c r="FP487" s="707"/>
      <c r="FQ487" s="707"/>
      <c r="FR487" s="707"/>
      <c r="FS487" s="707"/>
      <c r="FT487" s="707"/>
      <c r="FU487" s="707"/>
      <c r="FV487" s="707"/>
      <c r="FW487" s="707"/>
      <c r="FX487" s="707"/>
      <c r="FY487" s="707"/>
      <c r="FZ487" s="707"/>
      <c r="GA487" s="707"/>
      <c r="GB487" s="707"/>
      <c r="GC487" s="707"/>
      <c r="GD487" s="707"/>
      <c r="GE487" s="707"/>
      <c r="GF487" s="707"/>
      <c r="GG487" s="707"/>
      <c r="GH487" s="707"/>
      <c r="GI487" s="707"/>
      <c r="GJ487" s="707"/>
      <c r="GK487" s="707"/>
      <c r="GL487" s="707"/>
      <c r="GM487" s="707"/>
      <c r="GN487" s="707"/>
      <c r="GO487" s="707"/>
      <c r="GP487" s="707"/>
      <c r="GQ487" s="707"/>
      <c r="GR487" s="707"/>
      <c r="GS487" s="707"/>
      <c r="GT487" s="707"/>
      <c r="GU487" s="707"/>
      <c r="GV487" s="707"/>
      <c r="GW487" s="707"/>
      <c r="GX487" s="707"/>
      <c r="GY487" s="707"/>
      <c r="GZ487" s="707"/>
      <c r="HA487" s="707"/>
      <c r="HB487" s="707"/>
      <c r="HC487" s="707"/>
      <c r="HD487" s="707"/>
      <c r="HE487" s="707"/>
      <c r="HF487" s="707"/>
      <c r="HG487" s="707"/>
      <c r="HH487" s="707"/>
      <c r="HI487" s="707"/>
      <c r="HJ487" s="707"/>
      <c r="HK487" s="707"/>
      <c r="HL487" s="707"/>
      <c r="HM487" s="707"/>
      <c r="HN487" s="707"/>
      <c r="HO487" s="707"/>
      <c r="HP487" s="707"/>
      <c r="HQ487" s="707"/>
      <c r="HR487" s="707"/>
      <c r="HS487" s="707"/>
      <c r="HT487" s="707"/>
      <c r="HU487" s="707"/>
      <c r="HV487" s="707"/>
      <c r="HW487" s="707"/>
      <c r="HX487" s="707"/>
      <c r="HY487" s="707"/>
      <c r="HZ487" s="707"/>
      <c r="IA487" s="707"/>
      <c r="IB487" s="707"/>
      <c r="IC487" s="707"/>
      <c r="ID487" s="707"/>
      <c r="IE487" s="707"/>
      <c r="IF487" s="707"/>
      <c r="IG487" s="707"/>
      <c r="IH487" s="707"/>
      <c r="II487" s="707"/>
      <c r="IJ487" s="707"/>
      <c r="IK487" s="707"/>
      <c r="IL487" s="707"/>
      <c r="IM487" s="707"/>
      <c r="IN487" s="707"/>
      <c r="IO487" s="707"/>
      <c r="IP487" s="707"/>
      <c r="IQ487" s="707"/>
      <c r="IR487" s="707"/>
      <c r="IS487" s="707"/>
      <c r="IT487" s="707"/>
      <c r="IU487" s="707"/>
      <c r="IV487" s="707"/>
      <c r="IW487" s="707"/>
    </row>
    <row r="488" customFormat="false" ht="12.75" hidden="false" customHeight="false" outlineLevel="1" collapsed="false">
      <c r="A488" s="716"/>
      <c r="B488" s="718"/>
      <c r="C488" s="718"/>
      <c r="D488" s="718"/>
      <c r="E488" s="713"/>
      <c r="F488" s="713"/>
      <c r="G488" s="713"/>
      <c r="H488" s="713"/>
      <c r="I488" s="713"/>
      <c r="J488" s="713"/>
      <c r="K488" s="713"/>
      <c r="L488" s="713"/>
      <c r="M488" s="713"/>
      <c r="N488" s="713"/>
      <c r="O488" s="713"/>
      <c r="P488" s="713"/>
      <c r="Q488" s="713"/>
      <c r="R488" s="713"/>
      <c r="S488" s="713"/>
      <c r="T488" s="713"/>
      <c r="U488" s="713"/>
      <c r="V488" s="713"/>
      <c r="W488" s="713"/>
      <c r="X488" s="713"/>
      <c r="Y488" s="713"/>
      <c r="Z488" s="713"/>
      <c r="AA488" s="707"/>
      <c r="AB488" s="707"/>
      <c r="AC488" s="707"/>
      <c r="AD488" s="707"/>
      <c r="AE488" s="707"/>
      <c r="AF488" s="707"/>
      <c r="AG488" s="707"/>
      <c r="AH488" s="707"/>
      <c r="AI488" s="707"/>
      <c r="AJ488" s="707"/>
      <c r="AK488" s="707"/>
      <c r="AL488" s="707"/>
      <c r="AM488" s="707"/>
      <c r="AN488" s="707"/>
      <c r="AO488" s="707"/>
      <c r="AP488" s="707"/>
      <c r="AQ488" s="707"/>
      <c r="AR488" s="707"/>
      <c r="AS488" s="707"/>
      <c r="AT488" s="707"/>
      <c r="AU488" s="707"/>
      <c r="AV488" s="707"/>
      <c r="AW488" s="707"/>
      <c r="AX488" s="707"/>
      <c r="AY488" s="707"/>
      <c r="AZ488" s="707"/>
      <c r="BA488" s="707"/>
      <c r="BB488" s="707"/>
      <c r="BC488" s="707"/>
      <c r="BD488" s="707"/>
      <c r="BE488" s="707"/>
      <c r="BF488" s="707"/>
      <c r="BG488" s="707"/>
      <c r="BH488" s="707"/>
      <c r="BI488" s="707"/>
      <c r="BJ488" s="707"/>
      <c r="BK488" s="707"/>
      <c r="BL488" s="707"/>
      <c r="BM488" s="707"/>
      <c r="BN488" s="707"/>
      <c r="BO488" s="707"/>
      <c r="BP488" s="707"/>
      <c r="BQ488" s="707"/>
      <c r="BR488" s="707"/>
      <c r="BS488" s="707"/>
      <c r="BT488" s="707"/>
      <c r="BU488" s="707"/>
      <c r="BV488" s="707"/>
      <c r="BW488" s="707"/>
      <c r="BX488" s="707"/>
      <c r="BY488" s="707"/>
      <c r="BZ488" s="707"/>
      <c r="CA488" s="707"/>
      <c r="CB488" s="707"/>
      <c r="CC488" s="707"/>
      <c r="CD488" s="707"/>
      <c r="CE488" s="707"/>
      <c r="CF488" s="707"/>
      <c r="CG488" s="707"/>
      <c r="CH488" s="707"/>
      <c r="CI488" s="707"/>
      <c r="CJ488" s="707"/>
      <c r="CK488" s="707"/>
      <c r="CL488" s="707"/>
      <c r="CM488" s="707"/>
      <c r="CN488" s="707"/>
      <c r="CO488" s="707"/>
      <c r="CP488" s="707"/>
      <c r="CQ488" s="707"/>
      <c r="CR488" s="707"/>
      <c r="CS488" s="707"/>
      <c r="CT488" s="707"/>
      <c r="CU488" s="707"/>
      <c r="CV488" s="707"/>
      <c r="CW488" s="707"/>
      <c r="CX488" s="707"/>
      <c r="CY488" s="707"/>
      <c r="CZ488" s="707"/>
      <c r="DA488" s="707"/>
      <c r="DB488" s="707"/>
      <c r="DC488" s="707"/>
      <c r="DD488" s="707"/>
      <c r="DE488" s="707"/>
      <c r="DF488" s="707"/>
      <c r="DG488" s="707"/>
      <c r="DH488" s="707"/>
      <c r="DI488" s="707"/>
      <c r="DJ488" s="707"/>
      <c r="DK488" s="707"/>
      <c r="DL488" s="707"/>
      <c r="DM488" s="707"/>
      <c r="DN488" s="707"/>
      <c r="DO488" s="707"/>
      <c r="DP488" s="707"/>
      <c r="DQ488" s="707"/>
      <c r="DR488" s="707"/>
      <c r="DS488" s="707"/>
      <c r="DT488" s="707"/>
      <c r="DU488" s="707"/>
      <c r="DV488" s="707"/>
      <c r="DW488" s="707"/>
      <c r="DX488" s="707"/>
      <c r="DY488" s="707"/>
      <c r="DZ488" s="707"/>
      <c r="EA488" s="707"/>
      <c r="EB488" s="707"/>
      <c r="EC488" s="707"/>
      <c r="ED488" s="707"/>
      <c r="EE488" s="707"/>
      <c r="EF488" s="707"/>
      <c r="EG488" s="707"/>
      <c r="EH488" s="707"/>
      <c r="EI488" s="707"/>
      <c r="EJ488" s="707"/>
      <c r="EK488" s="707"/>
      <c r="EL488" s="707"/>
      <c r="EM488" s="707"/>
      <c r="EN488" s="707"/>
      <c r="EO488" s="707"/>
      <c r="EP488" s="707"/>
      <c r="EQ488" s="707"/>
      <c r="ER488" s="707"/>
      <c r="ES488" s="707"/>
      <c r="ET488" s="707"/>
      <c r="EU488" s="707"/>
      <c r="EV488" s="707"/>
      <c r="EW488" s="707"/>
      <c r="EX488" s="707"/>
      <c r="EY488" s="707"/>
      <c r="EZ488" s="707"/>
      <c r="FA488" s="707"/>
      <c r="FB488" s="707"/>
      <c r="FC488" s="707"/>
      <c r="FD488" s="707"/>
      <c r="FE488" s="707"/>
      <c r="FF488" s="707"/>
      <c r="FG488" s="707"/>
      <c r="FH488" s="707"/>
      <c r="FI488" s="707"/>
      <c r="FJ488" s="707"/>
      <c r="FK488" s="707"/>
      <c r="FL488" s="707"/>
      <c r="FM488" s="707"/>
      <c r="FN488" s="707"/>
      <c r="FO488" s="707"/>
      <c r="FP488" s="707"/>
      <c r="FQ488" s="707"/>
      <c r="FR488" s="707"/>
      <c r="FS488" s="707"/>
      <c r="FT488" s="707"/>
      <c r="FU488" s="707"/>
      <c r="FV488" s="707"/>
      <c r="FW488" s="707"/>
      <c r="FX488" s="707"/>
      <c r="FY488" s="707"/>
      <c r="FZ488" s="707"/>
      <c r="GA488" s="707"/>
      <c r="GB488" s="707"/>
      <c r="GC488" s="707"/>
      <c r="GD488" s="707"/>
      <c r="GE488" s="707"/>
      <c r="GF488" s="707"/>
      <c r="GG488" s="707"/>
      <c r="GH488" s="707"/>
      <c r="GI488" s="707"/>
      <c r="GJ488" s="707"/>
      <c r="GK488" s="707"/>
      <c r="GL488" s="707"/>
      <c r="GM488" s="707"/>
      <c r="GN488" s="707"/>
      <c r="GO488" s="707"/>
      <c r="GP488" s="707"/>
      <c r="GQ488" s="707"/>
      <c r="GR488" s="707"/>
      <c r="GS488" s="707"/>
      <c r="GT488" s="707"/>
      <c r="GU488" s="707"/>
      <c r="GV488" s="707"/>
      <c r="GW488" s="707"/>
      <c r="GX488" s="707"/>
      <c r="GY488" s="707"/>
      <c r="GZ488" s="707"/>
      <c r="HA488" s="707"/>
      <c r="HB488" s="707"/>
      <c r="HC488" s="707"/>
      <c r="HD488" s="707"/>
      <c r="HE488" s="707"/>
      <c r="HF488" s="707"/>
      <c r="HG488" s="707"/>
      <c r="HH488" s="707"/>
      <c r="HI488" s="707"/>
      <c r="HJ488" s="707"/>
      <c r="HK488" s="707"/>
      <c r="HL488" s="707"/>
      <c r="HM488" s="707"/>
      <c r="HN488" s="707"/>
      <c r="HO488" s="707"/>
      <c r="HP488" s="707"/>
      <c r="HQ488" s="707"/>
      <c r="HR488" s="707"/>
      <c r="HS488" s="707"/>
      <c r="HT488" s="707"/>
      <c r="HU488" s="707"/>
      <c r="HV488" s="707"/>
      <c r="HW488" s="707"/>
      <c r="HX488" s="707"/>
      <c r="HY488" s="707"/>
      <c r="HZ488" s="707"/>
      <c r="IA488" s="707"/>
      <c r="IB488" s="707"/>
      <c r="IC488" s="707"/>
      <c r="ID488" s="707"/>
      <c r="IE488" s="707"/>
      <c r="IF488" s="707"/>
      <c r="IG488" s="707"/>
      <c r="IH488" s="707"/>
      <c r="II488" s="707"/>
      <c r="IJ488" s="707"/>
      <c r="IK488" s="707"/>
      <c r="IL488" s="707"/>
      <c r="IM488" s="707"/>
      <c r="IN488" s="707"/>
      <c r="IO488" s="707"/>
      <c r="IP488" s="707"/>
      <c r="IQ488" s="707"/>
      <c r="IR488" s="707"/>
      <c r="IS488" s="707"/>
      <c r="IT488" s="707"/>
      <c r="IU488" s="707"/>
      <c r="IV488" s="707"/>
      <c r="IW488" s="707"/>
    </row>
    <row r="489" customFormat="false" ht="12.75" hidden="false" customHeight="false" outlineLevel="1" collapsed="false">
      <c r="A489" s="388"/>
      <c r="B489" s="717"/>
      <c r="C489" s="717"/>
      <c r="D489" s="717"/>
      <c r="E489" s="713"/>
      <c r="F489" s="713"/>
      <c r="G489" s="713"/>
      <c r="H489" s="713"/>
      <c r="I489" s="713"/>
      <c r="J489" s="713"/>
      <c r="K489" s="713"/>
      <c r="L489" s="713"/>
      <c r="M489" s="713"/>
      <c r="N489" s="713"/>
      <c r="O489" s="713"/>
      <c r="P489" s="713"/>
      <c r="Q489" s="713"/>
      <c r="R489" s="713"/>
      <c r="S489" s="713"/>
      <c r="T489" s="713"/>
      <c r="U489" s="713"/>
      <c r="V489" s="713"/>
      <c r="W489" s="713"/>
      <c r="X489" s="713"/>
      <c r="Y489" s="713"/>
      <c r="Z489" s="713"/>
      <c r="AA489" s="707"/>
      <c r="AB489" s="707"/>
      <c r="AC489" s="707"/>
      <c r="AD489" s="707"/>
      <c r="AE489" s="707"/>
      <c r="AF489" s="707"/>
      <c r="AG489" s="707"/>
      <c r="AH489" s="707"/>
      <c r="AI489" s="707"/>
      <c r="AJ489" s="707"/>
      <c r="AK489" s="707"/>
      <c r="AL489" s="707"/>
      <c r="AM489" s="707"/>
      <c r="AN489" s="707"/>
      <c r="AO489" s="707"/>
      <c r="AP489" s="707"/>
      <c r="AQ489" s="707"/>
      <c r="AR489" s="707"/>
      <c r="AS489" s="707"/>
      <c r="AT489" s="707"/>
      <c r="AU489" s="707"/>
      <c r="AV489" s="707"/>
      <c r="AW489" s="707"/>
      <c r="AX489" s="707"/>
      <c r="AY489" s="707"/>
      <c r="AZ489" s="707"/>
      <c r="BA489" s="707"/>
      <c r="BB489" s="707"/>
      <c r="BC489" s="707"/>
      <c r="BD489" s="707"/>
      <c r="BE489" s="707"/>
      <c r="BF489" s="707"/>
      <c r="BG489" s="707"/>
      <c r="BH489" s="707"/>
      <c r="BI489" s="707"/>
      <c r="BJ489" s="707"/>
      <c r="BK489" s="707"/>
      <c r="BL489" s="707"/>
      <c r="BM489" s="707"/>
      <c r="BN489" s="707"/>
      <c r="BO489" s="707"/>
      <c r="BP489" s="707"/>
      <c r="BQ489" s="707"/>
      <c r="BR489" s="707"/>
      <c r="BS489" s="707"/>
      <c r="BT489" s="707"/>
      <c r="BU489" s="707"/>
      <c r="BV489" s="707"/>
      <c r="BW489" s="707"/>
      <c r="BX489" s="707"/>
      <c r="BY489" s="707"/>
      <c r="BZ489" s="707"/>
      <c r="CA489" s="707"/>
      <c r="CB489" s="707"/>
      <c r="CC489" s="707"/>
      <c r="CD489" s="707"/>
      <c r="CE489" s="707"/>
      <c r="CF489" s="707"/>
      <c r="CG489" s="707"/>
      <c r="CH489" s="707"/>
      <c r="CI489" s="707"/>
      <c r="CJ489" s="707"/>
      <c r="CK489" s="707"/>
      <c r="CL489" s="707"/>
      <c r="CM489" s="707"/>
      <c r="CN489" s="707"/>
      <c r="CO489" s="707"/>
      <c r="CP489" s="707"/>
      <c r="CQ489" s="707"/>
      <c r="CR489" s="707"/>
      <c r="CS489" s="707"/>
      <c r="CT489" s="707"/>
      <c r="CU489" s="707"/>
      <c r="CV489" s="707"/>
      <c r="CW489" s="707"/>
      <c r="CX489" s="707"/>
      <c r="CY489" s="707"/>
      <c r="CZ489" s="707"/>
      <c r="DA489" s="707"/>
      <c r="DB489" s="707"/>
      <c r="DC489" s="707"/>
      <c r="DD489" s="707"/>
      <c r="DE489" s="707"/>
      <c r="DF489" s="707"/>
      <c r="DG489" s="707"/>
      <c r="DH489" s="707"/>
      <c r="DI489" s="707"/>
      <c r="DJ489" s="707"/>
      <c r="DK489" s="707"/>
      <c r="DL489" s="707"/>
      <c r="DM489" s="707"/>
      <c r="DN489" s="707"/>
      <c r="DO489" s="707"/>
      <c r="DP489" s="707"/>
      <c r="DQ489" s="707"/>
      <c r="DR489" s="707"/>
      <c r="DS489" s="707"/>
      <c r="DT489" s="707"/>
      <c r="DU489" s="707"/>
      <c r="DV489" s="707"/>
      <c r="DW489" s="707"/>
      <c r="DX489" s="707"/>
      <c r="DY489" s="707"/>
      <c r="DZ489" s="707"/>
      <c r="EA489" s="707"/>
      <c r="EB489" s="707"/>
      <c r="EC489" s="707"/>
      <c r="ED489" s="707"/>
      <c r="EE489" s="707"/>
      <c r="EF489" s="707"/>
      <c r="EG489" s="707"/>
      <c r="EH489" s="707"/>
      <c r="EI489" s="707"/>
      <c r="EJ489" s="707"/>
      <c r="EK489" s="707"/>
      <c r="EL489" s="707"/>
      <c r="EM489" s="707"/>
      <c r="EN489" s="707"/>
      <c r="EO489" s="707"/>
      <c r="EP489" s="707"/>
      <c r="EQ489" s="707"/>
      <c r="ER489" s="707"/>
      <c r="ES489" s="707"/>
      <c r="ET489" s="707"/>
      <c r="EU489" s="707"/>
      <c r="EV489" s="707"/>
      <c r="EW489" s="707"/>
      <c r="EX489" s="707"/>
      <c r="EY489" s="707"/>
      <c r="EZ489" s="707"/>
      <c r="FA489" s="707"/>
      <c r="FB489" s="707"/>
      <c r="FC489" s="707"/>
      <c r="FD489" s="707"/>
      <c r="FE489" s="707"/>
      <c r="FF489" s="707"/>
      <c r="FG489" s="707"/>
      <c r="FH489" s="707"/>
      <c r="FI489" s="707"/>
      <c r="FJ489" s="707"/>
      <c r="FK489" s="707"/>
      <c r="FL489" s="707"/>
      <c r="FM489" s="707"/>
      <c r="FN489" s="707"/>
      <c r="FO489" s="707"/>
      <c r="FP489" s="707"/>
      <c r="FQ489" s="707"/>
      <c r="FR489" s="707"/>
      <c r="FS489" s="707"/>
      <c r="FT489" s="707"/>
      <c r="FU489" s="707"/>
      <c r="FV489" s="707"/>
      <c r="FW489" s="707"/>
      <c r="FX489" s="707"/>
      <c r="FY489" s="707"/>
      <c r="FZ489" s="707"/>
      <c r="GA489" s="707"/>
      <c r="GB489" s="707"/>
      <c r="GC489" s="707"/>
      <c r="GD489" s="707"/>
      <c r="GE489" s="707"/>
      <c r="GF489" s="707"/>
      <c r="GG489" s="707"/>
      <c r="GH489" s="707"/>
      <c r="GI489" s="707"/>
      <c r="GJ489" s="707"/>
      <c r="GK489" s="707"/>
      <c r="GL489" s="707"/>
      <c r="GM489" s="707"/>
      <c r="GN489" s="707"/>
      <c r="GO489" s="707"/>
      <c r="GP489" s="707"/>
      <c r="GQ489" s="707"/>
      <c r="GR489" s="707"/>
      <c r="GS489" s="707"/>
      <c r="GT489" s="707"/>
      <c r="GU489" s="707"/>
      <c r="GV489" s="707"/>
      <c r="GW489" s="707"/>
      <c r="GX489" s="707"/>
      <c r="GY489" s="707"/>
      <c r="GZ489" s="707"/>
      <c r="HA489" s="707"/>
      <c r="HB489" s="707"/>
      <c r="HC489" s="707"/>
      <c r="HD489" s="707"/>
      <c r="HE489" s="707"/>
      <c r="HF489" s="707"/>
      <c r="HG489" s="707"/>
      <c r="HH489" s="707"/>
      <c r="HI489" s="707"/>
      <c r="HJ489" s="707"/>
      <c r="HK489" s="707"/>
      <c r="HL489" s="707"/>
      <c r="HM489" s="707"/>
      <c r="HN489" s="707"/>
      <c r="HO489" s="707"/>
      <c r="HP489" s="707"/>
      <c r="HQ489" s="707"/>
      <c r="HR489" s="707"/>
      <c r="HS489" s="707"/>
      <c r="HT489" s="707"/>
      <c r="HU489" s="707"/>
      <c r="HV489" s="707"/>
      <c r="HW489" s="707"/>
      <c r="HX489" s="707"/>
      <c r="HY489" s="707"/>
      <c r="HZ489" s="707"/>
      <c r="IA489" s="707"/>
      <c r="IB489" s="707"/>
      <c r="IC489" s="707"/>
      <c r="ID489" s="707"/>
      <c r="IE489" s="707"/>
      <c r="IF489" s="707"/>
      <c r="IG489" s="707"/>
      <c r="IH489" s="707"/>
      <c r="II489" s="707"/>
      <c r="IJ489" s="707"/>
      <c r="IK489" s="707"/>
      <c r="IL489" s="707"/>
      <c r="IM489" s="707"/>
      <c r="IN489" s="707"/>
      <c r="IO489" s="707"/>
      <c r="IP489" s="707"/>
      <c r="IQ489" s="707"/>
      <c r="IR489" s="707"/>
      <c r="IS489" s="707"/>
      <c r="IT489" s="707"/>
      <c r="IU489" s="707"/>
      <c r="IV489" s="707"/>
      <c r="IW489" s="707"/>
    </row>
    <row r="490" customFormat="false" ht="12.75" hidden="false" customHeight="false" outlineLevel="1" collapsed="false">
      <c r="A490" s="388"/>
      <c r="B490" s="717"/>
      <c r="C490" s="717"/>
      <c r="D490" s="717"/>
      <c r="E490" s="713"/>
      <c r="F490" s="713"/>
      <c r="G490" s="713"/>
      <c r="H490" s="713"/>
      <c r="I490" s="713"/>
      <c r="J490" s="713"/>
      <c r="K490" s="713"/>
      <c r="L490" s="713"/>
      <c r="M490" s="713"/>
      <c r="N490" s="713"/>
      <c r="O490" s="713"/>
      <c r="P490" s="713"/>
      <c r="Q490" s="713"/>
      <c r="R490" s="713"/>
      <c r="S490" s="713"/>
      <c r="T490" s="713"/>
      <c r="U490" s="713"/>
      <c r="V490" s="713"/>
      <c r="W490" s="713"/>
      <c r="X490" s="713"/>
      <c r="Y490" s="713"/>
      <c r="Z490" s="713"/>
      <c r="AA490" s="707"/>
      <c r="AB490" s="707"/>
      <c r="AC490" s="707"/>
      <c r="AD490" s="707"/>
      <c r="AE490" s="707"/>
      <c r="AF490" s="707"/>
      <c r="AG490" s="707"/>
      <c r="AH490" s="707"/>
      <c r="AI490" s="707"/>
      <c r="AJ490" s="707"/>
      <c r="AK490" s="707"/>
      <c r="AL490" s="707"/>
      <c r="AM490" s="707"/>
      <c r="AN490" s="707"/>
      <c r="AO490" s="707"/>
      <c r="AP490" s="707"/>
      <c r="AQ490" s="707"/>
      <c r="AR490" s="707"/>
      <c r="AS490" s="707"/>
      <c r="AT490" s="707"/>
      <c r="AU490" s="707"/>
      <c r="AV490" s="707"/>
      <c r="AW490" s="707"/>
      <c r="AX490" s="707"/>
      <c r="AY490" s="707"/>
      <c r="AZ490" s="707"/>
      <c r="BA490" s="707"/>
      <c r="BB490" s="707"/>
      <c r="BC490" s="707"/>
      <c r="BD490" s="707"/>
      <c r="BE490" s="707"/>
      <c r="BF490" s="707"/>
      <c r="BG490" s="707"/>
      <c r="BH490" s="707"/>
      <c r="BI490" s="707"/>
      <c r="BJ490" s="707"/>
      <c r="BK490" s="707"/>
      <c r="BL490" s="707"/>
      <c r="BM490" s="707"/>
      <c r="BN490" s="707"/>
      <c r="BO490" s="707"/>
      <c r="BP490" s="707"/>
      <c r="BQ490" s="707"/>
      <c r="BR490" s="707"/>
      <c r="BS490" s="707"/>
      <c r="BT490" s="707"/>
      <c r="BU490" s="707"/>
      <c r="BV490" s="707"/>
      <c r="BW490" s="707"/>
      <c r="BX490" s="707"/>
      <c r="BY490" s="707"/>
      <c r="BZ490" s="707"/>
      <c r="CA490" s="707"/>
      <c r="CB490" s="707"/>
      <c r="CC490" s="707"/>
      <c r="CD490" s="707"/>
      <c r="CE490" s="707"/>
      <c r="CF490" s="707"/>
      <c r="CG490" s="707"/>
      <c r="CH490" s="707"/>
      <c r="CI490" s="707"/>
      <c r="CJ490" s="707"/>
      <c r="CK490" s="707"/>
      <c r="CL490" s="707"/>
      <c r="CM490" s="707"/>
      <c r="CN490" s="707"/>
      <c r="CO490" s="707"/>
      <c r="CP490" s="707"/>
      <c r="CQ490" s="707"/>
      <c r="CR490" s="707"/>
      <c r="CS490" s="707"/>
      <c r="CT490" s="707"/>
      <c r="CU490" s="707"/>
      <c r="CV490" s="707"/>
      <c r="CW490" s="707"/>
      <c r="CX490" s="707"/>
      <c r="CY490" s="707"/>
      <c r="CZ490" s="707"/>
      <c r="DA490" s="707"/>
      <c r="DB490" s="707"/>
      <c r="DC490" s="707"/>
      <c r="DD490" s="707"/>
      <c r="DE490" s="707"/>
      <c r="DF490" s="707"/>
      <c r="DG490" s="707"/>
      <c r="DH490" s="707"/>
      <c r="DI490" s="707"/>
      <c r="DJ490" s="707"/>
      <c r="DK490" s="707"/>
      <c r="DL490" s="707"/>
      <c r="DM490" s="707"/>
      <c r="DN490" s="707"/>
      <c r="DO490" s="707"/>
      <c r="DP490" s="707"/>
      <c r="DQ490" s="707"/>
      <c r="DR490" s="707"/>
      <c r="DS490" s="707"/>
      <c r="DT490" s="707"/>
      <c r="DU490" s="707"/>
      <c r="DV490" s="707"/>
      <c r="DW490" s="707"/>
      <c r="DX490" s="707"/>
      <c r="DY490" s="707"/>
      <c r="DZ490" s="707"/>
      <c r="EA490" s="707"/>
      <c r="EB490" s="707"/>
      <c r="EC490" s="707"/>
      <c r="ED490" s="707"/>
      <c r="EE490" s="707"/>
      <c r="EF490" s="707"/>
      <c r="EG490" s="707"/>
      <c r="EH490" s="707"/>
      <c r="EI490" s="707"/>
      <c r="EJ490" s="707"/>
      <c r="EK490" s="707"/>
      <c r="EL490" s="707"/>
      <c r="EM490" s="707"/>
      <c r="EN490" s="707"/>
      <c r="EO490" s="707"/>
      <c r="EP490" s="707"/>
      <c r="EQ490" s="707"/>
      <c r="ER490" s="707"/>
      <c r="ES490" s="707"/>
      <c r="ET490" s="707"/>
      <c r="EU490" s="707"/>
      <c r="EV490" s="707"/>
      <c r="EW490" s="707"/>
      <c r="EX490" s="707"/>
      <c r="EY490" s="707"/>
      <c r="EZ490" s="707"/>
      <c r="FA490" s="707"/>
      <c r="FB490" s="707"/>
      <c r="FC490" s="707"/>
      <c r="FD490" s="707"/>
      <c r="FE490" s="707"/>
      <c r="FF490" s="707"/>
      <c r="FG490" s="707"/>
      <c r="FH490" s="707"/>
      <c r="FI490" s="707"/>
      <c r="FJ490" s="707"/>
      <c r="FK490" s="707"/>
      <c r="FL490" s="707"/>
      <c r="FM490" s="707"/>
      <c r="FN490" s="707"/>
      <c r="FO490" s="707"/>
      <c r="FP490" s="707"/>
      <c r="FQ490" s="707"/>
      <c r="FR490" s="707"/>
      <c r="FS490" s="707"/>
      <c r="FT490" s="707"/>
      <c r="FU490" s="707"/>
      <c r="FV490" s="707"/>
      <c r="FW490" s="707"/>
      <c r="FX490" s="707"/>
      <c r="FY490" s="707"/>
      <c r="FZ490" s="707"/>
      <c r="GA490" s="707"/>
      <c r="GB490" s="707"/>
      <c r="GC490" s="707"/>
      <c r="GD490" s="707"/>
      <c r="GE490" s="707"/>
      <c r="GF490" s="707"/>
      <c r="GG490" s="707"/>
      <c r="GH490" s="707"/>
      <c r="GI490" s="707"/>
      <c r="GJ490" s="707"/>
      <c r="GK490" s="707"/>
      <c r="GL490" s="707"/>
      <c r="GM490" s="707"/>
      <c r="GN490" s="707"/>
      <c r="GO490" s="707"/>
      <c r="GP490" s="707"/>
      <c r="GQ490" s="707"/>
      <c r="GR490" s="707"/>
      <c r="GS490" s="707"/>
      <c r="GT490" s="707"/>
      <c r="GU490" s="707"/>
      <c r="GV490" s="707"/>
      <c r="GW490" s="707"/>
      <c r="GX490" s="707"/>
      <c r="GY490" s="707"/>
      <c r="GZ490" s="707"/>
      <c r="HA490" s="707"/>
      <c r="HB490" s="707"/>
      <c r="HC490" s="707"/>
      <c r="HD490" s="707"/>
      <c r="HE490" s="707"/>
      <c r="HF490" s="707"/>
      <c r="HG490" s="707"/>
      <c r="HH490" s="707"/>
      <c r="HI490" s="707"/>
      <c r="HJ490" s="707"/>
      <c r="HK490" s="707"/>
      <c r="HL490" s="707"/>
      <c r="HM490" s="707"/>
      <c r="HN490" s="707"/>
      <c r="HO490" s="707"/>
      <c r="HP490" s="707"/>
      <c r="HQ490" s="707"/>
      <c r="HR490" s="707"/>
      <c r="HS490" s="707"/>
      <c r="HT490" s="707"/>
      <c r="HU490" s="707"/>
      <c r="HV490" s="707"/>
      <c r="HW490" s="707"/>
      <c r="HX490" s="707"/>
      <c r="HY490" s="707"/>
      <c r="HZ490" s="707"/>
      <c r="IA490" s="707"/>
      <c r="IB490" s="707"/>
      <c r="IC490" s="707"/>
      <c r="ID490" s="707"/>
      <c r="IE490" s="707"/>
      <c r="IF490" s="707"/>
      <c r="IG490" s="707"/>
      <c r="IH490" s="707"/>
      <c r="II490" s="707"/>
      <c r="IJ490" s="707"/>
      <c r="IK490" s="707"/>
      <c r="IL490" s="707"/>
      <c r="IM490" s="707"/>
      <c r="IN490" s="707"/>
      <c r="IO490" s="707"/>
      <c r="IP490" s="707"/>
      <c r="IQ490" s="707"/>
      <c r="IR490" s="707"/>
      <c r="IS490" s="707"/>
      <c r="IT490" s="707"/>
      <c r="IU490" s="707"/>
      <c r="IV490" s="707"/>
      <c r="IW490" s="707"/>
    </row>
    <row r="491" customFormat="false" ht="12.75" hidden="false" customHeight="false" outlineLevel="1" collapsed="false">
      <c r="A491" s="388"/>
      <c r="B491" s="717"/>
      <c r="C491" s="717"/>
      <c r="D491" s="717"/>
      <c r="E491" s="713"/>
      <c r="F491" s="713"/>
      <c r="G491" s="713"/>
      <c r="H491" s="713"/>
      <c r="I491" s="713"/>
      <c r="J491" s="713"/>
      <c r="K491" s="713"/>
      <c r="L491" s="713"/>
      <c r="M491" s="713"/>
      <c r="N491" s="713"/>
      <c r="O491" s="713"/>
      <c r="P491" s="713"/>
      <c r="Q491" s="713"/>
      <c r="R491" s="713"/>
      <c r="S491" s="713"/>
      <c r="T491" s="713"/>
      <c r="U491" s="713"/>
      <c r="V491" s="713"/>
      <c r="W491" s="713"/>
      <c r="X491" s="713"/>
      <c r="Y491" s="713"/>
      <c r="Z491" s="713"/>
      <c r="AA491" s="707"/>
      <c r="AB491" s="707"/>
      <c r="AC491" s="707"/>
      <c r="AD491" s="707"/>
      <c r="AE491" s="707"/>
      <c r="AF491" s="707"/>
      <c r="AG491" s="707"/>
      <c r="AH491" s="707"/>
      <c r="AI491" s="707"/>
      <c r="AJ491" s="707"/>
      <c r="AK491" s="707"/>
      <c r="AL491" s="707"/>
      <c r="AM491" s="707"/>
      <c r="AN491" s="707"/>
      <c r="AO491" s="707"/>
      <c r="AP491" s="707"/>
      <c r="AQ491" s="707"/>
      <c r="AR491" s="707"/>
      <c r="AS491" s="707"/>
      <c r="AT491" s="707"/>
      <c r="AU491" s="707"/>
      <c r="AV491" s="707"/>
      <c r="AW491" s="707"/>
      <c r="AX491" s="707"/>
      <c r="AY491" s="707"/>
      <c r="AZ491" s="707"/>
      <c r="BA491" s="707"/>
      <c r="BB491" s="707"/>
      <c r="BC491" s="707"/>
      <c r="BD491" s="707"/>
      <c r="BE491" s="707"/>
      <c r="BF491" s="707"/>
      <c r="BG491" s="707"/>
      <c r="BH491" s="707"/>
      <c r="BI491" s="707"/>
      <c r="BJ491" s="707"/>
      <c r="BK491" s="707"/>
      <c r="BL491" s="707"/>
      <c r="BM491" s="707"/>
      <c r="BN491" s="707"/>
      <c r="BO491" s="707"/>
      <c r="BP491" s="707"/>
      <c r="BQ491" s="707"/>
      <c r="BR491" s="707"/>
      <c r="BS491" s="707"/>
      <c r="BT491" s="707"/>
      <c r="BU491" s="707"/>
      <c r="BV491" s="707"/>
      <c r="BW491" s="707"/>
      <c r="BX491" s="707"/>
      <c r="BY491" s="707"/>
      <c r="BZ491" s="707"/>
      <c r="CA491" s="707"/>
      <c r="CB491" s="707"/>
      <c r="CC491" s="707"/>
      <c r="CD491" s="707"/>
      <c r="CE491" s="707"/>
      <c r="CF491" s="707"/>
      <c r="CG491" s="707"/>
      <c r="CH491" s="707"/>
      <c r="CI491" s="707"/>
      <c r="CJ491" s="707"/>
      <c r="CK491" s="707"/>
      <c r="CL491" s="707"/>
      <c r="CM491" s="707"/>
      <c r="CN491" s="707"/>
      <c r="CO491" s="707"/>
      <c r="CP491" s="707"/>
      <c r="CQ491" s="707"/>
      <c r="CR491" s="707"/>
      <c r="CS491" s="707"/>
      <c r="CT491" s="707"/>
      <c r="CU491" s="707"/>
      <c r="CV491" s="707"/>
      <c r="CW491" s="707"/>
      <c r="CX491" s="707"/>
      <c r="CY491" s="707"/>
      <c r="CZ491" s="707"/>
      <c r="DA491" s="707"/>
      <c r="DB491" s="707"/>
      <c r="DC491" s="707"/>
      <c r="DD491" s="707"/>
      <c r="DE491" s="707"/>
      <c r="DF491" s="707"/>
      <c r="DG491" s="707"/>
      <c r="DH491" s="707"/>
      <c r="DI491" s="707"/>
      <c r="DJ491" s="707"/>
      <c r="DK491" s="707"/>
      <c r="DL491" s="707"/>
      <c r="DM491" s="707"/>
      <c r="DN491" s="707"/>
      <c r="DO491" s="707"/>
      <c r="DP491" s="707"/>
      <c r="DQ491" s="707"/>
      <c r="DR491" s="707"/>
      <c r="DS491" s="707"/>
      <c r="DT491" s="707"/>
      <c r="DU491" s="707"/>
      <c r="DV491" s="707"/>
      <c r="DW491" s="707"/>
      <c r="DX491" s="707"/>
      <c r="DY491" s="707"/>
      <c r="DZ491" s="707"/>
      <c r="EA491" s="707"/>
      <c r="EB491" s="707"/>
      <c r="EC491" s="707"/>
      <c r="ED491" s="707"/>
      <c r="EE491" s="707"/>
      <c r="EF491" s="707"/>
      <c r="EG491" s="707"/>
      <c r="EH491" s="707"/>
      <c r="EI491" s="707"/>
      <c r="EJ491" s="707"/>
      <c r="EK491" s="707"/>
      <c r="EL491" s="707"/>
      <c r="EM491" s="707"/>
      <c r="EN491" s="707"/>
      <c r="EO491" s="707"/>
      <c r="EP491" s="707"/>
      <c r="EQ491" s="707"/>
      <c r="ER491" s="707"/>
      <c r="ES491" s="707"/>
      <c r="ET491" s="707"/>
      <c r="EU491" s="707"/>
      <c r="EV491" s="707"/>
      <c r="EW491" s="707"/>
      <c r="EX491" s="707"/>
      <c r="EY491" s="707"/>
      <c r="EZ491" s="707"/>
      <c r="FA491" s="707"/>
      <c r="FB491" s="707"/>
      <c r="FC491" s="707"/>
      <c r="FD491" s="707"/>
      <c r="FE491" s="707"/>
      <c r="FF491" s="707"/>
      <c r="FG491" s="707"/>
      <c r="FH491" s="707"/>
      <c r="FI491" s="707"/>
      <c r="FJ491" s="707"/>
      <c r="FK491" s="707"/>
      <c r="FL491" s="707"/>
      <c r="FM491" s="707"/>
      <c r="FN491" s="707"/>
      <c r="FO491" s="707"/>
      <c r="FP491" s="707"/>
      <c r="FQ491" s="707"/>
      <c r="FR491" s="707"/>
      <c r="FS491" s="707"/>
      <c r="FT491" s="707"/>
      <c r="FU491" s="707"/>
      <c r="FV491" s="707"/>
      <c r="FW491" s="707"/>
      <c r="FX491" s="707"/>
      <c r="FY491" s="707"/>
      <c r="FZ491" s="707"/>
      <c r="GA491" s="707"/>
      <c r="GB491" s="707"/>
      <c r="GC491" s="707"/>
      <c r="GD491" s="707"/>
      <c r="GE491" s="707"/>
      <c r="GF491" s="707"/>
      <c r="GG491" s="707"/>
      <c r="GH491" s="707"/>
      <c r="GI491" s="707"/>
      <c r="GJ491" s="707"/>
      <c r="GK491" s="707"/>
      <c r="GL491" s="707"/>
      <c r="GM491" s="707"/>
      <c r="GN491" s="707"/>
      <c r="GO491" s="707"/>
      <c r="GP491" s="707"/>
      <c r="GQ491" s="707"/>
      <c r="GR491" s="707"/>
      <c r="GS491" s="707"/>
      <c r="GT491" s="707"/>
      <c r="GU491" s="707"/>
      <c r="GV491" s="707"/>
      <c r="GW491" s="707"/>
      <c r="GX491" s="707"/>
      <c r="GY491" s="707"/>
      <c r="GZ491" s="707"/>
      <c r="HA491" s="707"/>
      <c r="HB491" s="707"/>
      <c r="HC491" s="707"/>
      <c r="HD491" s="707"/>
      <c r="HE491" s="707"/>
      <c r="HF491" s="707"/>
      <c r="HG491" s="707"/>
      <c r="HH491" s="707"/>
      <c r="HI491" s="707"/>
      <c r="HJ491" s="707"/>
      <c r="HK491" s="707"/>
      <c r="HL491" s="707"/>
      <c r="HM491" s="707"/>
      <c r="HN491" s="707"/>
      <c r="HO491" s="707"/>
      <c r="HP491" s="707"/>
      <c r="HQ491" s="707"/>
      <c r="HR491" s="707"/>
      <c r="HS491" s="707"/>
      <c r="HT491" s="707"/>
      <c r="HU491" s="707"/>
      <c r="HV491" s="707"/>
      <c r="HW491" s="707"/>
      <c r="HX491" s="707"/>
      <c r="HY491" s="707"/>
      <c r="HZ491" s="707"/>
      <c r="IA491" s="707"/>
      <c r="IB491" s="707"/>
      <c r="IC491" s="707"/>
      <c r="ID491" s="707"/>
      <c r="IE491" s="707"/>
      <c r="IF491" s="707"/>
      <c r="IG491" s="707"/>
      <c r="IH491" s="707"/>
      <c r="II491" s="707"/>
      <c r="IJ491" s="707"/>
      <c r="IK491" s="707"/>
      <c r="IL491" s="707"/>
      <c r="IM491" s="707"/>
      <c r="IN491" s="707"/>
      <c r="IO491" s="707"/>
      <c r="IP491" s="707"/>
      <c r="IQ491" s="707"/>
      <c r="IR491" s="707"/>
      <c r="IS491" s="707"/>
      <c r="IT491" s="707"/>
      <c r="IU491" s="707"/>
      <c r="IV491" s="707"/>
      <c r="IW491" s="707"/>
    </row>
    <row r="492" customFormat="false" ht="12.75" hidden="false" customHeight="false" outlineLevel="1" collapsed="false">
      <c r="A492" s="388"/>
      <c r="B492" s="717"/>
      <c r="C492" s="717"/>
      <c r="D492" s="717"/>
      <c r="E492" s="713"/>
      <c r="F492" s="713"/>
      <c r="G492" s="713"/>
      <c r="H492" s="713"/>
      <c r="I492" s="713"/>
      <c r="J492" s="713"/>
      <c r="K492" s="713"/>
      <c r="L492" s="713"/>
      <c r="M492" s="713"/>
      <c r="N492" s="713"/>
      <c r="O492" s="713"/>
      <c r="P492" s="713"/>
      <c r="Q492" s="713"/>
      <c r="R492" s="713"/>
      <c r="S492" s="713"/>
      <c r="T492" s="713"/>
      <c r="U492" s="713"/>
      <c r="V492" s="713"/>
      <c r="W492" s="713"/>
      <c r="X492" s="713"/>
      <c r="Y492" s="713"/>
      <c r="Z492" s="713"/>
      <c r="AA492" s="707"/>
      <c r="AB492" s="707"/>
      <c r="AC492" s="707"/>
      <c r="AD492" s="707"/>
      <c r="AE492" s="707"/>
      <c r="AF492" s="707"/>
      <c r="AG492" s="707"/>
      <c r="AH492" s="707"/>
      <c r="AI492" s="707"/>
      <c r="AJ492" s="707"/>
      <c r="AK492" s="707"/>
      <c r="AL492" s="707"/>
      <c r="AM492" s="707"/>
      <c r="AN492" s="707"/>
      <c r="AO492" s="707"/>
      <c r="AP492" s="707"/>
      <c r="AQ492" s="707"/>
      <c r="AR492" s="707"/>
      <c r="AS492" s="707"/>
      <c r="AT492" s="707"/>
      <c r="AU492" s="707"/>
      <c r="AV492" s="707"/>
      <c r="AW492" s="707"/>
      <c r="AX492" s="707"/>
      <c r="AY492" s="707"/>
      <c r="AZ492" s="707"/>
      <c r="BA492" s="707"/>
      <c r="BB492" s="707"/>
      <c r="BC492" s="707"/>
      <c r="BD492" s="707"/>
      <c r="BE492" s="707"/>
      <c r="BF492" s="707"/>
      <c r="BG492" s="707"/>
      <c r="BH492" s="707"/>
      <c r="BI492" s="707"/>
      <c r="BJ492" s="707"/>
      <c r="BK492" s="707"/>
      <c r="BL492" s="707"/>
      <c r="BM492" s="707"/>
      <c r="BN492" s="707"/>
      <c r="BO492" s="707"/>
      <c r="BP492" s="707"/>
      <c r="BQ492" s="707"/>
      <c r="BR492" s="707"/>
      <c r="BS492" s="707"/>
      <c r="BT492" s="707"/>
      <c r="BU492" s="707"/>
      <c r="BV492" s="707"/>
      <c r="BW492" s="707"/>
      <c r="BX492" s="707"/>
      <c r="BY492" s="707"/>
      <c r="BZ492" s="707"/>
      <c r="CA492" s="707"/>
      <c r="CB492" s="707"/>
      <c r="CC492" s="707"/>
      <c r="CD492" s="707"/>
      <c r="CE492" s="707"/>
      <c r="CF492" s="707"/>
      <c r="CG492" s="707"/>
      <c r="CH492" s="707"/>
      <c r="CI492" s="707"/>
      <c r="CJ492" s="707"/>
      <c r="CK492" s="707"/>
      <c r="CL492" s="707"/>
      <c r="CM492" s="707"/>
      <c r="CN492" s="707"/>
      <c r="CO492" s="707"/>
      <c r="CP492" s="707"/>
      <c r="CQ492" s="707"/>
      <c r="CR492" s="707"/>
      <c r="CS492" s="707"/>
      <c r="CT492" s="707"/>
      <c r="CU492" s="707"/>
      <c r="CV492" s="707"/>
      <c r="CW492" s="707"/>
      <c r="CX492" s="707"/>
      <c r="CY492" s="707"/>
      <c r="CZ492" s="707"/>
      <c r="DA492" s="707"/>
      <c r="DB492" s="707"/>
      <c r="DC492" s="707"/>
      <c r="DD492" s="707"/>
      <c r="DE492" s="707"/>
      <c r="DF492" s="707"/>
      <c r="DG492" s="707"/>
      <c r="DH492" s="707"/>
      <c r="DI492" s="707"/>
      <c r="DJ492" s="707"/>
      <c r="DK492" s="707"/>
      <c r="DL492" s="707"/>
      <c r="DM492" s="707"/>
      <c r="DN492" s="707"/>
      <c r="DO492" s="707"/>
      <c r="DP492" s="707"/>
      <c r="DQ492" s="707"/>
      <c r="DR492" s="707"/>
      <c r="DS492" s="707"/>
      <c r="DT492" s="707"/>
      <c r="DU492" s="707"/>
      <c r="DV492" s="707"/>
      <c r="DW492" s="707"/>
      <c r="DX492" s="707"/>
      <c r="DY492" s="707"/>
      <c r="DZ492" s="707"/>
      <c r="EA492" s="707"/>
      <c r="EB492" s="707"/>
      <c r="EC492" s="707"/>
      <c r="ED492" s="707"/>
      <c r="EE492" s="707"/>
      <c r="EF492" s="707"/>
      <c r="EG492" s="707"/>
      <c r="EH492" s="707"/>
      <c r="EI492" s="707"/>
      <c r="EJ492" s="707"/>
      <c r="EK492" s="707"/>
      <c r="EL492" s="707"/>
      <c r="EM492" s="707"/>
      <c r="EN492" s="707"/>
      <c r="EO492" s="707"/>
      <c r="EP492" s="707"/>
      <c r="EQ492" s="707"/>
      <c r="ER492" s="707"/>
      <c r="ES492" s="707"/>
      <c r="ET492" s="707"/>
      <c r="EU492" s="707"/>
      <c r="EV492" s="707"/>
      <c r="EW492" s="707"/>
      <c r="EX492" s="707"/>
      <c r="EY492" s="707"/>
      <c r="EZ492" s="707"/>
      <c r="FA492" s="707"/>
      <c r="FB492" s="707"/>
      <c r="FC492" s="707"/>
      <c r="FD492" s="707"/>
      <c r="FE492" s="707"/>
      <c r="FF492" s="707"/>
      <c r="FG492" s="707"/>
      <c r="FH492" s="707"/>
      <c r="FI492" s="707"/>
      <c r="FJ492" s="707"/>
      <c r="FK492" s="707"/>
      <c r="FL492" s="707"/>
      <c r="FM492" s="707"/>
      <c r="FN492" s="707"/>
      <c r="FO492" s="707"/>
      <c r="FP492" s="707"/>
      <c r="FQ492" s="707"/>
      <c r="FR492" s="707"/>
      <c r="FS492" s="707"/>
      <c r="FT492" s="707"/>
      <c r="FU492" s="707"/>
      <c r="FV492" s="707"/>
      <c r="FW492" s="707"/>
      <c r="FX492" s="707"/>
      <c r="FY492" s="707"/>
      <c r="FZ492" s="707"/>
      <c r="GA492" s="707"/>
      <c r="GB492" s="707"/>
      <c r="GC492" s="707"/>
      <c r="GD492" s="707"/>
      <c r="GE492" s="707"/>
      <c r="GF492" s="707"/>
      <c r="GG492" s="707"/>
      <c r="GH492" s="707"/>
      <c r="GI492" s="707"/>
      <c r="GJ492" s="707"/>
      <c r="GK492" s="707"/>
      <c r="GL492" s="707"/>
      <c r="GM492" s="707"/>
      <c r="GN492" s="707"/>
      <c r="GO492" s="707"/>
      <c r="GP492" s="707"/>
      <c r="GQ492" s="707"/>
      <c r="GR492" s="707"/>
      <c r="GS492" s="707"/>
      <c r="GT492" s="707"/>
      <c r="GU492" s="707"/>
      <c r="GV492" s="707"/>
      <c r="GW492" s="707"/>
      <c r="GX492" s="707"/>
      <c r="GY492" s="707"/>
      <c r="GZ492" s="707"/>
      <c r="HA492" s="707"/>
      <c r="HB492" s="707"/>
      <c r="HC492" s="707"/>
      <c r="HD492" s="707"/>
      <c r="HE492" s="707"/>
      <c r="HF492" s="707"/>
      <c r="HG492" s="707"/>
      <c r="HH492" s="707"/>
      <c r="HI492" s="707"/>
      <c r="HJ492" s="707"/>
      <c r="HK492" s="707"/>
      <c r="HL492" s="707"/>
      <c r="HM492" s="707"/>
      <c r="HN492" s="707"/>
      <c r="HO492" s="707"/>
      <c r="HP492" s="707"/>
      <c r="HQ492" s="707"/>
      <c r="HR492" s="707"/>
      <c r="HS492" s="707"/>
      <c r="HT492" s="707"/>
      <c r="HU492" s="707"/>
      <c r="HV492" s="707"/>
      <c r="HW492" s="707"/>
      <c r="HX492" s="707"/>
      <c r="HY492" s="707"/>
      <c r="HZ492" s="707"/>
      <c r="IA492" s="707"/>
      <c r="IB492" s="707"/>
      <c r="IC492" s="707"/>
      <c r="ID492" s="707"/>
      <c r="IE492" s="707"/>
      <c r="IF492" s="707"/>
      <c r="IG492" s="707"/>
      <c r="IH492" s="707"/>
      <c r="II492" s="707"/>
      <c r="IJ492" s="707"/>
      <c r="IK492" s="707"/>
      <c r="IL492" s="707"/>
      <c r="IM492" s="707"/>
      <c r="IN492" s="707"/>
      <c r="IO492" s="707"/>
      <c r="IP492" s="707"/>
      <c r="IQ492" s="707"/>
      <c r="IR492" s="707"/>
      <c r="IS492" s="707"/>
      <c r="IT492" s="707"/>
      <c r="IU492" s="707"/>
      <c r="IV492" s="707"/>
      <c r="IW492" s="707"/>
    </row>
    <row r="493" customFormat="false" ht="12.75" hidden="false" customHeight="false" outlineLevel="1" collapsed="false">
      <c r="A493" s="367"/>
      <c r="B493" s="717"/>
      <c r="C493" s="717"/>
      <c r="D493" s="717"/>
      <c r="E493" s="713"/>
      <c r="F493" s="713"/>
      <c r="G493" s="713"/>
      <c r="H493" s="713"/>
      <c r="I493" s="713"/>
      <c r="J493" s="713"/>
      <c r="K493" s="713"/>
      <c r="L493" s="713"/>
      <c r="M493" s="713"/>
      <c r="N493" s="713"/>
      <c r="O493" s="713"/>
      <c r="P493" s="713"/>
      <c r="Q493" s="713"/>
      <c r="R493" s="713"/>
      <c r="S493" s="713"/>
      <c r="T493" s="713"/>
      <c r="U493" s="713"/>
      <c r="V493" s="713"/>
      <c r="W493" s="713"/>
      <c r="X493" s="713"/>
      <c r="Y493" s="713"/>
      <c r="Z493" s="713"/>
      <c r="AA493" s="707"/>
      <c r="AB493" s="707"/>
      <c r="AC493" s="707"/>
      <c r="AD493" s="707"/>
      <c r="AE493" s="707"/>
      <c r="AF493" s="707"/>
      <c r="AG493" s="707"/>
      <c r="AH493" s="707"/>
      <c r="AI493" s="707"/>
      <c r="AJ493" s="707"/>
      <c r="AK493" s="707"/>
      <c r="AL493" s="707"/>
      <c r="AM493" s="707"/>
      <c r="AN493" s="707"/>
      <c r="AO493" s="707"/>
      <c r="AP493" s="707"/>
      <c r="AQ493" s="707"/>
      <c r="AR493" s="707"/>
      <c r="AS493" s="707"/>
      <c r="AT493" s="707"/>
      <c r="AU493" s="707"/>
      <c r="AV493" s="707"/>
      <c r="AW493" s="707"/>
      <c r="AX493" s="707"/>
      <c r="AY493" s="707"/>
      <c r="AZ493" s="707"/>
      <c r="BA493" s="707"/>
      <c r="BB493" s="707"/>
      <c r="BC493" s="707"/>
      <c r="BD493" s="707"/>
      <c r="BE493" s="707"/>
      <c r="BF493" s="707"/>
      <c r="BG493" s="707"/>
      <c r="BH493" s="707"/>
      <c r="BI493" s="707"/>
      <c r="BJ493" s="707"/>
      <c r="BK493" s="707"/>
      <c r="BL493" s="707"/>
      <c r="BM493" s="707"/>
      <c r="BN493" s="707"/>
      <c r="BO493" s="707"/>
      <c r="BP493" s="707"/>
      <c r="BQ493" s="707"/>
      <c r="BR493" s="707"/>
      <c r="BS493" s="707"/>
      <c r="BT493" s="707"/>
      <c r="BU493" s="707"/>
      <c r="BV493" s="707"/>
      <c r="BW493" s="707"/>
      <c r="BX493" s="707"/>
      <c r="BY493" s="707"/>
      <c r="BZ493" s="707"/>
      <c r="CA493" s="707"/>
      <c r="CB493" s="707"/>
      <c r="CC493" s="707"/>
      <c r="CD493" s="707"/>
      <c r="CE493" s="707"/>
      <c r="CF493" s="707"/>
      <c r="CG493" s="707"/>
      <c r="CH493" s="707"/>
      <c r="CI493" s="707"/>
      <c r="CJ493" s="707"/>
      <c r="CK493" s="707"/>
      <c r="CL493" s="707"/>
      <c r="CM493" s="707"/>
      <c r="CN493" s="707"/>
      <c r="CO493" s="707"/>
      <c r="CP493" s="707"/>
      <c r="CQ493" s="707"/>
      <c r="CR493" s="707"/>
      <c r="CS493" s="707"/>
      <c r="CT493" s="707"/>
      <c r="CU493" s="707"/>
      <c r="CV493" s="707"/>
      <c r="CW493" s="707"/>
      <c r="CX493" s="707"/>
      <c r="CY493" s="707"/>
      <c r="CZ493" s="707"/>
      <c r="DA493" s="707"/>
      <c r="DB493" s="707"/>
      <c r="DC493" s="707"/>
      <c r="DD493" s="707"/>
      <c r="DE493" s="707"/>
      <c r="DF493" s="707"/>
      <c r="DG493" s="707"/>
      <c r="DH493" s="707"/>
      <c r="DI493" s="707"/>
      <c r="DJ493" s="707"/>
      <c r="DK493" s="707"/>
      <c r="DL493" s="707"/>
      <c r="DM493" s="707"/>
      <c r="DN493" s="707"/>
      <c r="DO493" s="707"/>
      <c r="DP493" s="707"/>
      <c r="DQ493" s="707"/>
      <c r="DR493" s="707"/>
      <c r="DS493" s="707"/>
      <c r="DT493" s="707"/>
      <c r="DU493" s="707"/>
      <c r="DV493" s="707"/>
      <c r="DW493" s="707"/>
      <c r="DX493" s="707"/>
      <c r="DY493" s="707"/>
      <c r="DZ493" s="707"/>
      <c r="EA493" s="707"/>
      <c r="EB493" s="707"/>
      <c r="EC493" s="707"/>
      <c r="ED493" s="707"/>
      <c r="EE493" s="707"/>
      <c r="EF493" s="707"/>
      <c r="EG493" s="707"/>
      <c r="EH493" s="707"/>
      <c r="EI493" s="707"/>
      <c r="EJ493" s="707"/>
      <c r="EK493" s="707"/>
      <c r="EL493" s="707"/>
      <c r="EM493" s="707"/>
      <c r="EN493" s="707"/>
      <c r="EO493" s="707"/>
      <c r="EP493" s="707"/>
      <c r="EQ493" s="707"/>
      <c r="ER493" s="707"/>
      <c r="ES493" s="707"/>
      <c r="ET493" s="707"/>
      <c r="EU493" s="707"/>
      <c r="EV493" s="707"/>
      <c r="EW493" s="707"/>
      <c r="EX493" s="707"/>
      <c r="EY493" s="707"/>
      <c r="EZ493" s="707"/>
      <c r="FA493" s="707"/>
      <c r="FB493" s="707"/>
      <c r="FC493" s="707"/>
      <c r="FD493" s="707"/>
      <c r="FE493" s="707"/>
      <c r="FF493" s="707"/>
      <c r="FG493" s="707"/>
      <c r="FH493" s="707"/>
      <c r="FI493" s="707"/>
      <c r="FJ493" s="707"/>
      <c r="FK493" s="707"/>
      <c r="FL493" s="707"/>
      <c r="FM493" s="707"/>
      <c r="FN493" s="707"/>
      <c r="FO493" s="707"/>
      <c r="FP493" s="707"/>
      <c r="FQ493" s="707"/>
      <c r="FR493" s="707"/>
      <c r="FS493" s="707"/>
      <c r="FT493" s="707"/>
      <c r="FU493" s="707"/>
      <c r="FV493" s="707"/>
      <c r="FW493" s="707"/>
      <c r="FX493" s="707"/>
      <c r="FY493" s="707"/>
      <c r="FZ493" s="707"/>
      <c r="GA493" s="707"/>
      <c r="GB493" s="707"/>
      <c r="GC493" s="707"/>
      <c r="GD493" s="707"/>
      <c r="GE493" s="707"/>
      <c r="GF493" s="707"/>
      <c r="GG493" s="707"/>
      <c r="GH493" s="707"/>
      <c r="GI493" s="707"/>
      <c r="GJ493" s="707"/>
      <c r="GK493" s="707"/>
      <c r="GL493" s="707"/>
      <c r="GM493" s="707"/>
      <c r="GN493" s="707"/>
      <c r="GO493" s="707"/>
      <c r="GP493" s="707"/>
      <c r="GQ493" s="707"/>
      <c r="GR493" s="707"/>
      <c r="GS493" s="707"/>
      <c r="GT493" s="707"/>
      <c r="GU493" s="707"/>
      <c r="GV493" s="707"/>
      <c r="GW493" s="707"/>
      <c r="GX493" s="707"/>
      <c r="GY493" s="707"/>
      <c r="GZ493" s="707"/>
      <c r="HA493" s="707"/>
      <c r="HB493" s="707"/>
      <c r="HC493" s="707"/>
      <c r="HD493" s="707"/>
      <c r="HE493" s="707"/>
      <c r="HF493" s="707"/>
      <c r="HG493" s="707"/>
      <c r="HH493" s="707"/>
      <c r="HI493" s="707"/>
      <c r="HJ493" s="707"/>
      <c r="HK493" s="707"/>
      <c r="HL493" s="707"/>
      <c r="HM493" s="707"/>
      <c r="HN493" s="707"/>
      <c r="HO493" s="707"/>
      <c r="HP493" s="707"/>
      <c r="HQ493" s="707"/>
      <c r="HR493" s="707"/>
      <c r="HS493" s="707"/>
      <c r="HT493" s="707"/>
      <c r="HU493" s="707"/>
      <c r="HV493" s="707"/>
      <c r="HW493" s="707"/>
      <c r="HX493" s="707"/>
      <c r="HY493" s="707"/>
      <c r="HZ493" s="707"/>
      <c r="IA493" s="707"/>
      <c r="IB493" s="707"/>
      <c r="IC493" s="707"/>
      <c r="ID493" s="707"/>
      <c r="IE493" s="707"/>
      <c r="IF493" s="707"/>
      <c r="IG493" s="707"/>
      <c r="IH493" s="707"/>
      <c r="II493" s="707"/>
      <c r="IJ493" s="707"/>
      <c r="IK493" s="707"/>
      <c r="IL493" s="707"/>
      <c r="IM493" s="707"/>
      <c r="IN493" s="707"/>
      <c r="IO493" s="707"/>
      <c r="IP493" s="707"/>
      <c r="IQ493" s="707"/>
      <c r="IR493" s="707"/>
      <c r="IS493" s="707"/>
      <c r="IT493" s="707"/>
      <c r="IU493" s="707"/>
      <c r="IV493" s="707"/>
      <c r="IW493" s="707"/>
    </row>
    <row r="494" customFormat="false" ht="12.75" hidden="false" customHeight="false" outlineLevel="1" collapsed="false">
      <c r="A494" s="367"/>
      <c r="B494" s="717"/>
      <c r="C494" s="717"/>
      <c r="D494" s="717"/>
      <c r="E494" s="713"/>
      <c r="F494" s="713"/>
      <c r="G494" s="713"/>
      <c r="H494" s="713"/>
      <c r="I494" s="713"/>
      <c r="J494" s="713"/>
      <c r="K494" s="713"/>
      <c r="L494" s="713"/>
      <c r="M494" s="713"/>
      <c r="N494" s="713"/>
      <c r="O494" s="713"/>
      <c r="P494" s="713"/>
      <c r="Q494" s="713"/>
      <c r="R494" s="713"/>
      <c r="S494" s="713"/>
      <c r="T494" s="713"/>
      <c r="U494" s="713"/>
      <c r="V494" s="713"/>
      <c r="W494" s="713"/>
      <c r="X494" s="713"/>
      <c r="Y494" s="713"/>
      <c r="Z494" s="713"/>
      <c r="AA494" s="707"/>
      <c r="AB494" s="707"/>
      <c r="AC494" s="707"/>
      <c r="AD494" s="707"/>
      <c r="AE494" s="707"/>
      <c r="AF494" s="707"/>
      <c r="AG494" s="707"/>
      <c r="AH494" s="707"/>
      <c r="AI494" s="707"/>
      <c r="AJ494" s="707"/>
      <c r="AK494" s="707"/>
      <c r="AL494" s="707"/>
      <c r="AM494" s="707"/>
      <c r="AN494" s="707"/>
      <c r="AO494" s="707"/>
      <c r="AP494" s="707"/>
      <c r="AQ494" s="707"/>
      <c r="AR494" s="707"/>
      <c r="AS494" s="707"/>
      <c r="AT494" s="707"/>
      <c r="AU494" s="707"/>
      <c r="AV494" s="707"/>
      <c r="AW494" s="707"/>
      <c r="AX494" s="707"/>
      <c r="AY494" s="707"/>
      <c r="AZ494" s="707"/>
      <c r="BA494" s="707"/>
      <c r="BB494" s="707"/>
      <c r="BC494" s="707"/>
      <c r="BD494" s="707"/>
      <c r="BE494" s="707"/>
      <c r="BF494" s="707"/>
      <c r="BG494" s="707"/>
      <c r="BH494" s="707"/>
      <c r="BI494" s="707"/>
      <c r="BJ494" s="707"/>
      <c r="BK494" s="707"/>
      <c r="BL494" s="707"/>
      <c r="BM494" s="707"/>
      <c r="BN494" s="707"/>
      <c r="BO494" s="707"/>
      <c r="BP494" s="707"/>
      <c r="BQ494" s="707"/>
      <c r="BR494" s="707"/>
      <c r="BS494" s="707"/>
      <c r="BT494" s="707"/>
      <c r="BU494" s="707"/>
      <c r="BV494" s="707"/>
      <c r="BW494" s="707"/>
      <c r="BX494" s="707"/>
      <c r="BY494" s="707"/>
      <c r="BZ494" s="707"/>
      <c r="CA494" s="707"/>
      <c r="CB494" s="707"/>
      <c r="CC494" s="707"/>
      <c r="CD494" s="707"/>
      <c r="CE494" s="707"/>
      <c r="CF494" s="707"/>
      <c r="CG494" s="707"/>
      <c r="CH494" s="707"/>
      <c r="CI494" s="707"/>
      <c r="CJ494" s="707"/>
      <c r="CK494" s="707"/>
      <c r="CL494" s="707"/>
      <c r="CM494" s="707"/>
      <c r="CN494" s="707"/>
      <c r="CO494" s="707"/>
      <c r="CP494" s="707"/>
      <c r="CQ494" s="707"/>
      <c r="CR494" s="707"/>
      <c r="CS494" s="707"/>
      <c r="CT494" s="707"/>
      <c r="CU494" s="707"/>
      <c r="CV494" s="707"/>
      <c r="CW494" s="707"/>
      <c r="CX494" s="707"/>
      <c r="CY494" s="707"/>
      <c r="CZ494" s="707"/>
      <c r="DA494" s="707"/>
      <c r="DB494" s="707"/>
      <c r="DC494" s="707"/>
      <c r="DD494" s="707"/>
      <c r="DE494" s="707"/>
      <c r="DF494" s="707"/>
      <c r="DG494" s="707"/>
      <c r="DH494" s="707"/>
      <c r="DI494" s="707"/>
      <c r="DJ494" s="707"/>
      <c r="DK494" s="707"/>
      <c r="DL494" s="707"/>
      <c r="DM494" s="707"/>
      <c r="DN494" s="707"/>
      <c r="DO494" s="707"/>
      <c r="DP494" s="707"/>
      <c r="DQ494" s="707"/>
      <c r="DR494" s="707"/>
      <c r="DS494" s="707"/>
      <c r="DT494" s="707"/>
      <c r="DU494" s="707"/>
      <c r="DV494" s="707"/>
      <c r="DW494" s="707"/>
      <c r="DX494" s="707"/>
      <c r="DY494" s="707"/>
      <c r="DZ494" s="707"/>
      <c r="EA494" s="707"/>
      <c r="EB494" s="707"/>
      <c r="EC494" s="707"/>
      <c r="ED494" s="707"/>
      <c r="EE494" s="707"/>
      <c r="EF494" s="707"/>
      <c r="EG494" s="707"/>
      <c r="EH494" s="707"/>
      <c r="EI494" s="707"/>
      <c r="EJ494" s="707"/>
      <c r="EK494" s="707"/>
      <c r="EL494" s="707"/>
      <c r="EM494" s="707"/>
      <c r="EN494" s="707"/>
      <c r="EO494" s="707"/>
      <c r="EP494" s="707"/>
      <c r="EQ494" s="707"/>
      <c r="ER494" s="707"/>
      <c r="ES494" s="707"/>
      <c r="ET494" s="707"/>
      <c r="EU494" s="707"/>
      <c r="EV494" s="707"/>
      <c r="EW494" s="707"/>
      <c r="EX494" s="707"/>
      <c r="EY494" s="707"/>
      <c r="EZ494" s="707"/>
      <c r="FA494" s="707"/>
      <c r="FB494" s="707"/>
      <c r="FC494" s="707"/>
      <c r="FD494" s="707"/>
      <c r="FE494" s="707"/>
      <c r="FF494" s="707"/>
      <c r="FG494" s="707"/>
      <c r="FH494" s="707"/>
      <c r="FI494" s="707"/>
      <c r="FJ494" s="707"/>
      <c r="FK494" s="707"/>
      <c r="FL494" s="707"/>
      <c r="FM494" s="707"/>
      <c r="FN494" s="707"/>
      <c r="FO494" s="707"/>
      <c r="FP494" s="707"/>
      <c r="FQ494" s="707"/>
      <c r="FR494" s="707"/>
      <c r="FS494" s="707"/>
      <c r="FT494" s="707"/>
      <c r="FU494" s="707"/>
      <c r="FV494" s="707"/>
      <c r="FW494" s="707"/>
      <c r="FX494" s="707"/>
      <c r="FY494" s="707"/>
      <c r="FZ494" s="707"/>
      <c r="GA494" s="707"/>
      <c r="GB494" s="707"/>
      <c r="GC494" s="707"/>
      <c r="GD494" s="707"/>
      <c r="GE494" s="707"/>
      <c r="GF494" s="707"/>
      <c r="GG494" s="707"/>
      <c r="GH494" s="707"/>
      <c r="GI494" s="707"/>
      <c r="GJ494" s="707"/>
      <c r="GK494" s="707"/>
      <c r="GL494" s="707"/>
      <c r="GM494" s="707"/>
      <c r="GN494" s="707"/>
      <c r="GO494" s="707"/>
      <c r="GP494" s="707"/>
      <c r="GQ494" s="707"/>
      <c r="GR494" s="707"/>
      <c r="GS494" s="707"/>
      <c r="GT494" s="707"/>
      <c r="GU494" s="707"/>
      <c r="GV494" s="707"/>
      <c r="GW494" s="707"/>
      <c r="GX494" s="707"/>
      <c r="GY494" s="707"/>
      <c r="GZ494" s="707"/>
      <c r="HA494" s="707"/>
      <c r="HB494" s="707"/>
      <c r="HC494" s="707"/>
      <c r="HD494" s="707"/>
      <c r="HE494" s="707"/>
      <c r="HF494" s="707"/>
      <c r="HG494" s="707"/>
      <c r="HH494" s="707"/>
      <c r="HI494" s="707"/>
      <c r="HJ494" s="707"/>
      <c r="HK494" s="707"/>
      <c r="HL494" s="707"/>
      <c r="HM494" s="707"/>
      <c r="HN494" s="707"/>
      <c r="HO494" s="707"/>
      <c r="HP494" s="707"/>
      <c r="HQ494" s="707"/>
      <c r="HR494" s="707"/>
      <c r="HS494" s="707"/>
      <c r="HT494" s="707"/>
      <c r="HU494" s="707"/>
      <c r="HV494" s="707"/>
      <c r="HW494" s="707"/>
      <c r="HX494" s="707"/>
      <c r="HY494" s="707"/>
      <c r="HZ494" s="707"/>
      <c r="IA494" s="707"/>
      <c r="IB494" s="707"/>
      <c r="IC494" s="707"/>
      <c r="ID494" s="707"/>
      <c r="IE494" s="707"/>
      <c r="IF494" s="707"/>
      <c r="IG494" s="707"/>
      <c r="IH494" s="707"/>
      <c r="II494" s="707"/>
      <c r="IJ494" s="707"/>
      <c r="IK494" s="707"/>
      <c r="IL494" s="707"/>
      <c r="IM494" s="707"/>
      <c r="IN494" s="707"/>
      <c r="IO494" s="707"/>
      <c r="IP494" s="707"/>
      <c r="IQ494" s="707"/>
      <c r="IR494" s="707"/>
      <c r="IS494" s="707"/>
      <c r="IT494" s="707"/>
      <c r="IU494" s="707"/>
      <c r="IV494" s="707"/>
      <c r="IW494" s="707"/>
    </row>
    <row r="495" customFormat="false" ht="12.75" hidden="false" customHeight="false" outlineLevel="1" collapsed="false">
      <c r="A495" s="388"/>
      <c r="B495" s="717"/>
      <c r="C495" s="717"/>
      <c r="D495" s="717"/>
      <c r="E495" s="713"/>
      <c r="F495" s="713"/>
      <c r="G495" s="713"/>
      <c r="H495" s="713"/>
      <c r="I495" s="713"/>
      <c r="J495" s="713"/>
      <c r="K495" s="713"/>
      <c r="L495" s="713"/>
      <c r="M495" s="713"/>
      <c r="N495" s="713"/>
      <c r="O495" s="713"/>
      <c r="P495" s="713"/>
      <c r="Q495" s="713"/>
      <c r="R495" s="713"/>
      <c r="S495" s="713"/>
      <c r="T495" s="713"/>
      <c r="U495" s="713"/>
      <c r="V495" s="713"/>
      <c r="W495" s="713"/>
      <c r="X495" s="713"/>
      <c r="Y495" s="713"/>
      <c r="Z495" s="713"/>
      <c r="AA495" s="707"/>
      <c r="AB495" s="707"/>
      <c r="AC495" s="707"/>
      <c r="AD495" s="707"/>
      <c r="AE495" s="707"/>
      <c r="AF495" s="707"/>
      <c r="AG495" s="707"/>
      <c r="AH495" s="707"/>
      <c r="AI495" s="707"/>
      <c r="AJ495" s="707"/>
      <c r="AK495" s="707"/>
      <c r="AL495" s="707"/>
      <c r="AM495" s="707"/>
      <c r="AN495" s="707"/>
      <c r="AO495" s="707"/>
      <c r="AP495" s="707"/>
      <c r="AQ495" s="707"/>
      <c r="AR495" s="707"/>
      <c r="AS495" s="707"/>
      <c r="AT495" s="707"/>
      <c r="AU495" s="707"/>
      <c r="AV495" s="707"/>
      <c r="AW495" s="707"/>
      <c r="AX495" s="707"/>
      <c r="AY495" s="707"/>
      <c r="AZ495" s="707"/>
      <c r="BA495" s="707"/>
      <c r="BB495" s="707"/>
      <c r="BC495" s="707"/>
      <c r="BD495" s="707"/>
      <c r="BE495" s="707"/>
      <c r="BF495" s="707"/>
      <c r="BG495" s="707"/>
      <c r="BH495" s="707"/>
      <c r="BI495" s="707"/>
      <c r="BJ495" s="707"/>
      <c r="BK495" s="707"/>
      <c r="BL495" s="707"/>
      <c r="BM495" s="707"/>
      <c r="BN495" s="707"/>
      <c r="BO495" s="707"/>
      <c r="BP495" s="707"/>
      <c r="BQ495" s="707"/>
      <c r="BR495" s="707"/>
      <c r="BS495" s="707"/>
      <c r="BT495" s="707"/>
      <c r="BU495" s="707"/>
      <c r="BV495" s="707"/>
      <c r="BW495" s="707"/>
      <c r="BX495" s="707"/>
      <c r="BY495" s="707"/>
      <c r="BZ495" s="707"/>
      <c r="CA495" s="707"/>
      <c r="CB495" s="707"/>
      <c r="CC495" s="707"/>
      <c r="CD495" s="707"/>
      <c r="CE495" s="707"/>
      <c r="CF495" s="707"/>
      <c r="CG495" s="707"/>
      <c r="CH495" s="707"/>
      <c r="CI495" s="707"/>
      <c r="CJ495" s="707"/>
      <c r="CK495" s="707"/>
      <c r="CL495" s="707"/>
      <c r="CM495" s="707"/>
      <c r="CN495" s="707"/>
      <c r="CO495" s="707"/>
      <c r="CP495" s="707"/>
      <c r="CQ495" s="707"/>
      <c r="CR495" s="707"/>
      <c r="CS495" s="707"/>
      <c r="CT495" s="707"/>
      <c r="CU495" s="707"/>
      <c r="CV495" s="707"/>
      <c r="CW495" s="707"/>
      <c r="CX495" s="707"/>
      <c r="CY495" s="707"/>
      <c r="CZ495" s="707"/>
      <c r="DA495" s="707"/>
      <c r="DB495" s="707"/>
      <c r="DC495" s="707"/>
      <c r="DD495" s="707"/>
      <c r="DE495" s="707"/>
      <c r="DF495" s="707"/>
      <c r="DG495" s="707"/>
      <c r="DH495" s="707"/>
      <c r="DI495" s="707"/>
      <c r="DJ495" s="707"/>
      <c r="DK495" s="707"/>
      <c r="DL495" s="707"/>
      <c r="DM495" s="707"/>
      <c r="DN495" s="707"/>
      <c r="DO495" s="707"/>
      <c r="DP495" s="707"/>
      <c r="DQ495" s="707"/>
      <c r="DR495" s="707"/>
      <c r="DS495" s="707"/>
      <c r="DT495" s="707"/>
      <c r="DU495" s="707"/>
      <c r="DV495" s="707"/>
      <c r="DW495" s="707"/>
      <c r="DX495" s="707"/>
      <c r="DY495" s="707"/>
      <c r="DZ495" s="707"/>
      <c r="EA495" s="707"/>
      <c r="EB495" s="707"/>
      <c r="EC495" s="707"/>
      <c r="ED495" s="707"/>
      <c r="EE495" s="707"/>
      <c r="EF495" s="707"/>
      <c r="EG495" s="707"/>
      <c r="EH495" s="707"/>
      <c r="EI495" s="707"/>
      <c r="EJ495" s="707"/>
      <c r="EK495" s="707"/>
      <c r="EL495" s="707"/>
      <c r="EM495" s="707"/>
      <c r="EN495" s="707"/>
      <c r="EO495" s="707"/>
      <c r="EP495" s="707"/>
      <c r="EQ495" s="707"/>
      <c r="ER495" s="707"/>
      <c r="ES495" s="707"/>
      <c r="ET495" s="707"/>
      <c r="EU495" s="707"/>
      <c r="EV495" s="707"/>
      <c r="EW495" s="707"/>
      <c r="EX495" s="707"/>
      <c r="EY495" s="707"/>
      <c r="EZ495" s="707"/>
      <c r="FA495" s="707"/>
      <c r="FB495" s="707"/>
      <c r="FC495" s="707"/>
      <c r="FD495" s="707"/>
      <c r="FE495" s="707"/>
      <c r="FF495" s="707"/>
      <c r="FG495" s="707"/>
      <c r="FH495" s="707"/>
      <c r="FI495" s="707"/>
      <c r="FJ495" s="707"/>
      <c r="FK495" s="707"/>
      <c r="FL495" s="707"/>
      <c r="FM495" s="707"/>
      <c r="FN495" s="707"/>
      <c r="FO495" s="707"/>
      <c r="FP495" s="707"/>
      <c r="FQ495" s="707"/>
      <c r="FR495" s="707"/>
      <c r="FS495" s="707"/>
      <c r="FT495" s="707"/>
      <c r="FU495" s="707"/>
      <c r="FV495" s="707"/>
      <c r="FW495" s="707"/>
      <c r="FX495" s="707"/>
      <c r="FY495" s="707"/>
      <c r="FZ495" s="707"/>
      <c r="GA495" s="707"/>
      <c r="GB495" s="707"/>
      <c r="GC495" s="707"/>
      <c r="GD495" s="707"/>
      <c r="GE495" s="707"/>
      <c r="GF495" s="707"/>
      <c r="GG495" s="707"/>
      <c r="GH495" s="707"/>
      <c r="GI495" s="707"/>
      <c r="GJ495" s="707"/>
      <c r="GK495" s="707"/>
      <c r="GL495" s="707"/>
      <c r="GM495" s="707"/>
      <c r="GN495" s="707"/>
      <c r="GO495" s="707"/>
      <c r="GP495" s="707"/>
      <c r="GQ495" s="707"/>
      <c r="GR495" s="707"/>
      <c r="GS495" s="707"/>
      <c r="GT495" s="707"/>
      <c r="GU495" s="707"/>
      <c r="GV495" s="707"/>
      <c r="GW495" s="707"/>
      <c r="GX495" s="707"/>
      <c r="GY495" s="707"/>
      <c r="GZ495" s="707"/>
      <c r="HA495" s="707"/>
      <c r="HB495" s="707"/>
      <c r="HC495" s="707"/>
      <c r="HD495" s="707"/>
      <c r="HE495" s="707"/>
      <c r="HF495" s="707"/>
      <c r="HG495" s="707"/>
      <c r="HH495" s="707"/>
      <c r="HI495" s="707"/>
      <c r="HJ495" s="707"/>
      <c r="HK495" s="707"/>
      <c r="HL495" s="707"/>
      <c r="HM495" s="707"/>
      <c r="HN495" s="707"/>
      <c r="HO495" s="707"/>
      <c r="HP495" s="707"/>
      <c r="HQ495" s="707"/>
      <c r="HR495" s="707"/>
      <c r="HS495" s="707"/>
      <c r="HT495" s="707"/>
      <c r="HU495" s="707"/>
      <c r="HV495" s="707"/>
      <c r="HW495" s="707"/>
      <c r="HX495" s="707"/>
      <c r="HY495" s="707"/>
      <c r="HZ495" s="707"/>
      <c r="IA495" s="707"/>
      <c r="IB495" s="707"/>
      <c r="IC495" s="707"/>
      <c r="ID495" s="707"/>
      <c r="IE495" s="707"/>
      <c r="IF495" s="707"/>
      <c r="IG495" s="707"/>
      <c r="IH495" s="707"/>
      <c r="II495" s="707"/>
      <c r="IJ495" s="707"/>
      <c r="IK495" s="707"/>
      <c r="IL495" s="707"/>
      <c r="IM495" s="707"/>
      <c r="IN495" s="707"/>
      <c r="IO495" s="707"/>
      <c r="IP495" s="707"/>
      <c r="IQ495" s="707"/>
      <c r="IR495" s="707"/>
      <c r="IS495" s="707"/>
      <c r="IT495" s="707"/>
      <c r="IU495" s="707"/>
      <c r="IV495" s="707"/>
      <c r="IW495" s="707"/>
    </row>
    <row r="496" customFormat="false" ht="12.75" hidden="false" customHeight="false" outlineLevel="1" collapsed="false">
      <c r="A496" s="681"/>
      <c r="B496" s="717"/>
      <c r="C496" s="717"/>
      <c r="D496" s="717"/>
      <c r="E496" s="406"/>
      <c r="F496" s="406"/>
      <c r="G496" s="406"/>
      <c r="H496" s="406"/>
      <c r="I496" s="406"/>
      <c r="J496" s="406"/>
      <c r="K496" s="406"/>
      <c r="L496" s="406"/>
      <c r="M496" s="406"/>
      <c r="N496" s="406"/>
      <c r="O496" s="406"/>
      <c r="P496" s="406"/>
      <c r="Q496" s="406"/>
      <c r="R496" s="406"/>
      <c r="S496" s="406"/>
      <c r="T496" s="406"/>
      <c r="U496" s="406"/>
      <c r="V496" s="406"/>
      <c r="W496" s="406"/>
      <c r="X496" s="406"/>
      <c r="Y496" s="406"/>
      <c r="Z496" s="406"/>
      <c r="AA496" s="707"/>
      <c r="AB496" s="707"/>
      <c r="AC496" s="707"/>
      <c r="AD496" s="707"/>
      <c r="AE496" s="707"/>
      <c r="AF496" s="707"/>
      <c r="AG496" s="707"/>
      <c r="AH496" s="707"/>
      <c r="AI496" s="707"/>
      <c r="AJ496" s="707"/>
      <c r="AK496" s="707"/>
      <c r="AL496" s="707"/>
      <c r="AM496" s="707"/>
      <c r="AN496" s="707"/>
      <c r="AO496" s="707"/>
      <c r="AP496" s="707"/>
      <c r="AQ496" s="707"/>
      <c r="AR496" s="707"/>
      <c r="AS496" s="707"/>
      <c r="AT496" s="707"/>
      <c r="AU496" s="707"/>
      <c r="AV496" s="707"/>
      <c r="AW496" s="707"/>
      <c r="AX496" s="707"/>
      <c r="AY496" s="707"/>
      <c r="AZ496" s="707"/>
      <c r="BA496" s="707"/>
      <c r="BB496" s="707"/>
      <c r="BC496" s="707"/>
      <c r="BD496" s="707"/>
      <c r="BE496" s="707"/>
      <c r="BF496" s="707"/>
      <c r="BG496" s="707"/>
      <c r="BH496" s="707"/>
      <c r="BI496" s="707"/>
      <c r="BJ496" s="707"/>
      <c r="BK496" s="707"/>
      <c r="BL496" s="707"/>
      <c r="BM496" s="707"/>
      <c r="BN496" s="707"/>
      <c r="BO496" s="707"/>
      <c r="BP496" s="707"/>
      <c r="BQ496" s="707"/>
      <c r="BR496" s="707"/>
      <c r="BS496" s="707"/>
      <c r="BT496" s="707"/>
      <c r="BU496" s="707"/>
      <c r="BV496" s="707"/>
      <c r="BW496" s="707"/>
      <c r="BX496" s="707"/>
      <c r="BY496" s="707"/>
      <c r="BZ496" s="707"/>
      <c r="CA496" s="707"/>
      <c r="CB496" s="707"/>
      <c r="CC496" s="707"/>
      <c r="CD496" s="707"/>
      <c r="CE496" s="707"/>
      <c r="CF496" s="707"/>
      <c r="CG496" s="707"/>
      <c r="CH496" s="707"/>
      <c r="CI496" s="707"/>
      <c r="CJ496" s="707"/>
      <c r="CK496" s="707"/>
      <c r="CL496" s="707"/>
      <c r="CM496" s="707"/>
      <c r="CN496" s="707"/>
      <c r="CO496" s="707"/>
      <c r="CP496" s="707"/>
      <c r="CQ496" s="707"/>
      <c r="CR496" s="707"/>
      <c r="CS496" s="707"/>
      <c r="CT496" s="707"/>
      <c r="CU496" s="707"/>
      <c r="CV496" s="707"/>
      <c r="CW496" s="707"/>
      <c r="CX496" s="707"/>
      <c r="CY496" s="707"/>
      <c r="CZ496" s="707"/>
      <c r="DA496" s="707"/>
      <c r="DB496" s="707"/>
      <c r="DC496" s="707"/>
      <c r="DD496" s="707"/>
      <c r="DE496" s="707"/>
      <c r="DF496" s="707"/>
      <c r="DG496" s="707"/>
      <c r="DH496" s="707"/>
      <c r="DI496" s="707"/>
      <c r="DJ496" s="707"/>
      <c r="DK496" s="707"/>
      <c r="DL496" s="707"/>
      <c r="DM496" s="707"/>
      <c r="DN496" s="707"/>
      <c r="DO496" s="707"/>
      <c r="DP496" s="707"/>
      <c r="DQ496" s="707"/>
      <c r="DR496" s="707"/>
      <c r="DS496" s="707"/>
      <c r="DT496" s="707"/>
      <c r="DU496" s="707"/>
      <c r="DV496" s="707"/>
      <c r="DW496" s="707"/>
      <c r="DX496" s="707"/>
      <c r="DY496" s="707"/>
      <c r="DZ496" s="707"/>
      <c r="EA496" s="707"/>
      <c r="EB496" s="707"/>
      <c r="EC496" s="707"/>
      <c r="ED496" s="707"/>
      <c r="EE496" s="707"/>
      <c r="EF496" s="707"/>
      <c r="EG496" s="707"/>
      <c r="EH496" s="707"/>
      <c r="EI496" s="707"/>
      <c r="EJ496" s="707"/>
      <c r="EK496" s="707"/>
      <c r="EL496" s="707"/>
      <c r="EM496" s="707"/>
      <c r="EN496" s="707"/>
      <c r="EO496" s="707"/>
      <c r="EP496" s="707"/>
      <c r="EQ496" s="707"/>
      <c r="ER496" s="707"/>
      <c r="ES496" s="707"/>
      <c r="ET496" s="707"/>
      <c r="EU496" s="707"/>
      <c r="EV496" s="707"/>
      <c r="EW496" s="707"/>
      <c r="EX496" s="707"/>
      <c r="EY496" s="707"/>
      <c r="EZ496" s="707"/>
      <c r="FA496" s="707"/>
      <c r="FB496" s="707"/>
      <c r="FC496" s="707"/>
      <c r="FD496" s="707"/>
      <c r="FE496" s="707"/>
      <c r="FF496" s="707"/>
      <c r="FG496" s="707"/>
      <c r="FH496" s="707"/>
      <c r="FI496" s="707"/>
      <c r="FJ496" s="707"/>
      <c r="FK496" s="707"/>
      <c r="FL496" s="707"/>
      <c r="FM496" s="707"/>
      <c r="FN496" s="707"/>
      <c r="FO496" s="707"/>
      <c r="FP496" s="707"/>
      <c r="FQ496" s="707"/>
      <c r="FR496" s="707"/>
      <c r="FS496" s="707"/>
      <c r="FT496" s="707"/>
      <c r="FU496" s="707"/>
      <c r="FV496" s="707"/>
      <c r="FW496" s="707"/>
      <c r="FX496" s="707"/>
      <c r="FY496" s="707"/>
      <c r="FZ496" s="707"/>
      <c r="GA496" s="707"/>
      <c r="GB496" s="707"/>
      <c r="GC496" s="707"/>
      <c r="GD496" s="707"/>
      <c r="GE496" s="707"/>
      <c r="GF496" s="707"/>
      <c r="GG496" s="707"/>
      <c r="GH496" s="707"/>
      <c r="GI496" s="707"/>
      <c r="GJ496" s="707"/>
      <c r="GK496" s="707"/>
      <c r="GL496" s="707"/>
      <c r="GM496" s="707"/>
      <c r="GN496" s="707"/>
      <c r="GO496" s="707"/>
      <c r="GP496" s="707"/>
      <c r="GQ496" s="707"/>
      <c r="GR496" s="707"/>
      <c r="GS496" s="707"/>
      <c r="GT496" s="707"/>
      <c r="GU496" s="707"/>
      <c r="GV496" s="707"/>
      <c r="GW496" s="707"/>
      <c r="GX496" s="707"/>
      <c r="GY496" s="707"/>
      <c r="GZ496" s="707"/>
      <c r="HA496" s="707"/>
      <c r="HB496" s="707"/>
      <c r="HC496" s="707"/>
      <c r="HD496" s="707"/>
      <c r="HE496" s="707"/>
      <c r="HF496" s="707"/>
      <c r="HG496" s="707"/>
      <c r="HH496" s="707"/>
      <c r="HI496" s="707"/>
      <c r="HJ496" s="707"/>
      <c r="HK496" s="707"/>
      <c r="HL496" s="707"/>
      <c r="HM496" s="707"/>
      <c r="HN496" s="707"/>
      <c r="HO496" s="707"/>
      <c r="HP496" s="707"/>
      <c r="HQ496" s="707"/>
      <c r="HR496" s="707"/>
      <c r="HS496" s="707"/>
      <c r="HT496" s="707"/>
      <c r="HU496" s="707"/>
      <c r="HV496" s="707"/>
      <c r="HW496" s="707"/>
      <c r="HX496" s="707"/>
      <c r="HY496" s="707"/>
      <c r="HZ496" s="707"/>
      <c r="IA496" s="707"/>
      <c r="IB496" s="707"/>
      <c r="IC496" s="707"/>
      <c r="ID496" s="707"/>
      <c r="IE496" s="707"/>
      <c r="IF496" s="707"/>
      <c r="IG496" s="707"/>
      <c r="IH496" s="707"/>
      <c r="II496" s="707"/>
      <c r="IJ496" s="707"/>
      <c r="IK496" s="707"/>
      <c r="IL496" s="707"/>
      <c r="IM496" s="707"/>
      <c r="IN496" s="707"/>
      <c r="IO496" s="707"/>
      <c r="IP496" s="707"/>
      <c r="IQ496" s="707"/>
      <c r="IR496" s="707"/>
      <c r="IS496" s="707"/>
      <c r="IT496" s="707"/>
      <c r="IU496" s="707"/>
      <c r="IV496" s="707"/>
      <c r="IW496" s="707"/>
    </row>
    <row r="497" customFormat="false" ht="12.75" hidden="false" customHeight="false" outlineLevel="1" collapsed="false">
      <c r="A497" s="367"/>
      <c r="B497" s="719"/>
      <c r="C497" s="719"/>
      <c r="D497" s="719"/>
      <c r="E497" s="713"/>
      <c r="F497" s="713"/>
      <c r="G497" s="713"/>
      <c r="H497" s="713"/>
      <c r="I497" s="713"/>
      <c r="J497" s="713"/>
      <c r="K497" s="713"/>
      <c r="L497" s="713"/>
      <c r="M497" s="713"/>
      <c r="N497" s="713"/>
      <c r="O497" s="713"/>
      <c r="P497" s="713"/>
      <c r="Q497" s="713"/>
      <c r="R497" s="713"/>
      <c r="S497" s="713"/>
      <c r="T497" s="713"/>
      <c r="U497" s="713"/>
      <c r="V497" s="713"/>
      <c r="W497" s="713"/>
      <c r="X497" s="713"/>
      <c r="Y497" s="713"/>
      <c r="Z497" s="713"/>
      <c r="AA497" s="707"/>
      <c r="AB497" s="707"/>
      <c r="AC497" s="707"/>
      <c r="AD497" s="707"/>
      <c r="AE497" s="707"/>
      <c r="AF497" s="707"/>
      <c r="AG497" s="707"/>
      <c r="AH497" s="707"/>
      <c r="AI497" s="707"/>
      <c r="AJ497" s="707"/>
      <c r="AK497" s="707"/>
      <c r="AL497" s="707"/>
      <c r="AM497" s="707"/>
      <c r="AN497" s="707"/>
      <c r="AO497" s="707"/>
      <c r="AP497" s="707"/>
      <c r="AQ497" s="707"/>
      <c r="AR497" s="707"/>
      <c r="AS497" s="707"/>
      <c r="AT497" s="707"/>
      <c r="AU497" s="707"/>
      <c r="AV497" s="707"/>
      <c r="AW497" s="707"/>
      <c r="AX497" s="707"/>
      <c r="AY497" s="707"/>
      <c r="AZ497" s="707"/>
      <c r="BA497" s="707"/>
      <c r="BB497" s="707"/>
      <c r="BC497" s="707"/>
      <c r="BD497" s="707"/>
      <c r="BE497" s="707"/>
      <c r="BF497" s="707"/>
      <c r="BG497" s="707"/>
      <c r="BH497" s="707"/>
      <c r="BI497" s="707"/>
      <c r="BJ497" s="707"/>
      <c r="BK497" s="707"/>
      <c r="BL497" s="707"/>
      <c r="BM497" s="707"/>
      <c r="BN497" s="707"/>
      <c r="BO497" s="707"/>
      <c r="BP497" s="707"/>
      <c r="BQ497" s="707"/>
      <c r="BR497" s="707"/>
      <c r="BS497" s="707"/>
      <c r="BT497" s="707"/>
      <c r="BU497" s="707"/>
      <c r="BV497" s="707"/>
      <c r="BW497" s="707"/>
      <c r="BX497" s="707"/>
      <c r="BY497" s="707"/>
      <c r="BZ497" s="707"/>
      <c r="CA497" s="707"/>
      <c r="CB497" s="707"/>
      <c r="CC497" s="707"/>
      <c r="CD497" s="707"/>
      <c r="CE497" s="707"/>
      <c r="CF497" s="707"/>
      <c r="CG497" s="707"/>
      <c r="CH497" s="707"/>
      <c r="CI497" s="707"/>
      <c r="CJ497" s="707"/>
      <c r="CK497" s="707"/>
      <c r="CL497" s="707"/>
      <c r="CM497" s="707"/>
      <c r="CN497" s="707"/>
      <c r="CO497" s="707"/>
      <c r="CP497" s="707"/>
      <c r="CQ497" s="707"/>
      <c r="CR497" s="707"/>
      <c r="CS497" s="707"/>
      <c r="CT497" s="707"/>
      <c r="CU497" s="707"/>
      <c r="CV497" s="707"/>
      <c r="CW497" s="707"/>
      <c r="CX497" s="707"/>
      <c r="CY497" s="707"/>
      <c r="CZ497" s="707"/>
      <c r="DA497" s="707"/>
      <c r="DB497" s="707"/>
      <c r="DC497" s="707"/>
      <c r="DD497" s="707"/>
      <c r="DE497" s="707"/>
      <c r="DF497" s="707"/>
      <c r="DG497" s="707"/>
      <c r="DH497" s="707"/>
      <c r="DI497" s="707"/>
      <c r="DJ497" s="707"/>
      <c r="DK497" s="707"/>
      <c r="DL497" s="707"/>
      <c r="DM497" s="707"/>
      <c r="DN497" s="707"/>
      <c r="DO497" s="707"/>
      <c r="DP497" s="707"/>
      <c r="DQ497" s="707"/>
      <c r="DR497" s="707"/>
      <c r="DS497" s="707"/>
      <c r="DT497" s="707"/>
      <c r="DU497" s="707"/>
      <c r="DV497" s="707"/>
      <c r="DW497" s="707"/>
      <c r="DX497" s="707"/>
      <c r="DY497" s="707"/>
      <c r="DZ497" s="707"/>
      <c r="EA497" s="707"/>
      <c r="EB497" s="707"/>
      <c r="EC497" s="707"/>
      <c r="ED497" s="707"/>
      <c r="EE497" s="707"/>
      <c r="EF497" s="707"/>
      <c r="EG497" s="707"/>
      <c r="EH497" s="707"/>
      <c r="EI497" s="707"/>
      <c r="EJ497" s="707"/>
      <c r="EK497" s="707"/>
      <c r="EL497" s="707"/>
      <c r="EM497" s="707"/>
      <c r="EN497" s="707"/>
      <c r="EO497" s="707"/>
      <c r="EP497" s="707"/>
      <c r="EQ497" s="707"/>
      <c r="ER497" s="707"/>
      <c r="ES497" s="707"/>
      <c r="ET497" s="707"/>
      <c r="EU497" s="707"/>
      <c r="EV497" s="707"/>
      <c r="EW497" s="707"/>
      <c r="EX497" s="707"/>
      <c r="EY497" s="707"/>
      <c r="EZ497" s="707"/>
      <c r="FA497" s="707"/>
      <c r="FB497" s="707"/>
      <c r="FC497" s="707"/>
      <c r="FD497" s="707"/>
      <c r="FE497" s="707"/>
      <c r="FF497" s="707"/>
      <c r="FG497" s="707"/>
      <c r="FH497" s="707"/>
      <c r="FI497" s="707"/>
      <c r="FJ497" s="707"/>
      <c r="FK497" s="707"/>
      <c r="FL497" s="707"/>
      <c r="FM497" s="707"/>
      <c r="FN497" s="707"/>
      <c r="FO497" s="707"/>
      <c r="FP497" s="707"/>
      <c r="FQ497" s="707"/>
      <c r="FR497" s="707"/>
      <c r="FS497" s="707"/>
      <c r="FT497" s="707"/>
      <c r="FU497" s="707"/>
      <c r="FV497" s="707"/>
      <c r="FW497" s="707"/>
      <c r="FX497" s="707"/>
      <c r="FY497" s="707"/>
      <c r="FZ497" s="707"/>
      <c r="GA497" s="707"/>
      <c r="GB497" s="707"/>
      <c r="GC497" s="707"/>
      <c r="GD497" s="707"/>
      <c r="GE497" s="707"/>
      <c r="GF497" s="707"/>
      <c r="GG497" s="707"/>
      <c r="GH497" s="707"/>
      <c r="GI497" s="707"/>
      <c r="GJ497" s="707"/>
      <c r="GK497" s="707"/>
      <c r="GL497" s="707"/>
      <c r="GM497" s="707"/>
      <c r="GN497" s="707"/>
      <c r="GO497" s="707"/>
      <c r="GP497" s="707"/>
      <c r="GQ497" s="707"/>
      <c r="GR497" s="707"/>
      <c r="GS497" s="707"/>
      <c r="GT497" s="707"/>
      <c r="GU497" s="707"/>
      <c r="GV497" s="707"/>
      <c r="GW497" s="707"/>
      <c r="GX497" s="707"/>
      <c r="GY497" s="707"/>
      <c r="GZ497" s="707"/>
      <c r="HA497" s="707"/>
      <c r="HB497" s="707"/>
      <c r="HC497" s="707"/>
      <c r="HD497" s="707"/>
      <c r="HE497" s="707"/>
      <c r="HF497" s="707"/>
      <c r="HG497" s="707"/>
      <c r="HH497" s="707"/>
      <c r="HI497" s="707"/>
      <c r="HJ497" s="707"/>
      <c r="HK497" s="707"/>
      <c r="HL497" s="707"/>
      <c r="HM497" s="707"/>
      <c r="HN497" s="707"/>
      <c r="HO497" s="707"/>
      <c r="HP497" s="707"/>
      <c r="HQ497" s="707"/>
      <c r="HR497" s="707"/>
      <c r="HS497" s="707"/>
      <c r="HT497" s="707"/>
      <c r="HU497" s="707"/>
      <c r="HV497" s="707"/>
      <c r="HW497" s="707"/>
      <c r="HX497" s="707"/>
      <c r="HY497" s="707"/>
      <c r="HZ497" s="707"/>
      <c r="IA497" s="707"/>
      <c r="IB497" s="707"/>
      <c r="IC497" s="707"/>
      <c r="ID497" s="707"/>
      <c r="IE497" s="707"/>
      <c r="IF497" s="707"/>
      <c r="IG497" s="707"/>
      <c r="IH497" s="707"/>
      <c r="II497" s="707"/>
      <c r="IJ497" s="707"/>
      <c r="IK497" s="707"/>
      <c r="IL497" s="707"/>
      <c r="IM497" s="707"/>
      <c r="IN497" s="707"/>
      <c r="IO497" s="707"/>
      <c r="IP497" s="707"/>
      <c r="IQ497" s="707"/>
      <c r="IR497" s="707"/>
      <c r="IS497" s="707"/>
      <c r="IT497" s="707"/>
      <c r="IU497" s="707"/>
      <c r="IV497" s="707"/>
      <c r="IW497" s="707"/>
    </row>
    <row r="498" customFormat="false" ht="13.9" hidden="false" customHeight="true" outlineLevel="1" collapsed="false">
      <c r="A498" s="366"/>
      <c r="B498" s="719"/>
      <c r="C498" s="719"/>
      <c r="D498" s="719"/>
      <c r="E498" s="713"/>
      <c r="F498" s="713"/>
      <c r="G498" s="713"/>
      <c r="H498" s="713"/>
      <c r="I498" s="713"/>
      <c r="J498" s="713"/>
      <c r="K498" s="713"/>
      <c r="L498" s="713"/>
      <c r="M498" s="713"/>
      <c r="N498" s="713"/>
      <c r="O498" s="713"/>
      <c r="P498" s="713"/>
      <c r="Q498" s="713"/>
      <c r="R498" s="713"/>
      <c r="S498" s="713"/>
      <c r="T498" s="713"/>
      <c r="U498" s="713"/>
      <c r="V498" s="713"/>
      <c r="W498" s="713"/>
      <c r="X498" s="713"/>
      <c r="Y498" s="713"/>
      <c r="Z498" s="713"/>
      <c r="AA498" s="707"/>
      <c r="AB498" s="707"/>
      <c r="AC498" s="707"/>
      <c r="AD498" s="707"/>
      <c r="AE498" s="707"/>
      <c r="AF498" s="707"/>
      <c r="AG498" s="707"/>
      <c r="AH498" s="707"/>
      <c r="AI498" s="707"/>
      <c r="AJ498" s="707"/>
      <c r="AK498" s="707"/>
      <c r="AL498" s="707"/>
      <c r="AM498" s="707"/>
      <c r="AN498" s="707"/>
      <c r="AO498" s="707"/>
      <c r="AP498" s="707"/>
      <c r="AQ498" s="707"/>
      <c r="AR498" s="707"/>
      <c r="AS498" s="707"/>
      <c r="AT498" s="707"/>
      <c r="AU498" s="707"/>
      <c r="AV498" s="707"/>
      <c r="AW498" s="707"/>
      <c r="AX498" s="707"/>
      <c r="AY498" s="707"/>
      <c r="AZ498" s="707"/>
      <c r="BA498" s="707"/>
      <c r="BB498" s="707"/>
      <c r="BC498" s="707"/>
      <c r="BD498" s="707"/>
      <c r="BE498" s="707"/>
      <c r="BF498" s="707"/>
      <c r="BG498" s="707"/>
      <c r="BH498" s="707"/>
      <c r="BI498" s="707"/>
      <c r="BJ498" s="707"/>
      <c r="BK498" s="707"/>
      <c r="BL498" s="707"/>
      <c r="BM498" s="707"/>
      <c r="BN498" s="707"/>
      <c r="BO498" s="707"/>
      <c r="BP498" s="707"/>
      <c r="BQ498" s="707"/>
      <c r="BR498" s="707"/>
      <c r="BS498" s="707"/>
      <c r="BT498" s="707"/>
      <c r="BU498" s="707"/>
      <c r="BV498" s="707"/>
      <c r="BW498" s="707"/>
      <c r="BX498" s="707"/>
      <c r="BY498" s="707"/>
      <c r="BZ498" s="707"/>
      <c r="CA498" s="707"/>
      <c r="CB498" s="707"/>
      <c r="CC498" s="707"/>
      <c r="CD498" s="707"/>
      <c r="CE498" s="707"/>
      <c r="CF498" s="707"/>
      <c r="CG498" s="707"/>
      <c r="CH498" s="707"/>
      <c r="CI498" s="707"/>
      <c r="CJ498" s="707"/>
      <c r="CK498" s="707"/>
      <c r="CL498" s="707"/>
      <c r="CM498" s="707"/>
      <c r="CN498" s="707"/>
      <c r="CO498" s="707"/>
      <c r="CP498" s="707"/>
      <c r="CQ498" s="707"/>
      <c r="CR498" s="707"/>
      <c r="CS498" s="707"/>
      <c r="CT498" s="707"/>
      <c r="CU498" s="707"/>
      <c r="CV498" s="707"/>
      <c r="CW498" s="707"/>
      <c r="CX498" s="707"/>
      <c r="CY498" s="707"/>
      <c r="CZ498" s="707"/>
      <c r="DA498" s="707"/>
      <c r="DB498" s="707"/>
      <c r="DC498" s="707"/>
      <c r="DD498" s="707"/>
      <c r="DE498" s="707"/>
      <c r="DF498" s="707"/>
      <c r="DG498" s="707"/>
      <c r="DH498" s="707"/>
      <c r="DI498" s="707"/>
      <c r="DJ498" s="707"/>
      <c r="DK498" s="707"/>
      <c r="DL498" s="707"/>
      <c r="DM498" s="707"/>
      <c r="DN498" s="707"/>
      <c r="DO498" s="707"/>
      <c r="DP498" s="707"/>
      <c r="DQ498" s="707"/>
      <c r="DR498" s="707"/>
      <c r="DS498" s="707"/>
      <c r="DT498" s="707"/>
      <c r="DU498" s="707"/>
      <c r="DV498" s="707"/>
      <c r="DW498" s="707"/>
      <c r="DX498" s="707"/>
      <c r="DY498" s="707"/>
      <c r="DZ498" s="707"/>
      <c r="EA498" s="707"/>
      <c r="EB498" s="707"/>
      <c r="EC498" s="707"/>
      <c r="ED498" s="707"/>
      <c r="EE498" s="707"/>
      <c r="EF498" s="707"/>
      <c r="EG498" s="707"/>
      <c r="EH498" s="707"/>
      <c r="EI498" s="707"/>
      <c r="EJ498" s="707"/>
      <c r="EK498" s="707"/>
      <c r="EL498" s="707"/>
      <c r="EM498" s="707"/>
      <c r="EN498" s="707"/>
      <c r="EO498" s="707"/>
      <c r="EP498" s="707"/>
      <c r="EQ498" s="707"/>
      <c r="ER498" s="707"/>
      <c r="ES498" s="707"/>
      <c r="ET498" s="707"/>
      <c r="EU498" s="707"/>
      <c r="EV498" s="707"/>
      <c r="EW498" s="707"/>
      <c r="EX498" s="707"/>
      <c r="EY498" s="707"/>
      <c r="EZ498" s="707"/>
      <c r="FA498" s="707"/>
      <c r="FB498" s="707"/>
      <c r="FC498" s="707"/>
      <c r="FD498" s="707"/>
      <c r="FE498" s="707"/>
      <c r="FF498" s="707"/>
      <c r="FG498" s="707"/>
      <c r="FH498" s="707"/>
      <c r="FI498" s="707"/>
      <c r="FJ498" s="707"/>
      <c r="FK498" s="707"/>
      <c r="FL498" s="707"/>
      <c r="FM498" s="707"/>
      <c r="FN498" s="707"/>
      <c r="FO498" s="707"/>
      <c r="FP498" s="707"/>
      <c r="FQ498" s="707"/>
      <c r="FR498" s="707"/>
      <c r="FS498" s="707"/>
      <c r="FT498" s="707"/>
      <c r="FU498" s="707"/>
      <c r="FV498" s="707"/>
      <c r="FW498" s="707"/>
      <c r="FX498" s="707"/>
      <c r="FY498" s="707"/>
      <c r="FZ498" s="707"/>
      <c r="GA498" s="707"/>
      <c r="GB498" s="707"/>
      <c r="GC498" s="707"/>
      <c r="GD498" s="707"/>
      <c r="GE498" s="707"/>
      <c r="GF498" s="707"/>
      <c r="GG498" s="707"/>
      <c r="GH498" s="707"/>
      <c r="GI498" s="707"/>
      <c r="GJ498" s="707"/>
      <c r="GK498" s="707"/>
      <c r="GL498" s="707"/>
      <c r="GM498" s="707"/>
      <c r="GN498" s="707"/>
      <c r="GO498" s="707"/>
      <c r="GP498" s="707"/>
      <c r="GQ498" s="707"/>
      <c r="GR498" s="707"/>
      <c r="GS498" s="707"/>
      <c r="GT498" s="707"/>
      <c r="GU498" s="707"/>
      <c r="GV498" s="707"/>
      <c r="GW498" s="707"/>
      <c r="GX498" s="707"/>
      <c r="GY498" s="707"/>
      <c r="GZ498" s="707"/>
      <c r="HA498" s="707"/>
      <c r="HB498" s="707"/>
      <c r="HC498" s="707"/>
      <c r="HD498" s="707"/>
      <c r="HE498" s="707"/>
      <c r="HF498" s="707"/>
      <c r="HG498" s="707"/>
      <c r="HH498" s="707"/>
      <c r="HI498" s="707"/>
      <c r="HJ498" s="707"/>
      <c r="HK498" s="707"/>
      <c r="HL498" s="707"/>
      <c r="HM498" s="707"/>
      <c r="HN498" s="707"/>
      <c r="HO498" s="707"/>
      <c r="HP498" s="707"/>
      <c r="HQ498" s="707"/>
      <c r="HR498" s="707"/>
      <c r="HS498" s="707"/>
      <c r="HT498" s="707"/>
      <c r="HU498" s="707"/>
      <c r="HV498" s="707"/>
      <c r="HW498" s="707"/>
      <c r="HX498" s="707"/>
      <c r="HY498" s="707"/>
      <c r="HZ498" s="707"/>
      <c r="IA498" s="707"/>
      <c r="IB498" s="707"/>
      <c r="IC498" s="707"/>
      <c r="ID498" s="707"/>
      <c r="IE498" s="707"/>
      <c r="IF498" s="707"/>
      <c r="IG498" s="707"/>
      <c r="IH498" s="707"/>
      <c r="II498" s="707"/>
      <c r="IJ498" s="707"/>
      <c r="IK498" s="707"/>
      <c r="IL498" s="707"/>
      <c r="IM498" s="707"/>
      <c r="IN498" s="707"/>
      <c r="IO498" s="707"/>
      <c r="IP498" s="707"/>
      <c r="IQ498" s="707"/>
      <c r="IR498" s="707"/>
      <c r="IS498" s="707"/>
      <c r="IT498" s="707"/>
      <c r="IU498" s="707"/>
      <c r="IV498" s="707"/>
      <c r="IW498" s="707"/>
    </row>
    <row r="499" customFormat="false" ht="12.75" hidden="false" customHeight="false" outlineLevel="1" collapsed="false">
      <c r="A499" s="720"/>
      <c r="B499" s="721"/>
      <c r="C499" s="721"/>
      <c r="D499" s="721"/>
      <c r="E499" s="713"/>
      <c r="F499" s="713"/>
      <c r="G499" s="713"/>
      <c r="H499" s="713"/>
      <c r="I499" s="713"/>
      <c r="J499" s="713"/>
      <c r="K499" s="713"/>
      <c r="L499" s="713"/>
      <c r="M499" s="713"/>
      <c r="N499" s="713"/>
      <c r="O499" s="713"/>
      <c r="P499" s="713"/>
      <c r="Q499" s="713"/>
      <c r="R499" s="713"/>
      <c r="S499" s="713"/>
      <c r="T499" s="713"/>
      <c r="U499" s="713"/>
      <c r="V499" s="713"/>
      <c r="W499" s="713"/>
      <c r="X499" s="713"/>
      <c r="Y499" s="713"/>
      <c r="Z499" s="713"/>
      <c r="AA499" s="722"/>
      <c r="AB499" s="722"/>
      <c r="AC499" s="722"/>
      <c r="AD499" s="722"/>
      <c r="AE499" s="722"/>
      <c r="AF499" s="722"/>
      <c r="AG499" s="722"/>
      <c r="AH499" s="722"/>
      <c r="AI499" s="722"/>
      <c r="AJ499" s="722"/>
      <c r="AK499" s="722"/>
      <c r="AL499" s="722"/>
      <c r="AM499" s="722"/>
      <c r="AN499" s="722"/>
      <c r="AO499" s="722"/>
      <c r="AP499" s="722"/>
      <c r="AQ499" s="722"/>
      <c r="AR499" s="722"/>
      <c r="AS499" s="722"/>
      <c r="AT499" s="722"/>
      <c r="AU499" s="722"/>
      <c r="AV499" s="722"/>
      <c r="AW499" s="722"/>
      <c r="AX499" s="722"/>
      <c r="AY499" s="722"/>
      <c r="AZ499" s="722"/>
      <c r="BA499" s="722"/>
      <c r="BB499" s="722"/>
      <c r="BC499" s="722"/>
      <c r="BD499" s="722"/>
      <c r="BE499" s="722"/>
      <c r="BF499" s="722"/>
      <c r="BG499" s="722"/>
      <c r="BH499" s="722"/>
      <c r="BI499" s="722"/>
      <c r="BJ499" s="722"/>
      <c r="BK499" s="722"/>
      <c r="BL499" s="722"/>
      <c r="BM499" s="722"/>
      <c r="BN499" s="722"/>
      <c r="BO499" s="722"/>
      <c r="BP499" s="722"/>
      <c r="BQ499" s="722"/>
      <c r="BR499" s="722"/>
      <c r="BS499" s="722"/>
      <c r="BT499" s="722"/>
      <c r="BU499" s="722"/>
      <c r="BV499" s="722"/>
      <c r="BW499" s="722"/>
      <c r="BX499" s="722"/>
      <c r="BY499" s="722"/>
      <c r="BZ499" s="722"/>
      <c r="CA499" s="722"/>
      <c r="CB499" s="722"/>
      <c r="CC499" s="722"/>
      <c r="CD499" s="722"/>
      <c r="CE499" s="722"/>
      <c r="CF499" s="722"/>
      <c r="CG499" s="722"/>
      <c r="CH499" s="722"/>
      <c r="CI499" s="722"/>
      <c r="CJ499" s="722"/>
      <c r="CK499" s="722"/>
      <c r="CL499" s="722"/>
      <c r="CM499" s="722"/>
      <c r="CN499" s="722"/>
      <c r="CO499" s="722"/>
      <c r="CP499" s="722"/>
      <c r="CQ499" s="722"/>
      <c r="CR499" s="722"/>
      <c r="CS499" s="722"/>
      <c r="CT499" s="722"/>
      <c r="CU499" s="722"/>
      <c r="CV499" s="722"/>
      <c r="CW499" s="722"/>
      <c r="CX499" s="722"/>
      <c r="CY499" s="722"/>
      <c r="CZ499" s="722"/>
      <c r="DA499" s="722"/>
      <c r="DB499" s="722"/>
      <c r="DC499" s="722"/>
      <c r="DD499" s="722"/>
      <c r="DE499" s="722"/>
      <c r="DF499" s="722"/>
      <c r="DG499" s="722"/>
      <c r="DH499" s="722"/>
      <c r="DI499" s="722"/>
      <c r="DJ499" s="722"/>
      <c r="DK499" s="722"/>
      <c r="DL499" s="722"/>
      <c r="DM499" s="722"/>
      <c r="DN499" s="722"/>
      <c r="DO499" s="722"/>
      <c r="DP499" s="722"/>
      <c r="DQ499" s="722"/>
      <c r="DR499" s="722"/>
      <c r="DS499" s="722"/>
      <c r="DT499" s="722"/>
      <c r="DU499" s="722"/>
      <c r="DV499" s="722"/>
      <c r="DW499" s="722"/>
      <c r="DX499" s="722"/>
      <c r="DY499" s="722"/>
      <c r="DZ499" s="722"/>
      <c r="EA499" s="722"/>
      <c r="EB499" s="722"/>
      <c r="EC499" s="722"/>
      <c r="ED499" s="722"/>
      <c r="EE499" s="722"/>
      <c r="EF499" s="722"/>
      <c r="EG499" s="722"/>
      <c r="EH499" s="722"/>
      <c r="EI499" s="722"/>
      <c r="EJ499" s="722"/>
      <c r="EK499" s="722"/>
      <c r="EL499" s="722"/>
      <c r="EM499" s="722"/>
      <c r="EN499" s="722"/>
      <c r="EO499" s="722"/>
      <c r="EP499" s="722"/>
      <c r="EQ499" s="722"/>
      <c r="ER499" s="722"/>
      <c r="ES499" s="722"/>
      <c r="ET499" s="722"/>
      <c r="EU499" s="722"/>
      <c r="EV499" s="722"/>
      <c r="EW499" s="722"/>
      <c r="EX499" s="722"/>
      <c r="EY499" s="722"/>
      <c r="EZ499" s="722"/>
      <c r="FA499" s="722"/>
      <c r="FB499" s="722"/>
      <c r="FC499" s="722"/>
      <c r="FD499" s="722"/>
      <c r="FE499" s="722"/>
      <c r="FF499" s="722"/>
      <c r="FG499" s="722"/>
      <c r="FH499" s="722"/>
      <c r="FI499" s="722"/>
      <c r="FJ499" s="722"/>
      <c r="FK499" s="722"/>
      <c r="FL499" s="722"/>
      <c r="FM499" s="722"/>
      <c r="FN499" s="722"/>
      <c r="FO499" s="722"/>
      <c r="FP499" s="722"/>
      <c r="FQ499" s="722"/>
      <c r="FR499" s="722"/>
      <c r="FS499" s="722"/>
      <c r="FT499" s="722"/>
      <c r="FU499" s="722"/>
      <c r="FV499" s="722"/>
      <c r="FW499" s="722"/>
      <c r="FX499" s="722"/>
      <c r="FY499" s="722"/>
      <c r="FZ499" s="722"/>
      <c r="GA499" s="722"/>
      <c r="GB499" s="722"/>
      <c r="GC499" s="722"/>
      <c r="GD499" s="722"/>
      <c r="GE499" s="722"/>
      <c r="GF499" s="722"/>
      <c r="GG499" s="722"/>
      <c r="GH499" s="722"/>
      <c r="GI499" s="722"/>
      <c r="GJ499" s="722"/>
      <c r="GK499" s="722"/>
      <c r="GL499" s="722"/>
      <c r="GM499" s="722"/>
      <c r="GN499" s="722"/>
      <c r="GO499" s="722"/>
      <c r="GP499" s="722"/>
      <c r="GQ499" s="722"/>
      <c r="GR499" s="722"/>
      <c r="GS499" s="722"/>
      <c r="GT499" s="722"/>
      <c r="GU499" s="722"/>
      <c r="GV499" s="722"/>
      <c r="GW499" s="722"/>
      <c r="GX499" s="722"/>
      <c r="GY499" s="722"/>
      <c r="GZ499" s="722"/>
      <c r="HA499" s="722"/>
      <c r="HB499" s="722"/>
      <c r="HC499" s="722"/>
      <c r="HD499" s="722"/>
      <c r="HE499" s="722"/>
      <c r="HF499" s="722"/>
      <c r="HG499" s="722"/>
      <c r="HH499" s="722"/>
      <c r="HI499" s="722"/>
      <c r="HJ499" s="722"/>
      <c r="HK499" s="722"/>
      <c r="HL499" s="722"/>
      <c r="HM499" s="722"/>
      <c r="HN499" s="722"/>
      <c r="HO499" s="722"/>
      <c r="HP499" s="722"/>
      <c r="HQ499" s="722"/>
      <c r="HR499" s="722"/>
      <c r="HS499" s="722"/>
      <c r="HT499" s="722"/>
      <c r="HU499" s="722"/>
      <c r="HV499" s="722"/>
      <c r="HW499" s="722"/>
      <c r="HX499" s="722"/>
      <c r="HY499" s="722"/>
      <c r="HZ499" s="722"/>
      <c r="IA499" s="722"/>
      <c r="IB499" s="722"/>
      <c r="IC499" s="722"/>
      <c r="ID499" s="722"/>
      <c r="IE499" s="722"/>
      <c r="IF499" s="722"/>
      <c r="IG499" s="722"/>
      <c r="IH499" s="722"/>
      <c r="II499" s="722"/>
      <c r="IJ499" s="722"/>
      <c r="IK499" s="722"/>
      <c r="IL499" s="722"/>
      <c r="IM499" s="722"/>
      <c r="IN499" s="722"/>
      <c r="IO499" s="722"/>
      <c r="IP499" s="722"/>
      <c r="IQ499" s="722"/>
      <c r="IR499" s="722"/>
      <c r="IS499" s="722"/>
      <c r="IT499" s="722"/>
      <c r="IU499" s="722"/>
      <c r="IV499" s="722"/>
      <c r="IW499" s="722"/>
    </row>
    <row r="500" customFormat="false" ht="12.75" hidden="false" customHeight="false" outlineLevel="1" collapsed="false">
      <c r="A500" s="366"/>
      <c r="B500" s="714"/>
      <c r="C500" s="714"/>
      <c r="D500" s="714"/>
      <c r="E500" s="713"/>
      <c r="F500" s="713"/>
      <c r="G500" s="713"/>
      <c r="H500" s="713"/>
      <c r="I500" s="713"/>
      <c r="J500" s="713"/>
      <c r="K500" s="713"/>
      <c r="L500" s="713"/>
      <c r="M500" s="713"/>
      <c r="N500" s="713"/>
      <c r="O500" s="713"/>
      <c r="P500" s="713"/>
      <c r="Q500" s="713"/>
      <c r="R500" s="713"/>
      <c r="S500" s="713"/>
      <c r="T500" s="713"/>
      <c r="U500" s="713"/>
      <c r="V500" s="713"/>
      <c r="W500" s="713"/>
      <c r="X500" s="713"/>
      <c r="Y500" s="713"/>
      <c r="Z500" s="713"/>
      <c r="AA500" s="707"/>
      <c r="AB500" s="707"/>
      <c r="AC500" s="707"/>
      <c r="AD500" s="707"/>
      <c r="AE500" s="707"/>
      <c r="AF500" s="707"/>
      <c r="AG500" s="707"/>
      <c r="AH500" s="707"/>
      <c r="AI500" s="707"/>
      <c r="AJ500" s="707"/>
      <c r="AK500" s="707"/>
      <c r="AL500" s="707"/>
      <c r="AM500" s="707"/>
      <c r="AN500" s="707"/>
      <c r="AO500" s="707"/>
      <c r="AP500" s="707"/>
      <c r="AQ500" s="707"/>
      <c r="AR500" s="707"/>
      <c r="AS500" s="707"/>
      <c r="AT500" s="707"/>
      <c r="AU500" s="707"/>
      <c r="AV500" s="707"/>
      <c r="AW500" s="707"/>
      <c r="AX500" s="707"/>
      <c r="AY500" s="707"/>
      <c r="AZ500" s="707"/>
      <c r="BA500" s="707"/>
      <c r="BB500" s="707"/>
      <c r="BC500" s="707"/>
      <c r="BD500" s="707"/>
      <c r="BE500" s="707"/>
      <c r="BF500" s="707"/>
      <c r="BG500" s="707"/>
      <c r="BH500" s="707"/>
      <c r="BI500" s="707"/>
      <c r="BJ500" s="707"/>
      <c r="BK500" s="707"/>
      <c r="BL500" s="707"/>
      <c r="BM500" s="707"/>
      <c r="BN500" s="707"/>
      <c r="BO500" s="707"/>
      <c r="BP500" s="707"/>
      <c r="BQ500" s="707"/>
      <c r="BR500" s="707"/>
      <c r="BS500" s="707"/>
      <c r="BT500" s="707"/>
      <c r="BU500" s="707"/>
      <c r="BV500" s="707"/>
      <c r="BW500" s="707"/>
      <c r="BX500" s="707"/>
      <c r="BY500" s="707"/>
      <c r="BZ500" s="707"/>
      <c r="CA500" s="707"/>
      <c r="CB500" s="707"/>
      <c r="CC500" s="707"/>
      <c r="CD500" s="707"/>
      <c r="CE500" s="707"/>
      <c r="CF500" s="707"/>
      <c r="CG500" s="707"/>
      <c r="CH500" s="707"/>
      <c r="CI500" s="707"/>
      <c r="CJ500" s="707"/>
      <c r="CK500" s="707"/>
      <c r="CL500" s="707"/>
      <c r="CM500" s="707"/>
      <c r="CN500" s="707"/>
      <c r="CO500" s="707"/>
      <c r="CP500" s="707"/>
      <c r="CQ500" s="707"/>
      <c r="CR500" s="707"/>
      <c r="CS500" s="707"/>
      <c r="CT500" s="707"/>
      <c r="CU500" s="707"/>
      <c r="CV500" s="707"/>
      <c r="CW500" s="707"/>
      <c r="CX500" s="707"/>
      <c r="CY500" s="707"/>
      <c r="CZ500" s="707"/>
      <c r="DA500" s="707"/>
      <c r="DB500" s="707"/>
      <c r="DC500" s="707"/>
      <c r="DD500" s="707"/>
      <c r="DE500" s="707"/>
      <c r="DF500" s="707"/>
      <c r="DG500" s="707"/>
      <c r="DH500" s="707"/>
      <c r="DI500" s="707"/>
      <c r="DJ500" s="707"/>
      <c r="DK500" s="707"/>
      <c r="DL500" s="707"/>
      <c r="DM500" s="707"/>
      <c r="DN500" s="707"/>
      <c r="DO500" s="707"/>
      <c r="DP500" s="707"/>
      <c r="DQ500" s="707"/>
      <c r="DR500" s="707"/>
      <c r="DS500" s="707"/>
      <c r="DT500" s="707"/>
      <c r="DU500" s="707"/>
      <c r="DV500" s="707"/>
      <c r="DW500" s="707"/>
      <c r="DX500" s="707"/>
      <c r="DY500" s="707"/>
      <c r="DZ500" s="707"/>
      <c r="EA500" s="707"/>
      <c r="EB500" s="707"/>
      <c r="EC500" s="707"/>
      <c r="ED500" s="707"/>
      <c r="EE500" s="707"/>
      <c r="EF500" s="707"/>
      <c r="EG500" s="707"/>
      <c r="EH500" s="707"/>
      <c r="EI500" s="707"/>
      <c r="EJ500" s="707"/>
      <c r="EK500" s="707"/>
      <c r="EL500" s="707"/>
      <c r="EM500" s="707"/>
      <c r="EN500" s="707"/>
      <c r="EO500" s="707"/>
      <c r="EP500" s="707"/>
      <c r="EQ500" s="707"/>
      <c r="ER500" s="707"/>
      <c r="ES500" s="707"/>
      <c r="ET500" s="707"/>
      <c r="EU500" s="707"/>
      <c r="EV500" s="707"/>
      <c r="EW500" s="707"/>
      <c r="EX500" s="707"/>
      <c r="EY500" s="707"/>
      <c r="EZ500" s="707"/>
      <c r="FA500" s="707"/>
      <c r="FB500" s="707"/>
      <c r="FC500" s="707"/>
      <c r="FD500" s="707"/>
      <c r="FE500" s="707"/>
      <c r="FF500" s="707"/>
      <c r="FG500" s="707"/>
      <c r="FH500" s="707"/>
      <c r="FI500" s="707"/>
      <c r="FJ500" s="707"/>
      <c r="FK500" s="707"/>
      <c r="FL500" s="707"/>
      <c r="FM500" s="707"/>
      <c r="FN500" s="707"/>
      <c r="FO500" s="707"/>
      <c r="FP500" s="707"/>
      <c r="FQ500" s="707"/>
      <c r="FR500" s="707"/>
      <c r="FS500" s="707"/>
      <c r="FT500" s="707"/>
      <c r="FU500" s="707"/>
      <c r="FV500" s="707"/>
      <c r="FW500" s="707"/>
      <c r="FX500" s="707"/>
      <c r="FY500" s="707"/>
      <c r="FZ500" s="707"/>
      <c r="GA500" s="707"/>
      <c r="GB500" s="707"/>
      <c r="GC500" s="707"/>
      <c r="GD500" s="707"/>
      <c r="GE500" s="707"/>
      <c r="GF500" s="707"/>
      <c r="GG500" s="707"/>
      <c r="GH500" s="707"/>
      <c r="GI500" s="707"/>
      <c r="GJ500" s="707"/>
      <c r="GK500" s="707"/>
      <c r="GL500" s="707"/>
      <c r="GM500" s="707"/>
      <c r="GN500" s="707"/>
      <c r="GO500" s="707"/>
      <c r="GP500" s="707"/>
      <c r="GQ500" s="707"/>
      <c r="GR500" s="707"/>
      <c r="GS500" s="707"/>
      <c r="GT500" s="707"/>
      <c r="GU500" s="707"/>
      <c r="GV500" s="707"/>
      <c r="GW500" s="707"/>
      <c r="GX500" s="707"/>
      <c r="GY500" s="707"/>
      <c r="GZ500" s="707"/>
      <c r="HA500" s="707"/>
      <c r="HB500" s="707"/>
      <c r="HC500" s="707"/>
      <c r="HD500" s="707"/>
      <c r="HE500" s="707"/>
      <c r="HF500" s="707"/>
      <c r="HG500" s="707"/>
      <c r="HH500" s="707"/>
      <c r="HI500" s="707"/>
      <c r="HJ500" s="707"/>
      <c r="HK500" s="707"/>
      <c r="HL500" s="707"/>
      <c r="HM500" s="707"/>
      <c r="HN500" s="707"/>
      <c r="HO500" s="707"/>
      <c r="HP500" s="707"/>
      <c r="HQ500" s="707"/>
      <c r="HR500" s="707"/>
      <c r="HS500" s="707"/>
      <c r="HT500" s="707"/>
      <c r="HU500" s="707"/>
      <c r="HV500" s="707"/>
      <c r="HW500" s="707"/>
      <c r="HX500" s="707"/>
      <c r="HY500" s="707"/>
      <c r="HZ500" s="707"/>
      <c r="IA500" s="707"/>
      <c r="IB500" s="707"/>
      <c r="IC500" s="707"/>
      <c r="ID500" s="707"/>
      <c r="IE500" s="707"/>
      <c r="IF500" s="707"/>
      <c r="IG500" s="707"/>
      <c r="IH500" s="707"/>
      <c r="II500" s="707"/>
      <c r="IJ500" s="707"/>
      <c r="IK500" s="707"/>
      <c r="IL500" s="707"/>
      <c r="IM500" s="707"/>
      <c r="IN500" s="707"/>
      <c r="IO500" s="707"/>
      <c r="IP500" s="707"/>
      <c r="IQ500" s="707"/>
      <c r="IR500" s="707"/>
      <c r="IS500" s="707"/>
      <c r="IT500" s="707"/>
      <c r="IU500" s="707"/>
      <c r="IV500" s="707"/>
      <c r="IW500" s="707"/>
    </row>
    <row r="501" customFormat="false" ht="12.75" hidden="false" customHeight="false" outlineLevel="1" collapsed="false">
      <c r="A501" s="367"/>
      <c r="B501" s="714"/>
      <c r="C501" s="714"/>
      <c r="D501" s="714"/>
      <c r="E501" s="713"/>
      <c r="F501" s="713"/>
      <c r="G501" s="713"/>
      <c r="H501" s="713"/>
      <c r="I501" s="713"/>
      <c r="J501" s="713"/>
      <c r="K501" s="713"/>
      <c r="L501" s="713"/>
      <c r="M501" s="713"/>
      <c r="N501" s="713"/>
      <c r="O501" s="713"/>
      <c r="P501" s="713"/>
      <c r="Q501" s="713"/>
      <c r="R501" s="713"/>
      <c r="S501" s="713"/>
      <c r="T501" s="713"/>
      <c r="U501" s="713"/>
      <c r="V501" s="713"/>
      <c r="W501" s="713"/>
      <c r="X501" s="713"/>
      <c r="Y501" s="713"/>
      <c r="Z501" s="713"/>
      <c r="AA501" s="707"/>
      <c r="AB501" s="707"/>
      <c r="AC501" s="707"/>
      <c r="AD501" s="707"/>
      <c r="AE501" s="707"/>
      <c r="AF501" s="707"/>
      <c r="AG501" s="707"/>
      <c r="AH501" s="707"/>
      <c r="AI501" s="707"/>
      <c r="AJ501" s="707"/>
      <c r="AK501" s="707"/>
      <c r="AL501" s="707"/>
      <c r="AM501" s="707"/>
      <c r="AN501" s="707"/>
      <c r="AO501" s="707"/>
      <c r="AP501" s="707"/>
      <c r="AQ501" s="707"/>
      <c r="AR501" s="707"/>
      <c r="AS501" s="707"/>
      <c r="AT501" s="707"/>
      <c r="AU501" s="707"/>
      <c r="AV501" s="707"/>
      <c r="AW501" s="707"/>
      <c r="AX501" s="707"/>
      <c r="AY501" s="707"/>
      <c r="AZ501" s="707"/>
      <c r="BA501" s="707"/>
      <c r="BB501" s="707"/>
      <c r="BC501" s="707"/>
      <c r="BD501" s="707"/>
      <c r="BE501" s="707"/>
      <c r="BF501" s="707"/>
      <c r="BG501" s="707"/>
      <c r="BH501" s="707"/>
      <c r="BI501" s="707"/>
      <c r="BJ501" s="707"/>
      <c r="BK501" s="707"/>
      <c r="BL501" s="707"/>
      <c r="BM501" s="707"/>
      <c r="BN501" s="707"/>
      <c r="BO501" s="707"/>
      <c r="BP501" s="707"/>
      <c r="BQ501" s="707"/>
      <c r="BR501" s="707"/>
      <c r="BS501" s="707"/>
      <c r="BT501" s="707"/>
      <c r="BU501" s="707"/>
      <c r="BV501" s="707"/>
      <c r="BW501" s="707"/>
      <c r="BX501" s="707"/>
      <c r="BY501" s="707"/>
      <c r="BZ501" s="707"/>
      <c r="CA501" s="707"/>
      <c r="CB501" s="707"/>
      <c r="CC501" s="707"/>
      <c r="CD501" s="707"/>
      <c r="CE501" s="707"/>
      <c r="CF501" s="707"/>
      <c r="CG501" s="707"/>
      <c r="CH501" s="707"/>
      <c r="CI501" s="707"/>
      <c r="CJ501" s="707"/>
      <c r="CK501" s="707"/>
      <c r="CL501" s="707"/>
      <c r="CM501" s="707"/>
      <c r="CN501" s="707"/>
      <c r="CO501" s="707"/>
      <c r="CP501" s="707"/>
      <c r="CQ501" s="707"/>
      <c r="CR501" s="707"/>
      <c r="CS501" s="707"/>
      <c r="CT501" s="707"/>
      <c r="CU501" s="707"/>
      <c r="CV501" s="707"/>
      <c r="CW501" s="707"/>
      <c r="CX501" s="707"/>
      <c r="CY501" s="707"/>
      <c r="CZ501" s="707"/>
      <c r="DA501" s="707"/>
      <c r="DB501" s="707"/>
      <c r="DC501" s="707"/>
      <c r="DD501" s="707"/>
      <c r="DE501" s="707"/>
      <c r="DF501" s="707"/>
      <c r="DG501" s="707"/>
      <c r="DH501" s="707"/>
      <c r="DI501" s="707"/>
      <c r="DJ501" s="707"/>
      <c r="DK501" s="707"/>
      <c r="DL501" s="707"/>
      <c r="DM501" s="707"/>
      <c r="DN501" s="707"/>
      <c r="DO501" s="707"/>
      <c r="DP501" s="707"/>
      <c r="DQ501" s="707"/>
      <c r="DR501" s="707"/>
      <c r="DS501" s="707"/>
      <c r="DT501" s="707"/>
      <c r="DU501" s="707"/>
      <c r="DV501" s="707"/>
      <c r="DW501" s="707"/>
      <c r="DX501" s="707"/>
      <c r="DY501" s="707"/>
      <c r="DZ501" s="707"/>
      <c r="EA501" s="707"/>
      <c r="EB501" s="707"/>
      <c r="EC501" s="707"/>
      <c r="ED501" s="707"/>
      <c r="EE501" s="707"/>
      <c r="EF501" s="707"/>
      <c r="EG501" s="707"/>
      <c r="EH501" s="707"/>
      <c r="EI501" s="707"/>
      <c r="EJ501" s="707"/>
      <c r="EK501" s="707"/>
      <c r="EL501" s="707"/>
      <c r="EM501" s="707"/>
      <c r="EN501" s="707"/>
      <c r="EO501" s="707"/>
      <c r="EP501" s="707"/>
      <c r="EQ501" s="707"/>
      <c r="ER501" s="707"/>
      <c r="ES501" s="707"/>
      <c r="ET501" s="707"/>
      <c r="EU501" s="707"/>
      <c r="EV501" s="707"/>
      <c r="EW501" s="707"/>
      <c r="EX501" s="707"/>
      <c r="EY501" s="707"/>
      <c r="EZ501" s="707"/>
      <c r="FA501" s="707"/>
      <c r="FB501" s="707"/>
      <c r="FC501" s="707"/>
      <c r="FD501" s="707"/>
      <c r="FE501" s="707"/>
      <c r="FF501" s="707"/>
      <c r="FG501" s="707"/>
      <c r="FH501" s="707"/>
      <c r="FI501" s="707"/>
      <c r="FJ501" s="707"/>
      <c r="FK501" s="707"/>
      <c r="FL501" s="707"/>
      <c r="FM501" s="707"/>
      <c r="FN501" s="707"/>
      <c r="FO501" s="707"/>
      <c r="FP501" s="707"/>
      <c r="FQ501" s="707"/>
      <c r="FR501" s="707"/>
      <c r="FS501" s="707"/>
      <c r="FT501" s="707"/>
      <c r="FU501" s="707"/>
      <c r="FV501" s="707"/>
      <c r="FW501" s="707"/>
      <c r="FX501" s="707"/>
      <c r="FY501" s="707"/>
      <c r="FZ501" s="707"/>
      <c r="GA501" s="707"/>
      <c r="GB501" s="707"/>
      <c r="GC501" s="707"/>
      <c r="GD501" s="707"/>
      <c r="GE501" s="707"/>
      <c r="GF501" s="707"/>
      <c r="GG501" s="707"/>
      <c r="GH501" s="707"/>
      <c r="GI501" s="707"/>
      <c r="GJ501" s="707"/>
      <c r="GK501" s="707"/>
      <c r="GL501" s="707"/>
      <c r="GM501" s="707"/>
      <c r="GN501" s="707"/>
      <c r="GO501" s="707"/>
      <c r="GP501" s="707"/>
      <c r="GQ501" s="707"/>
      <c r="GR501" s="707"/>
      <c r="GS501" s="707"/>
      <c r="GT501" s="707"/>
      <c r="GU501" s="707"/>
      <c r="GV501" s="707"/>
      <c r="GW501" s="707"/>
      <c r="GX501" s="707"/>
      <c r="GY501" s="707"/>
      <c r="GZ501" s="707"/>
      <c r="HA501" s="707"/>
      <c r="HB501" s="707"/>
      <c r="HC501" s="707"/>
      <c r="HD501" s="707"/>
      <c r="HE501" s="707"/>
      <c r="HF501" s="707"/>
      <c r="HG501" s="707"/>
      <c r="HH501" s="707"/>
      <c r="HI501" s="707"/>
      <c r="HJ501" s="707"/>
      <c r="HK501" s="707"/>
      <c r="HL501" s="707"/>
      <c r="HM501" s="707"/>
      <c r="HN501" s="707"/>
      <c r="HO501" s="707"/>
      <c r="HP501" s="707"/>
      <c r="HQ501" s="707"/>
      <c r="HR501" s="707"/>
      <c r="HS501" s="707"/>
      <c r="HT501" s="707"/>
      <c r="HU501" s="707"/>
      <c r="HV501" s="707"/>
      <c r="HW501" s="707"/>
      <c r="HX501" s="707"/>
      <c r="HY501" s="707"/>
      <c r="HZ501" s="707"/>
      <c r="IA501" s="707"/>
      <c r="IB501" s="707"/>
      <c r="IC501" s="707"/>
      <c r="ID501" s="707"/>
      <c r="IE501" s="707"/>
      <c r="IF501" s="707"/>
      <c r="IG501" s="707"/>
      <c r="IH501" s="707"/>
      <c r="II501" s="707"/>
      <c r="IJ501" s="707"/>
      <c r="IK501" s="707"/>
      <c r="IL501" s="707"/>
      <c r="IM501" s="707"/>
      <c r="IN501" s="707"/>
      <c r="IO501" s="707"/>
      <c r="IP501" s="707"/>
      <c r="IQ501" s="707"/>
      <c r="IR501" s="707"/>
      <c r="IS501" s="707"/>
      <c r="IT501" s="707"/>
      <c r="IU501" s="707"/>
      <c r="IV501" s="707"/>
      <c r="IW501" s="707"/>
    </row>
    <row r="502" customFormat="false" ht="12.75" hidden="false" customHeight="false" outlineLevel="1" collapsed="false">
      <c r="A502" s="367"/>
      <c r="B502" s="723"/>
      <c r="C502" s="723"/>
      <c r="D502" s="723"/>
      <c r="E502" s="713"/>
      <c r="F502" s="713"/>
      <c r="G502" s="713"/>
      <c r="H502" s="713"/>
      <c r="I502" s="713"/>
      <c r="J502" s="713"/>
      <c r="K502" s="713"/>
      <c r="L502" s="713"/>
      <c r="M502" s="713"/>
      <c r="N502" s="713"/>
      <c r="O502" s="713"/>
      <c r="P502" s="713"/>
      <c r="Q502" s="713"/>
      <c r="R502" s="713"/>
      <c r="S502" s="713"/>
      <c r="T502" s="713"/>
      <c r="U502" s="713"/>
      <c r="V502" s="713"/>
      <c r="W502" s="713"/>
      <c r="X502" s="713"/>
      <c r="Y502" s="713"/>
      <c r="Z502" s="713"/>
      <c r="AA502" s="707"/>
      <c r="AB502" s="707"/>
      <c r="AC502" s="707"/>
      <c r="AD502" s="707"/>
      <c r="AE502" s="707"/>
      <c r="AF502" s="707"/>
      <c r="AG502" s="707"/>
      <c r="AH502" s="707"/>
      <c r="AI502" s="707"/>
      <c r="AJ502" s="707"/>
      <c r="AK502" s="707"/>
      <c r="AL502" s="707"/>
      <c r="AM502" s="707"/>
      <c r="AN502" s="707"/>
      <c r="AO502" s="707"/>
      <c r="AP502" s="707"/>
      <c r="AQ502" s="707"/>
      <c r="AR502" s="707"/>
      <c r="AS502" s="707"/>
      <c r="AT502" s="707"/>
      <c r="AU502" s="707"/>
      <c r="AV502" s="707"/>
      <c r="AW502" s="707"/>
      <c r="AX502" s="707"/>
      <c r="AY502" s="707"/>
      <c r="AZ502" s="707"/>
      <c r="BA502" s="707"/>
      <c r="BB502" s="707"/>
      <c r="BC502" s="707"/>
      <c r="BD502" s="707"/>
      <c r="BE502" s="707"/>
      <c r="BF502" s="707"/>
      <c r="BG502" s="707"/>
      <c r="BH502" s="707"/>
      <c r="BI502" s="707"/>
      <c r="BJ502" s="707"/>
      <c r="BK502" s="707"/>
      <c r="BL502" s="707"/>
      <c r="BM502" s="707"/>
      <c r="BN502" s="707"/>
      <c r="BO502" s="707"/>
      <c r="BP502" s="707"/>
      <c r="BQ502" s="707"/>
      <c r="BR502" s="707"/>
      <c r="BS502" s="707"/>
      <c r="BT502" s="707"/>
      <c r="BU502" s="707"/>
      <c r="BV502" s="707"/>
      <c r="BW502" s="707"/>
      <c r="BX502" s="707"/>
      <c r="BY502" s="707"/>
      <c r="BZ502" s="707"/>
      <c r="CA502" s="707"/>
      <c r="CB502" s="707"/>
      <c r="CC502" s="707"/>
      <c r="CD502" s="707"/>
      <c r="CE502" s="707"/>
      <c r="CF502" s="707"/>
      <c r="CG502" s="707"/>
      <c r="CH502" s="707"/>
      <c r="CI502" s="707"/>
      <c r="CJ502" s="707"/>
      <c r="CK502" s="707"/>
      <c r="CL502" s="707"/>
      <c r="CM502" s="707"/>
      <c r="CN502" s="707"/>
      <c r="CO502" s="707"/>
      <c r="CP502" s="707"/>
      <c r="CQ502" s="707"/>
      <c r="CR502" s="707"/>
      <c r="CS502" s="707"/>
      <c r="CT502" s="707"/>
      <c r="CU502" s="707"/>
      <c r="CV502" s="707"/>
      <c r="CW502" s="707"/>
      <c r="CX502" s="707"/>
      <c r="CY502" s="707"/>
      <c r="CZ502" s="707"/>
      <c r="DA502" s="707"/>
      <c r="DB502" s="707"/>
      <c r="DC502" s="707"/>
      <c r="DD502" s="707"/>
      <c r="DE502" s="707"/>
      <c r="DF502" s="707"/>
      <c r="DG502" s="707"/>
      <c r="DH502" s="707"/>
      <c r="DI502" s="707"/>
      <c r="DJ502" s="707"/>
      <c r="DK502" s="707"/>
      <c r="DL502" s="707"/>
      <c r="DM502" s="707"/>
      <c r="DN502" s="707"/>
      <c r="DO502" s="707"/>
      <c r="DP502" s="707"/>
      <c r="DQ502" s="707"/>
      <c r="DR502" s="707"/>
      <c r="DS502" s="707"/>
      <c r="DT502" s="707"/>
      <c r="DU502" s="707"/>
      <c r="DV502" s="707"/>
      <c r="DW502" s="707"/>
      <c r="DX502" s="707"/>
      <c r="DY502" s="707"/>
      <c r="DZ502" s="707"/>
      <c r="EA502" s="707"/>
      <c r="EB502" s="707"/>
      <c r="EC502" s="707"/>
      <c r="ED502" s="707"/>
      <c r="EE502" s="707"/>
      <c r="EF502" s="707"/>
      <c r="EG502" s="707"/>
      <c r="EH502" s="707"/>
      <c r="EI502" s="707"/>
      <c r="EJ502" s="707"/>
      <c r="EK502" s="707"/>
      <c r="EL502" s="707"/>
      <c r="EM502" s="707"/>
      <c r="EN502" s="707"/>
      <c r="EO502" s="707"/>
      <c r="EP502" s="707"/>
      <c r="EQ502" s="707"/>
      <c r="ER502" s="707"/>
      <c r="ES502" s="707"/>
      <c r="ET502" s="707"/>
      <c r="EU502" s="707"/>
      <c r="EV502" s="707"/>
      <c r="EW502" s="707"/>
      <c r="EX502" s="707"/>
      <c r="EY502" s="707"/>
      <c r="EZ502" s="707"/>
      <c r="FA502" s="707"/>
      <c r="FB502" s="707"/>
      <c r="FC502" s="707"/>
      <c r="FD502" s="707"/>
      <c r="FE502" s="707"/>
      <c r="FF502" s="707"/>
      <c r="FG502" s="707"/>
      <c r="FH502" s="707"/>
      <c r="FI502" s="707"/>
      <c r="FJ502" s="707"/>
      <c r="FK502" s="707"/>
      <c r="FL502" s="707"/>
      <c r="FM502" s="707"/>
      <c r="FN502" s="707"/>
      <c r="FO502" s="707"/>
      <c r="FP502" s="707"/>
      <c r="FQ502" s="707"/>
      <c r="FR502" s="707"/>
      <c r="FS502" s="707"/>
      <c r="FT502" s="707"/>
      <c r="FU502" s="707"/>
      <c r="FV502" s="707"/>
      <c r="FW502" s="707"/>
      <c r="FX502" s="707"/>
      <c r="FY502" s="707"/>
      <c r="FZ502" s="707"/>
      <c r="GA502" s="707"/>
      <c r="GB502" s="707"/>
      <c r="GC502" s="707"/>
      <c r="GD502" s="707"/>
      <c r="GE502" s="707"/>
      <c r="GF502" s="707"/>
      <c r="GG502" s="707"/>
      <c r="GH502" s="707"/>
      <c r="GI502" s="707"/>
      <c r="GJ502" s="707"/>
      <c r="GK502" s="707"/>
      <c r="GL502" s="707"/>
      <c r="GM502" s="707"/>
      <c r="GN502" s="707"/>
      <c r="GO502" s="707"/>
      <c r="GP502" s="707"/>
      <c r="GQ502" s="707"/>
      <c r="GR502" s="707"/>
      <c r="GS502" s="707"/>
      <c r="GT502" s="707"/>
      <c r="GU502" s="707"/>
      <c r="GV502" s="707"/>
      <c r="GW502" s="707"/>
      <c r="GX502" s="707"/>
      <c r="GY502" s="707"/>
      <c r="GZ502" s="707"/>
      <c r="HA502" s="707"/>
      <c r="HB502" s="707"/>
      <c r="HC502" s="707"/>
      <c r="HD502" s="707"/>
      <c r="HE502" s="707"/>
      <c r="HF502" s="707"/>
      <c r="HG502" s="707"/>
      <c r="HH502" s="707"/>
      <c r="HI502" s="707"/>
      <c r="HJ502" s="707"/>
      <c r="HK502" s="707"/>
      <c r="HL502" s="707"/>
      <c r="HM502" s="707"/>
      <c r="HN502" s="707"/>
      <c r="HO502" s="707"/>
      <c r="HP502" s="707"/>
      <c r="HQ502" s="707"/>
      <c r="HR502" s="707"/>
      <c r="HS502" s="707"/>
      <c r="HT502" s="707"/>
      <c r="HU502" s="707"/>
      <c r="HV502" s="707"/>
      <c r="HW502" s="707"/>
      <c r="HX502" s="707"/>
      <c r="HY502" s="707"/>
      <c r="HZ502" s="707"/>
      <c r="IA502" s="707"/>
      <c r="IB502" s="707"/>
      <c r="IC502" s="707"/>
      <c r="ID502" s="707"/>
      <c r="IE502" s="707"/>
      <c r="IF502" s="707"/>
      <c r="IG502" s="707"/>
      <c r="IH502" s="707"/>
      <c r="II502" s="707"/>
      <c r="IJ502" s="707"/>
      <c r="IK502" s="707"/>
      <c r="IL502" s="707"/>
      <c r="IM502" s="707"/>
      <c r="IN502" s="707"/>
      <c r="IO502" s="707"/>
      <c r="IP502" s="707"/>
      <c r="IQ502" s="707"/>
      <c r="IR502" s="707"/>
      <c r="IS502" s="707"/>
      <c r="IT502" s="707"/>
      <c r="IU502" s="707"/>
      <c r="IV502" s="707"/>
      <c r="IW502" s="707"/>
    </row>
    <row r="503" customFormat="false" ht="12.75" hidden="false" customHeight="false" outlineLevel="1" collapsed="false">
      <c r="A503" s="367"/>
      <c r="B503" s="723"/>
      <c r="C503" s="723"/>
      <c r="D503" s="723"/>
      <c r="E503" s="713"/>
      <c r="F503" s="713"/>
      <c r="G503" s="713"/>
      <c r="H503" s="713"/>
      <c r="I503" s="713"/>
      <c r="J503" s="713"/>
      <c r="K503" s="713"/>
      <c r="L503" s="713"/>
      <c r="M503" s="713"/>
      <c r="N503" s="713"/>
      <c r="O503" s="713"/>
      <c r="P503" s="713"/>
      <c r="Q503" s="713"/>
      <c r="R503" s="713"/>
      <c r="S503" s="713"/>
      <c r="T503" s="713"/>
      <c r="U503" s="713"/>
      <c r="V503" s="713"/>
      <c r="W503" s="713"/>
      <c r="X503" s="713"/>
      <c r="Y503" s="713"/>
      <c r="Z503" s="713"/>
      <c r="AA503" s="707"/>
      <c r="AB503" s="707"/>
      <c r="AC503" s="707"/>
      <c r="AD503" s="707"/>
      <c r="AE503" s="707"/>
      <c r="AF503" s="707"/>
      <c r="AG503" s="707"/>
      <c r="AH503" s="707"/>
      <c r="AI503" s="707"/>
      <c r="AJ503" s="707"/>
      <c r="AK503" s="707"/>
      <c r="AL503" s="707"/>
      <c r="AM503" s="707"/>
      <c r="AN503" s="707"/>
      <c r="AO503" s="707"/>
      <c r="AP503" s="707"/>
      <c r="AQ503" s="707"/>
      <c r="AR503" s="707"/>
      <c r="AS503" s="707"/>
      <c r="AT503" s="707"/>
      <c r="AU503" s="707"/>
      <c r="AV503" s="707"/>
      <c r="AW503" s="707"/>
      <c r="AX503" s="707"/>
      <c r="AY503" s="707"/>
      <c r="AZ503" s="707"/>
      <c r="BA503" s="707"/>
      <c r="BB503" s="707"/>
      <c r="BC503" s="707"/>
      <c r="BD503" s="707"/>
      <c r="BE503" s="707"/>
      <c r="BF503" s="707"/>
      <c r="BG503" s="707"/>
      <c r="BH503" s="707"/>
      <c r="BI503" s="707"/>
      <c r="BJ503" s="707"/>
      <c r="BK503" s="707"/>
      <c r="BL503" s="707"/>
      <c r="BM503" s="707"/>
      <c r="BN503" s="707"/>
      <c r="BO503" s="707"/>
      <c r="BP503" s="707"/>
      <c r="BQ503" s="707"/>
      <c r="BR503" s="707"/>
      <c r="BS503" s="707"/>
      <c r="BT503" s="707"/>
      <c r="BU503" s="707"/>
      <c r="BV503" s="707"/>
      <c r="BW503" s="707"/>
      <c r="BX503" s="707"/>
      <c r="BY503" s="707"/>
      <c r="BZ503" s="707"/>
      <c r="CA503" s="707"/>
      <c r="CB503" s="707"/>
      <c r="CC503" s="707"/>
      <c r="CD503" s="707"/>
      <c r="CE503" s="707"/>
      <c r="CF503" s="707"/>
      <c r="CG503" s="707"/>
      <c r="CH503" s="707"/>
      <c r="CI503" s="707"/>
      <c r="CJ503" s="707"/>
      <c r="CK503" s="707"/>
      <c r="CL503" s="707"/>
      <c r="CM503" s="707"/>
      <c r="CN503" s="707"/>
      <c r="CO503" s="707"/>
      <c r="CP503" s="707"/>
      <c r="CQ503" s="707"/>
      <c r="CR503" s="707"/>
      <c r="CS503" s="707"/>
      <c r="CT503" s="707"/>
      <c r="CU503" s="707"/>
      <c r="CV503" s="707"/>
      <c r="CW503" s="707"/>
      <c r="CX503" s="707"/>
      <c r="CY503" s="707"/>
      <c r="CZ503" s="707"/>
      <c r="DA503" s="707"/>
      <c r="DB503" s="707"/>
      <c r="DC503" s="707"/>
      <c r="DD503" s="707"/>
      <c r="DE503" s="707"/>
      <c r="DF503" s="707"/>
      <c r="DG503" s="707"/>
      <c r="DH503" s="707"/>
      <c r="DI503" s="707"/>
      <c r="DJ503" s="707"/>
      <c r="DK503" s="707"/>
      <c r="DL503" s="707"/>
      <c r="DM503" s="707"/>
      <c r="DN503" s="707"/>
      <c r="DO503" s="707"/>
      <c r="DP503" s="707"/>
      <c r="DQ503" s="707"/>
      <c r="DR503" s="707"/>
      <c r="DS503" s="707"/>
      <c r="DT503" s="707"/>
      <c r="DU503" s="707"/>
      <c r="DV503" s="707"/>
      <c r="DW503" s="707"/>
      <c r="DX503" s="707"/>
      <c r="DY503" s="707"/>
      <c r="DZ503" s="707"/>
      <c r="EA503" s="707"/>
      <c r="EB503" s="707"/>
      <c r="EC503" s="707"/>
      <c r="ED503" s="707"/>
      <c r="EE503" s="707"/>
      <c r="EF503" s="707"/>
      <c r="EG503" s="707"/>
      <c r="EH503" s="707"/>
      <c r="EI503" s="707"/>
      <c r="EJ503" s="707"/>
      <c r="EK503" s="707"/>
      <c r="EL503" s="707"/>
      <c r="EM503" s="707"/>
      <c r="EN503" s="707"/>
      <c r="EO503" s="707"/>
      <c r="EP503" s="707"/>
      <c r="EQ503" s="707"/>
      <c r="ER503" s="707"/>
      <c r="ES503" s="707"/>
      <c r="ET503" s="707"/>
      <c r="EU503" s="707"/>
      <c r="EV503" s="707"/>
      <c r="EW503" s="707"/>
      <c r="EX503" s="707"/>
      <c r="EY503" s="707"/>
      <c r="EZ503" s="707"/>
      <c r="FA503" s="707"/>
      <c r="FB503" s="707"/>
      <c r="FC503" s="707"/>
      <c r="FD503" s="707"/>
      <c r="FE503" s="707"/>
      <c r="FF503" s="707"/>
      <c r="FG503" s="707"/>
      <c r="FH503" s="707"/>
      <c r="FI503" s="707"/>
      <c r="FJ503" s="707"/>
      <c r="FK503" s="707"/>
      <c r="FL503" s="707"/>
      <c r="FM503" s="707"/>
      <c r="FN503" s="707"/>
      <c r="FO503" s="707"/>
      <c r="FP503" s="707"/>
      <c r="FQ503" s="707"/>
      <c r="FR503" s="707"/>
      <c r="FS503" s="707"/>
      <c r="FT503" s="707"/>
      <c r="FU503" s="707"/>
      <c r="FV503" s="707"/>
      <c r="FW503" s="707"/>
      <c r="FX503" s="707"/>
      <c r="FY503" s="707"/>
      <c r="FZ503" s="707"/>
      <c r="GA503" s="707"/>
      <c r="GB503" s="707"/>
      <c r="GC503" s="707"/>
      <c r="GD503" s="707"/>
      <c r="GE503" s="707"/>
      <c r="GF503" s="707"/>
      <c r="GG503" s="707"/>
      <c r="GH503" s="707"/>
      <c r="GI503" s="707"/>
      <c r="GJ503" s="707"/>
      <c r="GK503" s="707"/>
      <c r="GL503" s="707"/>
      <c r="GM503" s="707"/>
      <c r="GN503" s="707"/>
      <c r="GO503" s="707"/>
      <c r="GP503" s="707"/>
      <c r="GQ503" s="707"/>
      <c r="GR503" s="707"/>
      <c r="GS503" s="707"/>
      <c r="GT503" s="707"/>
      <c r="GU503" s="707"/>
      <c r="GV503" s="707"/>
      <c r="GW503" s="707"/>
      <c r="GX503" s="707"/>
      <c r="GY503" s="707"/>
      <c r="GZ503" s="707"/>
      <c r="HA503" s="707"/>
      <c r="HB503" s="707"/>
      <c r="HC503" s="707"/>
      <c r="HD503" s="707"/>
      <c r="HE503" s="707"/>
      <c r="HF503" s="707"/>
      <c r="HG503" s="707"/>
      <c r="HH503" s="707"/>
      <c r="HI503" s="707"/>
      <c r="HJ503" s="707"/>
      <c r="HK503" s="707"/>
      <c r="HL503" s="707"/>
      <c r="HM503" s="707"/>
      <c r="HN503" s="707"/>
      <c r="HO503" s="707"/>
      <c r="HP503" s="707"/>
      <c r="HQ503" s="707"/>
      <c r="HR503" s="707"/>
      <c r="HS503" s="707"/>
      <c r="HT503" s="707"/>
      <c r="HU503" s="707"/>
      <c r="HV503" s="707"/>
      <c r="HW503" s="707"/>
      <c r="HX503" s="707"/>
      <c r="HY503" s="707"/>
      <c r="HZ503" s="707"/>
      <c r="IA503" s="707"/>
      <c r="IB503" s="707"/>
      <c r="IC503" s="707"/>
      <c r="ID503" s="707"/>
      <c r="IE503" s="707"/>
      <c r="IF503" s="707"/>
      <c r="IG503" s="707"/>
      <c r="IH503" s="707"/>
      <c r="II503" s="707"/>
      <c r="IJ503" s="707"/>
      <c r="IK503" s="707"/>
      <c r="IL503" s="707"/>
      <c r="IM503" s="707"/>
      <c r="IN503" s="707"/>
      <c r="IO503" s="707"/>
      <c r="IP503" s="707"/>
      <c r="IQ503" s="707"/>
      <c r="IR503" s="707"/>
      <c r="IS503" s="707"/>
      <c r="IT503" s="707"/>
      <c r="IU503" s="707"/>
      <c r="IV503" s="707"/>
      <c r="IW503" s="707"/>
    </row>
    <row r="504" customFormat="false" ht="12.75" hidden="false" customHeight="false" outlineLevel="1" collapsed="false">
      <c r="A504" s="367"/>
      <c r="B504" s="723"/>
      <c r="C504" s="723"/>
      <c r="D504" s="723"/>
      <c r="E504" s="713"/>
      <c r="F504" s="713"/>
      <c r="G504" s="713"/>
      <c r="H504" s="713"/>
      <c r="I504" s="713"/>
      <c r="J504" s="713"/>
      <c r="K504" s="713"/>
      <c r="L504" s="713"/>
      <c r="M504" s="713"/>
      <c r="N504" s="713"/>
      <c r="O504" s="713"/>
      <c r="P504" s="713"/>
      <c r="Q504" s="713"/>
      <c r="R504" s="713"/>
      <c r="S504" s="713"/>
      <c r="T504" s="713"/>
      <c r="U504" s="713"/>
      <c r="V504" s="713"/>
      <c r="W504" s="713"/>
      <c r="X504" s="713"/>
      <c r="Y504" s="713"/>
      <c r="Z504" s="713"/>
      <c r="AA504" s="707"/>
      <c r="AB504" s="707"/>
      <c r="AC504" s="707"/>
      <c r="AD504" s="707"/>
      <c r="AE504" s="707"/>
      <c r="AF504" s="707"/>
      <c r="AG504" s="707"/>
      <c r="AH504" s="707"/>
      <c r="AI504" s="707"/>
      <c r="AJ504" s="707"/>
      <c r="AK504" s="707"/>
      <c r="AL504" s="707"/>
      <c r="AM504" s="707"/>
      <c r="AN504" s="707"/>
      <c r="AO504" s="707"/>
      <c r="AP504" s="707"/>
      <c r="AQ504" s="707"/>
      <c r="AR504" s="707"/>
      <c r="AS504" s="707"/>
      <c r="AT504" s="707"/>
      <c r="AU504" s="707"/>
      <c r="AV504" s="707"/>
      <c r="AW504" s="707"/>
      <c r="AX504" s="707"/>
      <c r="AY504" s="707"/>
      <c r="AZ504" s="707"/>
      <c r="BA504" s="707"/>
      <c r="BB504" s="707"/>
      <c r="BC504" s="707"/>
      <c r="BD504" s="707"/>
      <c r="BE504" s="707"/>
      <c r="BF504" s="707"/>
      <c r="BG504" s="707"/>
      <c r="BH504" s="707"/>
      <c r="BI504" s="707"/>
      <c r="BJ504" s="707"/>
      <c r="BK504" s="707"/>
      <c r="BL504" s="707"/>
      <c r="BM504" s="707"/>
      <c r="BN504" s="707"/>
      <c r="BO504" s="707"/>
      <c r="BP504" s="707"/>
      <c r="BQ504" s="707"/>
      <c r="BR504" s="707"/>
      <c r="BS504" s="707"/>
      <c r="BT504" s="707"/>
      <c r="BU504" s="707"/>
      <c r="BV504" s="707"/>
      <c r="BW504" s="707"/>
      <c r="BX504" s="707"/>
      <c r="BY504" s="707"/>
      <c r="BZ504" s="707"/>
      <c r="CA504" s="707"/>
      <c r="CB504" s="707"/>
      <c r="CC504" s="707"/>
      <c r="CD504" s="707"/>
      <c r="CE504" s="707"/>
      <c r="CF504" s="707"/>
      <c r="CG504" s="707"/>
      <c r="CH504" s="707"/>
      <c r="CI504" s="707"/>
      <c r="CJ504" s="707"/>
      <c r="CK504" s="707"/>
      <c r="CL504" s="707"/>
      <c r="CM504" s="707"/>
      <c r="CN504" s="707"/>
      <c r="CO504" s="707"/>
      <c r="CP504" s="707"/>
      <c r="CQ504" s="707"/>
      <c r="CR504" s="707"/>
      <c r="CS504" s="707"/>
      <c r="CT504" s="707"/>
      <c r="CU504" s="707"/>
      <c r="CV504" s="707"/>
      <c r="CW504" s="707"/>
      <c r="CX504" s="707"/>
      <c r="CY504" s="707"/>
      <c r="CZ504" s="707"/>
      <c r="DA504" s="707"/>
      <c r="DB504" s="707"/>
      <c r="DC504" s="707"/>
      <c r="DD504" s="707"/>
      <c r="DE504" s="707"/>
      <c r="DF504" s="707"/>
      <c r="DG504" s="707"/>
      <c r="DH504" s="707"/>
      <c r="DI504" s="707"/>
      <c r="DJ504" s="707"/>
      <c r="DK504" s="707"/>
      <c r="DL504" s="707"/>
      <c r="DM504" s="707"/>
      <c r="DN504" s="707"/>
      <c r="DO504" s="707"/>
      <c r="DP504" s="707"/>
      <c r="DQ504" s="707"/>
      <c r="DR504" s="707"/>
      <c r="DS504" s="707"/>
      <c r="DT504" s="707"/>
      <c r="DU504" s="707"/>
      <c r="DV504" s="707"/>
      <c r="DW504" s="707"/>
      <c r="DX504" s="707"/>
      <c r="DY504" s="707"/>
      <c r="DZ504" s="707"/>
      <c r="EA504" s="707"/>
      <c r="EB504" s="707"/>
      <c r="EC504" s="707"/>
      <c r="ED504" s="707"/>
      <c r="EE504" s="707"/>
      <c r="EF504" s="707"/>
      <c r="EG504" s="707"/>
      <c r="EH504" s="707"/>
      <c r="EI504" s="707"/>
      <c r="EJ504" s="707"/>
      <c r="EK504" s="707"/>
      <c r="EL504" s="707"/>
      <c r="EM504" s="707"/>
      <c r="EN504" s="707"/>
      <c r="EO504" s="707"/>
      <c r="EP504" s="707"/>
      <c r="EQ504" s="707"/>
      <c r="ER504" s="707"/>
      <c r="ES504" s="707"/>
      <c r="ET504" s="707"/>
      <c r="EU504" s="707"/>
      <c r="EV504" s="707"/>
      <c r="EW504" s="707"/>
      <c r="EX504" s="707"/>
      <c r="EY504" s="707"/>
      <c r="EZ504" s="707"/>
      <c r="FA504" s="707"/>
      <c r="FB504" s="707"/>
      <c r="FC504" s="707"/>
      <c r="FD504" s="707"/>
      <c r="FE504" s="707"/>
      <c r="FF504" s="707"/>
      <c r="FG504" s="707"/>
      <c r="FH504" s="707"/>
      <c r="FI504" s="707"/>
      <c r="FJ504" s="707"/>
      <c r="FK504" s="707"/>
      <c r="FL504" s="707"/>
      <c r="FM504" s="707"/>
      <c r="FN504" s="707"/>
      <c r="FO504" s="707"/>
      <c r="FP504" s="707"/>
      <c r="FQ504" s="707"/>
      <c r="FR504" s="707"/>
      <c r="FS504" s="707"/>
      <c r="FT504" s="707"/>
      <c r="FU504" s="707"/>
      <c r="FV504" s="707"/>
      <c r="FW504" s="707"/>
      <c r="FX504" s="707"/>
      <c r="FY504" s="707"/>
      <c r="FZ504" s="707"/>
      <c r="GA504" s="707"/>
      <c r="GB504" s="707"/>
      <c r="GC504" s="707"/>
      <c r="GD504" s="707"/>
      <c r="GE504" s="707"/>
      <c r="GF504" s="707"/>
      <c r="GG504" s="707"/>
      <c r="GH504" s="707"/>
      <c r="GI504" s="707"/>
      <c r="GJ504" s="707"/>
      <c r="GK504" s="707"/>
      <c r="GL504" s="707"/>
      <c r="GM504" s="707"/>
      <c r="GN504" s="707"/>
      <c r="GO504" s="707"/>
      <c r="GP504" s="707"/>
      <c r="GQ504" s="707"/>
      <c r="GR504" s="707"/>
      <c r="GS504" s="707"/>
      <c r="GT504" s="707"/>
      <c r="GU504" s="707"/>
      <c r="GV504" s="707"/>
      <c r="GW504" s="707"/>
      <c r="GX504" s="707"/>
      <c r="GY504" s="707"/>
      <c r="GZ504" s="707"/>
      <c r="HA504" s="707"/>
      <c r="HB504" s="707"/>
      <c r="HC504" s="707"/>
      <c r="HD504" s="707"/>
      <c r="HE504" s="707"/>
      <c r="HF504" s="707"/>
      <c r="HG504" s="707"/>
      <c r="HH504" s="707"/>
      <c r="HI504" s="707"/>
      <c r="HJ504" s="707"/>
      <c r="HK504" s="707"/>
      <c r="HL504" s="707"/>
      <c r="HM504" s="707"/>
      <c r="HN504" s="707"/>
      <c r="HO504" s="707"/>
      <c r="HP504" s="707"/>
      <c r="HQ504" s="707"/>
      <c r="HR504" s="707"/>
      <c r="HS504" s="707"/>
      <c r="HT504" s="707"/>
      <c r="HU504" s="707"/>
      <c r="HV504" s="707"/>
      <c r="HW504" s="707"/>
      <c r="HX504" s="707"/>
      <c r="HY504" s="707"/>
      <c r="HZ504" s="707"/>
      <c r="IA504" s="707"/>
      <c r="IB504" s="707"/>
      <c r="IC504" s="707"/>
      <c r="ID504" s="707"/>
      <c r="IE504" s="707"/>
      <c r="IF504" s="707"/>
      <c r="IG504" s="707"/>
      <c r="IH504" s="707"/>
      <c r="II504" s="707"/>
      <c r="IJ504" s="707"/>
      <c r="IK504" s="707"/>
      <c r="IL504" s="707"/>
      <c r="IM504" s="707"/>
      <c r="IN504" s="707"/>
      <c r="IO504" s="707"/>
      <c r="IP504" s="707"/>
      <c r="IQ504" s="707"/>
      <c r="IR504" s="707"/>
      <c r="IS504" s="707"/>
      <c r="IT504" s="707"/>
      <c r="IU504" s="707"/>
      <c r="IV504" s="707"/>
      <c r="IW504" s="707"/>
    </row>
    <row r="505" customFormat="false" ht="12.75" hidden="false" customHeight="false" outlineLevel="1" collapsed="false">
      <c r="A505" s="388"/>
      <c r="B505" s="707"/>
      <c r="C505" s="707"/>
      <c r="D505" s="707"/>
      <c r="E505" s="713"/>
      <c r="F505" s="713"/>
      <c r="G505" s="713"/>
      <c r="H505" s="713"/>
      <c r="I505" s="713"/>
      <c r="J505" s="713"/>
      <c r="K505" s="713"/>
      <c r="L505" s="713"/>
      <c r="M505" s="713"/>
      <c r="N505" s="713"/>
      <c r="O505" s="713"/>
      <c r="P505" s="713"/>
      <c r="Q505" s="713"/>
      <c r="R505" s="713"/>
      <c r="S505" s="713"/>
      <c r="T505" s="713"/>
      <c r="U505" s="713"/>
      <c r="V505" s="713"/>
      <c r="W505" s="713"/>
      <c r="X505" s="713"/>
      <c r="Y505" s="713"/>
      <c r="Z505" s="713"/>
      <c r="AA505" s="707"/>
      <c r="AB505" s="707"/>
      <c r="AC505" s="707"/>
      <c r="AD505" s="707"/>
      <c r="AE505" s="707"/>
      <c r="AF505" s="707"/>
      <c r="AG505" s="707"/>
      <c r="AH505" s="707"/>
      <c r="AI505" s="707"/>
      <c r="AJ505" s="707"/>
      <c r="AK505" s="707"/>
      <c r="AL505" s="707"/>
      <c r="AM505" s="707"/>
      <c r="AN505" s="707"/>
      <c r="AO505" s="707"/>
      <c r="AP505" s="707"/>
      <c r="AQ505" s="707"/>
      <c r="AR505" s="707"/>
      <c r="AS505" s="707"/>
      <c r="AT505" s="707"/>
      <c r="AU505" s="707"/>
      <c r="AV505" s="707"/>
      <c r="AW505" s="707"/>
      <c r="AX505" s="707"/>
      <c r="AY505" s="707"/>
      <c r="AZ505" s="707"/>
      <c r="BA505" s="707"/>
      <c r="BB505" s="707"/>
      <c r="BC505" s="707"/>
      <c r="BD505" s="707"/>
      <c r="BE505" s="707"/>
      <c r="BF505" s="707"/>
      <c r="BG505" s="707"/>
      <c r="BH505" s="707"/>
      <c r="BI505" s="707"/>
      <c r="BJ505" s="707"/>
      <c r="BK505" s="707"/>
      <c r="BL505" s="707"/>
      <c r="BM505" s="707"/>
      <c r="BN505" s="707"/>
      <c r="BO505" s="707"/>
      <c r="BP505" s="707"/>
      <c r="BQ505" s="707"/>
      <c r="BR505" s="707"/>
      <c r="BS505" s="707"/>
      <c r="BT505" s="707"/>
      <c r="BU505" s="707"/>
      <c r="BV505" s="707"/>
      <c r="BW505" s="707"/>
      <c r="BX505" s="707"/>
      <c r="BY505" s="707"/>
      <c r="BZ505" s="707"/>
      <c r="CA505" s="707"/>
      <c r="CB505" s="707"/>
      <c r="CC505" s="707"/>
      <c r="CD505" s="707"/>
      <c r="CE505" s="707"/>
      <c r="CF505" s="707"/>
      <c r="CG505" s="707"/>
      <c r="CH505" s="707"/>
      <c r="CI505" s="707"/>
      <c r="CJ505" s="707"/>
      <c r="CK505" s="707"/>
      <c r="CL505" s="707"/>
      <c r="CM505" s="707"/>
      <c r="CN505" s="707"/>
      <c r="CO505" s="707"/>
      <c r="CP505" s="707"/>
      <c r="CQ505" s="707"/>
      <c r="CR505" s="707"/>
      <c r="CS505" s="707"/>
      <c r="CT505" s="707"/>
      <c r="CU505" s="707"/>
      <c r="CV505" s="707"/>
      <c r="CW505" s="707"/>
      <c r="CX505" s="707"/>
      <c r="CY505" s="707"/>
      <c r="CZ505" s="707"/>
      <c r="DA505" s="707"/>
      <c r="DB505" s="707"/>
      <c r="DC505" s="707"/>
      <c r="DD505" s="707"/>
      <c r="DE505" s="707"/>
      <c r="DF505" s="707"/>
      <c r="DG505" s="707"/>
      <c r="DH505" s="707"/>
      <c r="DI505" s="707"/>
      <c r="DJ505" s="707"/>
      <c r="DK505" s="707"/>
      <c r="DL505" s="707"/>
      <c r="DM505" s="707"/>
      <c r="DN505" s="707"/>
      <c r="DO505" s="707"/>
      <c r="DP505" s="707"/>
      <c r="DQ505" s="707"/>
      <c r="DR505" s="707"/>
      <c r="DS505" s="707"/>
      <c r="DT505" s="707"/>
      <c r="DU505" s="707"/>
      <c r="DV505" s="707"/>
      <c r="DW505" s="707"/>
      <c r="DX505" s="707"/>
      <c r="DY505" s="707"/>
      <c r="DZ505" s="707"/>
      <c r="EA505" s="707"/>
      <c r="EB505" s="707"/>
      <c r="EC505" s="707"/>
      <c r="ED505" s="707"/>
      <c r="EE505" s="707"/>
      <c r="EF505" s="707"/>
      <c r="EG505" s="707"/>
      <c r="EH505" s="707"/>
      <c r="EI505" s="707"/>
      <c r="EJ505" s="707"/>
      <c r="EK505" s="707"/>
      <c r="EL505" s="707"/>
      <c r="EM505" s="707"/>
      <c r="EN505" s="707"/>
      <c r="EO505" s="707"/>
      <c r="EP505" s="707"/>
      <c r="EQ505" s="707"/>
      <c r="ER505" s="707"/>
      <c r="ES505" s="707"/>
      <c r="ET505" s="707"/>
      <c r="EU505" s="707"/>
      <c r="EV505" s="707"/>
      <c r="EW505" s="707"/>
      <c r="EX505" s="707"/>
      <c r="EY505" s="707"/>
      <c r="EZ505" s="707"/>
      <c r="FA505" s="707"/>
      <c r="FB505" s="707"/>
      <c r="FC505" s="707"/>
      <c r="FD505" s="707"/>
      <c r="FE505" s="707"/>
      <c r="FF505" s="707"/>
      <c r="FG505" s="707"/>
      <c r="FH505" s="707"/>
      <c r="FI505" s="707"/>
      <c r="FJ505" s="707"/>
      <c r="FK505" s="707"/>
      <c r="FL505" s="707"/>
      <c r="FM505" s="707"/>
      <c r="FN505" s="707"/>
      <c r="FO505" s="707"/>
      <c r="FP505" s="707"/>
      <c r="FQ505" s="707"/>
      <c r="FR505" s="707"/>
      <c r="FS505" s="707"/>
      <c r="FT505" s="707"/>
      <c r="FU505" s="707"/>
      <c r="FV505" s="707"/>
      <c r="FW505" s="707"/>
      <c r="FX505" s="707"/>
      <c r="FY505" s="707"/>
      <c r="FZ505" s="707"/>
      <c r="GA505" s="707"/>
      <c r="GB505" s="707"/>
      <c r="GC505" s="707"/>
      <c r="GD505" s="707"/>
      <c r="GE505" s="707"/>
      <c r="GF505" s="707"/>
      <c r="GG505" s="707"/>
      <c r="GH505" s="707"/>
      <c r="GI505" s="707"/>
      <c r="GJ505" s="707"/>
      <c r="GK505" s="707"/>
      <c r="GL505" s="707"/>
      <c r="GM505" s="707"/>
      <c r="GN505" s="707"/>
      <c r="GO505" s="707"/>
      <c r="GP505" s="707"/>
      <c r="GQ505" s="707"/>
      <c r="GR505" s="707"/>
      <c r="GS505" s="707"/>
      <c r="GT505" s="707"/>
      <c r="GU505" s="707"/>
      <c r="GV505" s="707"/>
      <c r="GW505" s="707"/>
      <c r="GX505" s="707"/>
      <c r="GY505" s="707"/>
      <c r="GZ505" s="707"/>
      <c r="HA505" s="707"/>
      <c r="HB505" s="707"/>
      <c r="HC505" s="707"/>
      <c r="HD505" s="707"/>
      <c r="HE505" s="707"/>
      <c r="HF505" s="707"/>
      <c r="HG505" s="707"/>
      <c r="HH505" s="707"/>
      <c r="HI505" s="707"/>
      <c r="HJ505" s="707"/>
      <c r="HK505" s="707"/>
      <c r="HL505" s="707"/>
      <c r="HM505" s="707"/>
      <c r="HN505" s="707"/>
      <c r="HO505" s="707"/>
      <c r="HP505" s="707"/>
      <c r="HQ505" s="707"/>
      <c r="HR505" s="707"/>
      <c r="HS505" s="707"/>
      <c r="HT505" s="707"/>
      <c r="HU505" s="707"/>
      <c r="HV505" s="707"/>
      <c r="HW505" s="707"/>
      <c r="HX505" s="707"/>
      <c r="HY505" s="707"/>
      <c r="HZ505" s="707"/>
      <c r="IA505" s="707"/>
      <c r="IB505" s="707"/>
      <c r="IC505" s="707"/>
      <c r="ID505" s="707"/>
      <c r="IE505" s="707"/>
      <c r="IF505" s="707"/>
      <c r="IG505" s="707"/>
      <c r="IH505" s="707"/>
      <c r="II505" s="707"/>
      <c r="IJ505" s="707"/>
      <c r="IK505" s="707"/>
      <c r="IL505" s="707"/>
      <c r="IM505" s="707"/>
      <c r="IN505" s="707"/>
      <c r="IO505" s="707"/>
      <c r="IP505" s="707"/>
      <c r="IQ505" s="707"/>
      <c r="IR505" s="707"/>
      <c r="IS505" s="707"/>
      <c r="IT505" s="707"/>
      <c r="IU505" s="707"/>
      <c r="IV505" s="707"/>
      <c r="IW505" s="707"/>
    </row>
    <row r="506" customFormat="false" ht="12.75" hidden="false" customHeight="false" outlineLevel="1" collapsed="false">
      <c r="A506" s="724"/>
      <c r="B506" s="725"/>
      <c r="C506" s="725"/>
      <c r="D506" s="725"/>
      <c r="E506" s="713"/>
      <c r="F506" s="713"/>
      <c r="G506" s="713"/>
      <c r="H506" s="713"/>
      <c r="I506" s="713"/>
      <c r="J506" s="713"/>
      <c r="K506" s="713"/>
      <c r="L506" s="713"/>
      <c r="M506" s="713"/>
      <c r="N506" s="713"/>
      <c r="O506" s="713"/>
      <c r="P506" s="713"/>
      <c r="Q506" s="713"/>
      <c r="R506" s="713"/>
      <c r="S506" s="713"/>
      <c r="T506" s="713"/>
      <c r="U506" s="713"/>
      <c r="V506" s="713"/>
      <c r="W506" s="713"/>
      <c r="X506" s="713"/>
      <c r="Y506" s="713"/>
      <c r="Z506" s="713"/>
      <c r="AA506" s="722"/>
      <c r="AB506" s="722"/>
      <c r="AC506" s="722"/>
      <c r="AD506" s="722"/>
      <c r="AE506" s="722"/>
      <c r="AF506" s="722"/>
      <c r="AG506" s="722"/>
      <c r="AH506" s="722"/>
      <c r="AI506" s="722"/>
      <c r="AJ506" s="722"/>
      <c r="AK506" s="722"/>
      <c r="AL506" s="722"/>
      <c r="AM506" s="722"/>
      <c r="AN506" s="722"/>
      <c r="AO506" s="722"/>
      <c r="AP506" s="722"/>
      <c r="AQ506" s="722"/>
      <c r="AR506" s="722"/>
      <c r="AS506" s="722"/>
      <c r="AT506" s="722"/>
      <c r="AU506" s="722"/>
      <c r="AV506" s="722"/>
      <c r="AW506" s="722"/>
      <c r="AX506" s="722"/>
      <c r="AY506" s="722"/>
      <c r="AZ506" s="722"/>
      <c r="BA506" s="722"/>
      <c r="BB506" s="722"/>
      <c r="BC506" s="722"/>
      <c r="BD506" s="722"/>
      <c r="BE506" s="722"/>
      <c r="BF506" s="722"/>
      <c r="BG506" s="722"/>
      <c r="BH506" s="722"/>
      <c r="BI506" s="722"/>
      <c r="BJ506" s="722"/>
      <c r="BK506" s="722"/>
      <c r="BL506" s="722"/>
      <c r="BM506" s="722"/>
      <c r="BN506" s="722"/>
      <c r="BO506" s="722"/>
      <c r="BP506" s="722"/>
      <c r="BQ506" s="722"/>
      <c r="BR506" s="722"/>
      <c r="BS506" s="722"/>
      <c r="BT506" s="722"/>
      <c r="BU506" s="722"/>
      <c r="BV506" s="722"/>
      <c r="BW506" s="722"/>
      <c r="BX506" s="722"/>
      <c r="BY506" s="722"/>
      <c r="BZ506" s="722"/>
      <c r="CA506" s="722"/>
      <c r="CB506" s="722"/>
      <c r="CC506" s="722"/>
      <c r="CD506" s="722"/>
      <c r="CE506" s="722"/>
      <c r="CF506" s="722"/>
      <c r="CG506" s="722"/>
      <c r="CH506" s="722"/>
      <c r="CI506" s="722"/>
      <c r="CJ506" s="722"/>
      <c r="CK506" s="722"/>
      <c r="CL506" s="722"/>
      <c r="CM506" s="722"/>
      <c r="CN506" s="722"/>
      <c r="CO506" s="722"/>
      <c r="CP506" s="722"/>
      <c r="CQ506" s="722"/>
      <c r="CR506" s="722"/>
      <c r="CS506" s="722"/>
      <c r="CT506" s="722"/>
      <c r="CU506" s="722"/>
      <c r="CV506" s="722"/>
      <c r="CW506" s="722"/>
      <c r="CX506" s="722"/>
      <c r="CY506" s="722"/>
      <c r="CZ506" s="722"/>
      <c r="DA506" s="722"/>
      <c r="DB506" s="722"/>
      <c r="DC506" s="722"/>
      <c r="DD506" s="722"/>
      <c r="DE506" s="722"/>
      <c r="DF506" s="722"/>
      <c r="DG506" s="722"/>
      <c r="DH506" s="722"/>
      <c r="DI506" s="722"/>
      <c r="DJ506" s="722"/>
      <c r="DK506" s="722"/>
      <c r="DL506" s="722"/>
      <c r="DM506" s="722"/>
      <c r="DN506" s="722"/>
      <c r="DO506" s="722"/>
      <c r="DP506" s="722"/>
      <c r="DQ506" s="722"/>
      <c r="DR506" s="722"/>
      <c r="DS506" s="722"/>
      <c r="DT506" s="722"/>
      <c r="DU506" s="722"/>
      <c r="DV506" s="722"/>
      <c r="DW506" s="722"/>
      <c r="DX506" s="722"/>
      <c r="DY506" s="722"/>
      <c r="DZ506" s="722"/>
      <c r="EA506" s="722"/>
      <c r="EB506" s="722"/>
      <c r="EC506" s="722"/>
      <c r="ED506" s="722"/>
      <c r="EE506" s="722"/>
      <c r="EF506" s="722"/>
      <c r="EG506" s="722"/>
      <c r="EH506" s="722"/>
      <c r="EI506" s="722"/>
      <c r="EJ506" s="722"/>
      <c r="EK506" s="722"/>
      <c r="EL506" s="722"/>
      <c r="EM506" s="722"/>
      <c r="EN506" s="722"/>
      <c r="EO506" s="722"/>
      <c r="EP506" s="722"/>
      <c r="EQ506" s="722"/>
      <c r="ER506" s="722"/>
      <c r="ES506" s="722"/>
      <c r="ET506" s="722"/>
      <c r="EU506" s="722"/>
      <c r="EV506" s="722"/>
      <c r="EW506" s="722"/>
      <c r="EX506" s="722"/>
      <c r="EY506" s="722"/>
      <c r="EZ506" s="722"/>
      <c r="FA506" s="722"/>
      <c r="FB506" s="722"/>
      <c r="FC506" s="722"/>
      <c r="FD506" s="722"/>
      <c r="FE506" s="722"/>
      <c r="FF506" s="722"/>
      <c r="FG506" s="722"/>
      <c r="FH506" s="722"/>
      <c r="FI506" s="722"/>
      <c r="FJ506" s="722"/>
      <c r="FK506" s="722"/>
      <c r="FL506" s="722"/>
      <c r="FM506" s="722"/>
      <c r="FN506" s="722"/>
      <c r="FO506" s="722"/>
      <c r="FP506" s="722"/>
      <c r="FQ506" s="722"/>
      <c r="FR506" s="722"/>
      <c r="FS506" s="722"/>
      <c r="FT506" s="722"/>
      <c r="FU506" s="722"/>
      <c r="FV506" s="722"/>
      <c r="FW506" s="722"/>
      <c r="FX506" s="722"/>
      <c r="FY506" s="722"/>
      <c r="FZ506" s="722"/>
      <c r="GA506" s="722"/>
      <c r="GB506" s="722"/>
      <c r="GC506" s="722"/>
      <c r="GD506" s="722"/>
      <c r="GE506" s="722"/>
      <c r="GF506" s="722"/>
      <c r="GG506" s="722"/>
      <c r="GH506" s="722"/>
      <c r="GI506" s="722"/>
      <c r="GJ506" s="722"/>
      <c r="GK506" s="722"/>
      <c r="GL506" s="722"/>
      <c r="GM506" s="722"/>
      <c r="GN506" s="722"/>
      <c r="GO506" s="722"/>
      <c r="GP506" s="722"/>
      <c r="GQ506" s="722"/>
      <c r="GR506" s="722"/>
      <c r="GS506" s="722"/>
      <c r="GT506" s="722"/>
      <c r="GU506" s="722"/>
      <c r="GV506" s="722"/>
      <c r="GW506" s="722"/>
      <c r="GX506" s="722"/>
      <c r="GY506" s="722"/>
      <c r="GZ506" s="722"/>
      <c r="HA506" s="722"/>
      <c r="HB506" s="722"/>
      <c r="HC506" s="722"/>
      <c r="HD506" s="722"/>
      <c r="HE506" s="722"/>
      <c r="HF506" s="722"/>
      <c r="HG506" s="722"/>
      <c r="HH506" s="722"/>
      <c r="HI506" s="722"/>
      <c r="HJ506" s="722"/>
      <c r="HK506" s="722"/>
      <c r="HL506" s="722"/>
      <c r="HM506" s="722"/>
      <c r="HN506" s="722"/>
      <c r="HO506" s="722"/>
      <c r="HP506" s="722"/>
      <c r="HQ506" s="722"/>
      <c r="HR506" s="722"/>
      <c r="HS506" s="722"/>
      <c r="HT506" s="722"/>
      <c r="HU506" s="722"/>
      <c r="HV506" s="722"/>
      <c r="HW506" s="722"/>
      <c r="HX506" s="722"/>
      <c r="HY506" s="722"/>
      <c r="HZ506" s="722"/>
      <c r="IA506" s="722"/>
      <c r="IB506" s="722"/>
      <c r="IC506" s="722"/>
      <c r="ID506" s="722"/>
      <c r="IE506" s="722"/>
      <c r="IF506" s="722"/>
      <c r="IG506" s="722"/>
      <c r="IH506" s="722"/>
      <c r="II506" s="722"/>
      <c r="IJ506" s="722"/>
      <c r="IK506" s="722"/>
      <c r="IL506" s="722"/>
      <c r="IM506" s="722"/>
      <c r="IN506" s="722"/>
      <c r="IO506" s="722"/>
      <c r="IP506" s="722"/>
      <c r="IQ506" s="722"/>
      <c r="IR506" s="722"/>
      <c r="IS506" s="722"/>
      <c r="IT506" s="722"/>
      <c r="IU506" s="722"/>
      <c r="IV506" s="722"/>
      <c r="IW506" s="722"/>
    </row>
    <row r="507" customFormat="false" ht="12.75" hidden="false" customHeight="false" outlineLevel="1" collapsed="false">
      <c r="A507" s="367"/>
      <c r="B507" s="706"/>
      <c r="C507" s="706"/>
      <c r="D507" s="706"/>
      <c r="E507" s="713"/>
      <c r="F507" s="713"/>
      <c r="G507" s="713"/>
      <c r="H507" s="713"/>
      <c r="I507" s="713"/>
      <c r="J507" s="713"/>
      <c r="K507" s="713"/>
      <c r="L507" s="713"/>
      <c r="M507" s="713"/>
      <c r="N507" s="713"/>
      <c r="O507" s="713"/>
      <c r="P507" s="713"/>
      <c r="Q507" s="713"/>
      <c r="R507" s="713"/>
      <c r="S507" s="713"/>
      <c r="T507" s="713"/>
      <c r="U507" s="713"/>
      <c r="V507" s="713"/>
      <c r="W507" s="713"/>
      <c r="X507" s="713"/>
      <c r="Y507" s="713"/>
      <c r="Z507" s="713"/>
      <c r="AA507" s="707"/>
      <c r="AB507" s="707"/>
      <c r="AC507" s="707"/>
      <c r="AD507" s="707"/>
      <c r="AE507" s="707"/>
      <c r="AF507" s="707"/>
      <c r="AG507" s="707"/>
      <c r="AH507" s="707"/>
      <c r="AI507" s="707"/>
      <c r="AJ507" s="707"/>
      <c r="AK507" s="707"/>
      <c r="AL507" s="707"/>
      <c r="AM507" s="707"/>
      <c r="AN507" s="707"/>
      <c r="AO507" s="707"/>
      <c r="AP507" s="707"/>
      <c r="AQ507" s="707"/>
      <c r="AR507" s="707"/>
      <c r="AS507" s="707"/>
      <c r="AT507" s="707"/>
      <c r="AU507" s="707"/>
      <c r="AV507" s="707"/>
      <c r="AW507" s="707"/>
      <c r="AX507" s="707"/>
      <c r="AY507" s="707"/>
      <c r="AZ507" s="707"/>
      <c r="BA507" s="707"/>
      <c r="BB507" s="707"/>
      <c r="BC507" s="707"/>
      <c r="BD507" s="707"/>
      <c r="BE507" s="707"/>
      <c r="BF507" s="707"/>
      <c r="BG507" s="707"/>
      <c r="BH507" s="707"/>
      <c r="BI507" s="707"/>
      <c r="BJ507" s="707"/>
      <c r="BK507" s="707"/>
      <c r="BL507" s="707"/>
      <c r="BM507" s="707"/>
      <c r="BN507" s="707"/>
      <c r="BO507" s="707"/>
      <c r="BP507" s="707"/>
      <c r="BQ507" s="707"/>
      <c r="BR507" s="707"/>
      <c r="BS507" s="707"/>
      <c r="BT507" s="707"/>
      <c r="BU507" s="707"/>
      <c r="BV507" s="707"/>
      <c r="BW507" s="707"/>
      <c r="BX507" s="707"/>
      <c r="BY507" s="707"/>
      <c r="BZ507" s="707"/>
      <c r="CA507" s="707"/>
      <c r="CB507" s="707"/>
      <c r="CC507" s="707"/>
      <c r="CD507" s="707"/>
      <c r="CE507" s="707"/>
      <c r="CF507" s="707"/>
      <c r="CG507" s="707"/>
      <c r="CH507" s="707"/>
      <c r="CI507" s="707"/>
      <c r="CJ507" s="707"/>
      <c r="CK507" s="707"/>
      <c r="CL507" s="707"/>
      <c r="CM507" s="707"/>
      <c r="CN507" s="707"/>
      <c r="CO507" s="707"/>
      <c r="CP507" s="707"/>
      <c r="CQ507" s="707"/>
      <c r="CR507" s="707"/>
      <c r="CS507" s="707"/>
      <c r="CT507" s="707"/>
      <c r="CU507" s="707"/>
      <c r="CV507" s="707"/>
      <c r="CW507" s="707"/>
      <c r="CX507" s="707"/>
      <c r="CY507" s="707"/>
      <c r="CZ507" s="707"/>
      <c r="DA507" s="707"/>
      <c r="DB507" s="707"/>
      <c r="DC507" s="707"/>
      <c r="DD507" s="707"/>
      <c r="DE507" s="707"/>
      <c r="DF507" s="707"/>
      <c r="DG507" s="707"/>
      <c r="DH507" s="707"/>
      <c r="DI507" s="707"/>
      <c r="DJ507" s="707"/>
      <c r="DK507" s="707"/>
      <c r="DL507" s="707"/>
      <c r="DM507" s="707"/>
      <c r="DN507" s="707"/>
      <c r="DO507" s="707"/>
      <c r="DP507" s="707"/>
      <c r="DQ507" s="707"/>
      <c r="DR507" s="707"/>
      <c r="DS507" s="707"/>
      <c r="DT507" s="707"/>
      <c r="DU507" s="707"/>
      <c r="DV507" s="707"/>
      <c r="DW507" s="707"/>
      <c r="DX507" s="707"/>
      <c r="DY507" s="707"/>
      <c r="DZ507" s="707"/>
      <c r="EA507" s="707"/>
      <c r="EB507" s="707"/>
      <c r="EC507" s="707"/>
      <c r="ED507" s="707"/>
      <c r="EE507" s="707"/>
      <c r="EF507" s="707"/>
      <c r="EG507" s="707"/>
      <c r="EH507" s="707"/>
      <c r="EI507" s="707"/>
      <c r="EJ507" s="707"/>
      <c r="EK507" s="707"/>
      <c r="EL507" s="707"/>
      <c r="EM507" s="707"/>
      <c r="EN507" s="707"/>
      <c r="EO507" s="707"/>
      <c r="EP507" s="707"/>
      <c r="EQ507" s="707"/>
      <c r="ER507" s="707"/>
      <c r="ES507" s="707"/>
      <c r="ET507" s="707"/>
      <c r="EU507" s="707"/>
      <c r="EV507" s="707"/>
      <c r="EW507" s="707"/>
      <c r="EX507" s="707"/>
      <c r="EY507" s="707"/>
      <c r="EZ507" s="707"/>
      <c r="FA507" s="707"/>
      <c r="FB507" s="707"/>
      <c r="FC507" s="707"/>
      <c r="FD507" s="707"/>
      <c r="FE507" s="707"/>
      <c r="FF507" s="707"/>
      <c r="FG507" s="707"/>
      <c r="FH507" s="707"/>
      <c r="FI507" s="707"/>
      <c r="FJ507" s="707"/>
      <c r="FK507" s="707"/>
      <c r="FL507" s="707"/>
      <c r="FM507" s="707"/>
      <c r="FN507" s="707"/>
      <c r="FO507" s="707"/>
      <c r="FP507" s="707"/>
      <c r="FQ507" s="707"/>
      <c r="FR507" s="707"/>
      <c r="FS507" s="707"/>
      <c r="FT507" s="707"/>
      <c r="FU507" s="707"/>
      <c r="FV507" s="707"/>
      <c r="FW507" s="707"/>
      <c r="FX507" s="707"/>
      <c r="FY507" s="707"/>
      <c r="FZ507" s="707"/>
      <c r="GA507" s="707"/>
      <c r="GB507" s="707"/>
      <c r="GC507" s="707"/>
      <c r="GD507" s="707"/>
      <c r="GE507" s="707"/>
      <c r="GF507" s="707"/>
      <c r="GG507" s="707"/>
      <c r="GH507" s="707"/>
      <c r="GI507" s="707"/>
      <c r="GJ507" s="707"/>
      <c r="GK507" s="707"/>
      <c r="GL507" s="707"/>
      <c r="GM507" s="707"/>
      <c r="GN507" s="707"/>
      <c r="GO507" s="707"/>
      <c r="GP507" s="707"/>
      <c r="GQ507" s="707"/>
      <c r="GR507" s="707"/>
      <c r="GS507" s="707"/>
      <c r="GT507" s="707"/>
      <c r="GU507" s="707"/>
      <c r="GV507" s="707"/>
      <c r="GW507" s="707"/>
      <c r="GX507" s="707"/>
      <c r="GY507" s="707"/>
      <c r="GZ507" s="707"/>
      <c r="HA507" s="707"/>
      <c r="HB507" s="707"/>
      <c r="HC507" s="707"/>
      <c r="HD507" s="707"/>
      <c r="HE507" s="707"/>
      <c r="HF507" s="707"/>
      <c r="HG507" s="707"/>
      <c r="HH507" s="707"/>
      <c r="HI507" s="707"/>
      <c r="HJ507" s="707"/>
      <c r="HK507" s="707"/>
      <c r="HL507" s="707"/>
      <c r="HM507" s="707"/>
      <c r="HN507" s="707"/>
      <c r="HO507" s="707"/>
      <c r="HP507" s="707"/>
      <c r="HQ507" s="707"/>
      <c r="HR507" s="707"/>
      <c r="HS507" s="707"/>
      <c r="HT507" s="707"/>
      <c r="HU507" s="707"/>
      <c r="HV507" s="707"/>
      <c r="HW507" s="707"/>
      <c r="HX507" s="707"/>
      <c r="HY507" s="707"/>
      <c r="HZ507" s="707"/>
      <c r="IA507" s="707"/>
      <c r="IB507" s="707"/>
      <c r="IC507" s="707"/>
      <c r="ID507" s="707"/>
      <c r="IE507" s="707"/>
      <c r="IF507" s="707"/>
      <c r="IG507" s="707"/>
      <c r="IH507" s="707"/>
      <c r="II507" s="707"/>
      <c r="IJ507" s="707"/>
      <c r="IK507" s="707"/>
      <c r="IL507" s="707"/>
      <c r="IM507" s="707"/>
      <c r="IN507" s="707"/>
      <c r="IO507" s="707"/>
      <c r="IP507" s="707"/>
      <c r="IQ507" s="707"/>
      <c r="IR507" s="707"/>
      <c r="IS507" s="707"/>
      <c r="IT507" s="707"/>
      <c r="IU507" s="707"/>
      <c r="IV507" s="707"/>
      <c r="IW507" s="707"/>
    </row>
    <row r="508" customFormat="false" ht="12.75" hidden="false" customHeight="false" outlineLevel="1" collapsed="false">
      <c r="A508" s="681"/>
      <c r="B508" s="706"/>
      <c r="C508" s="706"/>
      <c r="D508" s="706"/>
      <c r="E508" s="713"/>
      <c r="F508" s="713"/>
      <c r="G508" s="713"/>
      <c r="H508" s="713"/>
      <c r="I508" s="713"/>
      <c r="J508" s="713"/>
      <c r="K508" s="713"/>
      <c r="L508" s="713"/>
      <c r="M508" s="713"/>
      <c r="N508" s="713"/>
      <c r="O508" s="713"/>
      <c r="P508" s="713"/>
      <c r="Q508" s="713"/>
      <c r="R508" s="713"/>
      <c r="S508" s="713"/>
      <c r="T508" s="713"/>
      <c r="U508" s="713"/>
      <c r="V508" s="713"/>
      <c r="W508" s="713"/>
      <c r="X508" s="713"/>
      <c r="Y508" s="713"/>
      <c r="Z508" s="713"/>
      <c r="AA508" s="707"/>
      <c r="AB508" s="707"/>
      <c r="AC508" s="707"/>
      <c r="AD508" s="707"/>
      <c r="AE508" s="707"/>
      <c r="AF508" s="707"/>
      <c r="AG508" s="707"/>
      <c r="AH508" s="707"/>
      <c r="AI508" s="707"/>
      <c r="AJ508" s="707"/>
      <c r="AK508" s="707"/>
      <c r="AL508" s="707"/>
      <c r="AM508" s="707"/>
      <c r="AN508" s="707"/>
      <c r="AO508" s="707"/>
      <c r="AP508" s="707"/>
      <c r="AQ508" s="707"/>
      <c r="AR508" s="707"/>
      <c r="AS508" s="707"/>
      <c r="AT508" s="707"/>
      <c r="AU508" s="707"/>
      <c r="AV508" s="707"/>
      <c r="AW508" s="707"/>
      <c r="AX508" s="707"/>
      <c r="AY508" s="707"/>
      <c r="AZ508" s="707"/>
      <c r="BA508" s="707"/>
      <c r="BB508" s="707"/>
      <c r="BC508" s="707"/>
      <c r="BD508" s="707"/>
      <c r="BE508" s="707"/>
      <c r="BF508" s="707"/>
      <c r="BG508" s="707"/>
      <c r="BH508" s="707"/>
      <c r="BI508" s="707"/>
      <c r="BJ508" s="707"/>
      <c r="BK508" s="707"/>
      <c r="BL508" s="707"/>
      <c r="BM508" s="707"/>
      <c r="BN508" s="707"/>
      <c r="BO508" s="707"/>
      <c r="BP508" s="707"/>
      <c r="BQ508" s="707"/>
      <c r="BR508" s="707"/>
      <c r="BS508" s="707"/>
      <c r="BT508" s="707"/>
      <c r="BU508" s="707"/>
      <c r="BV508" s="707"/>
      <c r="BW508" s="707"/>
      <c r="BX508" s="707"/>
      <c r="BY508" s="707"/>
      <c r="BZ508" s="707"/>
      <c r="CA508" s="707"/>
      <c r="CB508" s="707"/>
      <c r="CC508" s="707"/>
      <c r="CD508" s="707"/>
      <c r="CE508" s="707"/>
      <c r="CF508" s="707"/>
      <c r="CG508" s="707"/>
      <c r="CH508" s="707"/>
      <c r="CI508" s="707"/>
      <c r="CJ508" s="707"/>
      <c r="CK508" s="707"/>
      <c r="CL508" s="707"/>
      <c r="CM508" s="707"/>
      <c r="CN508" s="707"/>
      <c r="CO508" s="707"/>
      <c r="CP508" s="707"/>
      <c r="CQ508" s="707"/>
      <c r="CR508" s="707"/>
      <c r="CS508" s="707"/>
      <c r="CT508" s="707"/>
      <c r="CU508" s="707"/>
      <c r="CV508" s="707"/>
      <c r="CW508" s="707"/>
      <c r="CX508" s="707"/>
      <c r="CY508" s="707"/>
      <c r="CZ508" s="707"/>
      <c r="DA508" s="707"/>
      <c r="DB508" s="707"/>
      <c r="DC508" s="707"/>
      <c r="DD508" s="707"/>
      <c r="DE508" s="707"/>
      <c r="DF508" s="707"/>
      <c r="DG508" s="707"/>
      <c r="DH508" s="707"/>
      <c r="DI508" s="707"/>
      <c r="DJ508" s="707"/>
      <c r="DK508" s="707"/>
      <c r="DL508" s="707"/>
      <c r="DM508" s="707"/>
      <c r="DN508" s="707"/>
      <c r="DO508" s="707"/>
      <c r="DP508" s="707"/>
      <c r="DQ508" s="707"/>
      <c r="DR508" s="707"/>
      <c r="DS508" s="707"/>
      <c r="DT508" s="707"/>
      <c r="DU508" s="707"/>
      <c r="DV508" s="707"/>
      <c r="DW508" s="707"/>
      <c r="DX508" s="707"/>
      <c r="DY508" s="707"/>
      <c r="DZ508" s="707"/>
      <c r="EA508" s="707"/>
      <c r="EB508" s="707"/>
      <c r="EC508" s="707"/>
      <c r="ED508" s="707"/>
      <c r="EE508" s="707"/>
      <c r="EF508" s="707"/>
      <c r="EG508" s="707"/>
      <c r="EH508" s="707"/>
      <c r="EI508" s="707"/>
      <c r="EJ508" s="707"/>
      <c r="EK508" s="707"/>
      <c r="EL508" s="707"/>
      <c r="EM508" s="707"/>
      <c r="EN508" s="707"/>
      <c r="EO508" s="707"/>
      <c r="EP508" s="707"/>
      <c r="EQ508" s="707"/>
      <c r="ER508" s="707"/>
      <c r="ES508" s="707"/>
      <c r="ET508" s="707"/>
      <c r="EU508" s="707"/>
      <c r="EV508" s="707"/>
      <c r="EW508" s="707"/>
      <c r="EX508" s="707"/>
      <c r="EY508" s="707"/>
      <c r="EZ508" s="707"/>
      <c r="FA508" s="707"/>
      <c r="FB508" s="707"/>
      <c r="FC508" s="707"/>
      <c r="FD508" s="707"/>
      <c r="FE508" s="707"/>
      <c r="FF508" s="707"/>
      <c r="FG508" s="707"/>
      <c r="FH508" s="707"/>
      <c r="FI508" s="707"/>
      <c r="FJ508" s="707"/>
      <c r="FK508" s="707"/>
      <c r="FL508" s="707"/>
      <c r="FM508" s="707"/>
      <c r="FN508" s="707"/>
      <c r="FO508" s="707"/>
      <c r="FP508" s="707"/>
      <c r="FQ508" s="707"/>
      <c r="FR508" s="707"/>
      <c r="FS508" s="707"/>
      <c r="FT508" s="707"/>
      <c r="FU508" s="707"/>
      <c r="FV508" s="707"/>
      <c r="FW508" s="707"/>
      <c r="FX508" s="707"/>
      <c r="FY508" s="707"/>
      <c r="FZ508" s="707"/>
      <c r="GA508" s="707"/>
      <c r="GB508" s="707"/>
      <c r="GC508" s="707"/>
      <c r="GD508" s="707"/>
      <c r="GE508" s="707"/>
      <c r="GF508" s="707"/>
      <c r="GG508" s="707"/>
      <c r="GH508" s="707"/>
      <c r="GI508" s="707"/>
      <c r="GJ508" s="707"/>
      <c r="GK508" s="707"/>
      <c r="GL508" s="707"/>
      <c r="GM508" s="707"/>
      <c r="GN508" s="707"/>
      <c r="GO508" s="707"/>
      <c r="GP508" s="707"/>
      <c r="GQ508" s="707"/>
      <c r="GR508" s="707"/>
      <c r="GS508" s="707"/>
      <c r="GT508" s="707"/>
      <c r="GU508" s="707"/>
      <c r="GV508" s="707"/>
      <c r="GW508" s="707"/>
      <c r="GX508" s="707"/>
      <c r="GY508" s="707"/>
      <c r="GZ508" s="707"/>
      <c r="HA508" s="707"/>
      <c r="HB508" s="707"/>
      <c r="HC508" s="707"/>
      <c r="HD508" s="707"/>
      <c r="HE508" s="707"/>
      <c r="HF508" s="707"/>
      <c r="HG508" s="707"/>
      <c r="HH508" s="707"/>
      <c r="HI508" s="707"/>
      <c r="HJ508" s="707"/>
      <c r="HK508" s="707"/>
      <c r="HL508" s="707"/>
      <c r="HM508" s="707"/>
      <c r="HN508" s="707"/>
      <c r="HO508" s="707"/>
      <c r="HP508" s="707"/>
      <c r="HQ508" s="707"/>
      <c r="HR508" s="707"/>
      <c r="HS508" s="707"/>
      <c r="HT508" s="707"/>
      <c r="HU508" s="707"/>
      <c r="HV508" s="707"/>
      <c r="HW508" s="707"/>
      <c r="HX508" s="707"/>
      <c r="HY508" s="707"/>
      <c r="HZ508" s="707"/>
      <c r="IA508" s="707"/>
      <c r="IB508" s="707"/>
      <c r="IC508" s="707"/>
      <c r="ID508" s="707"/>
      <c r="IE508" s="707"/>
      <c r="IF508" s="707"/>
      <c r="IG508" s="707"/>
      <c r="IH508" s="707"/>
      <c r="II508" s="707"/>
      <c r="IJ508" s="707"/>
      <c r="IK508" s="707"/>
      <c r="IL508" s="707"/>
      <c r="IM508" s="707"/>
      <c r="IN508" s="707"/>
      <c r="IO508" s="707"/>
      <c r="IP508" s="707"/>
      <c r="IQ508" s="707"/>
      <c r="IR508" s="707"/>
      <c r="IS508" s="707"/>
      <c r="IT508" s="707"/>
      <c r="IU508" s="707"/>
      <c r="IV508" s="707"/>
      <c r="IW508" s="707"/>
    </row>
    <row r="509" customFormat="false" ht="12.75" hidden="false" customHeight="false" outlineLevel="1" collapsed="false">
      <c r="A509" s="681"/>
      <c r="B509" s="706"/>
      <c r="C509" s="706"/>
      <c r="D509" s="706"/>
      <c r="E509" s="713"/>
      <c r="F509" s="713"/>
      <c r="G509" s="713"/>
      <c r="H509" s="713"/>
      <c r="I509" s="713"/>
      <c r="J509" s="713"/>
      <c r="K509" s="713"/>
      <c r="L509" s="713"/>
      <c r="M509" s="713"/>
      <c r="N509" s="713"/>
      <c r="O509" s="713"/>
      <c r="P509" s="713"/>
      <c r="Q509" s="713"/>
      <c r="R509" s="713"/>
      <c r="S509" s="713"/>
      <c r="T509" s="713"/>
      <c r="U509" s="713"/>
      <c r="V509" s="713"/>
      <c r="W509" s="713"/>
      <c r="X509" s="713"/>
      <c r="Y509" s="713"/>
      <c r="Z509" s="713"/>
      <c r="AA509" s="707"/>
      <c r="AB509" s="707"/>
      <c r="AC509" s="707"/>
      <c r="AD509" s="707"/>
      <c r="AE509" s="707"/>
      <c r="AF509" s="707"/>
      <c r="AG509" s="707"/>
      <c r="AH509" s="707"/>
      <c r="AI509" s="707"/>
      <c r="AJ509" s="707"/>
      <c r="AK509" s="707"/>
      <c r="AL509" s="707"/>
      <c r="AM509" s="707"/>
      <c r="AN509" s="707"/>
      <c r="AO509" s="707"/>
      <c r="AP509" s="707"/>
      <c r="AQ509" s="707"/>
      <c r="AR509" s="707"/>
      <c r="AS509" s="707"/>
      <c r="AT509" s="707"/>
      <c r="AU509" s="707"/>
      <c r="AV509" s="707"/>
      <c r="AW509" s="707"/>
      <c r="AX509" s="707"/>
      <c r="AY509" s="707"/>
      <c r="AZ509" s="707"/>
      <c r="BA509" s="707"/>
      <c r="BB509" s="707"/>
      <c r="BC509" s="707"/>
      <c r="BD509" s="707"/>
      <c r="BE509" s="707"/>
      <c r="BF509" s="707"/>
      <c r="BG509" s="707"/>
      <c r="BH509" s="707"/>
      <c r="BI509" s="707"/>
      <c r="BJ509" s="707"/>
      <c r="BK509" s="707"/>
      <c r="BL509" s="707"/>
      <c r="BM509" s="707"/>
      <c r="BN509" s="707"/>
      <c r="BO509" s="707"/>
      <c r="BP509" s="707"/>
      <c r="BQ509" s="707"/>
      <c r="BR509" s="707"/>
      <c r="BS509" s="707"/>
      <c r="BT509" s="707"/>
      <c r="BU509" s="707"/>
      <c r="BV509" s="707"/>
      <c r="BW509" s="707"/>
      <c r="BX509" s="707"/>
      <c r="BY509" s="707"/>
      <c r="BZ509" s="707"/>
      <c r="CA509" s="707"/>
      <c r="CB509" s="707"/>
      <c r="CC509" s="707"/>
      <c r="CD509" s="707"/>
      <c r="CE509" s="707"/>
      <c r="CF509" s="707"/>
      <c r="CG509" s="707"/>
      <c r="CH509" s="707"/>
      <c r="CI509" s="707"/>
      <c r="CJ509" s="707"/>
      <c r="CK509" s="707"/>
      <c r="CL509" s="707"/>
      <c r="CM509" s="707"/>
      <c r="CN509" s="707"/>
      <c r="CO509" s="707"/>
      <c r="CP509" s="707"/>
      <c r="CQ509" s="707"/>
      <c r="CR509" s="707"/>
      <c r="CS509" s="707"/>
      <c r="CT509" s="707"/>
      <c r="CU509" s="707"/>
      <c r="CV509" s="707"/>
      <c r="CW509" s="707"/>
      <c r="CX509" s="707"/>
      <c r="CY509" s="707"/>
      <c r="CZ509" s="707"/>
      <c r="DA509" s="707"/>
      <c r="DB509" s="707"/>
      <c r="DC509" s="707"/>
      <c r="DD509" s="707"/>
      <c r="DE509" s="707"/>
      <c r="DF509" s="707"/>
      <c r="DG509" s="707"/>
      <c r="DH509" s="707"/>
      <c r="DI509" s="707"/>
      <c r="DJ509" s="707"/>
      <c r="DK509" s="707"/>
      <c r="DL509" s="707"/>
      <c r="DM509" s="707"/>
      <c r="DN509" s="707"/>
      <c r="DO509" s="707"/>
      <c r="DP509" s="707"/>
      <c r="DQ509" s="707"/>
      <c r="DR509" s="707"/>
      <c r="DS509" s="707"/>
      <c r="DT509" s="707"/>
      <c r="DU509" s="707"/>
      <c r="DV509" s="707"/>
      <c r="DW509" s="707"/>
      <c r="DX509" s="707"/>
      <c r="DY509" s="707"/>
      <c r="DZ509" s="707"/>
      <c r="EA509" s="707"/>
      <c r="EB509" s="707"/>
      <c r="EC509" s="707"/>
      <c r="ED509" s="707"/>
      <c r="EE509" s="707"/>
      <c r="EF509" s="707"/>
      <c r="EG509" s="707"/>
      <c r="EH509" s="707"/>
      <c r="EI509" s="707"/>
      <c r="EJ509" s="707"/>
      <c r="EK509" s="707"/>
      <c r="EL509" s="707"/>
      <c r="EM509" s="707"/>
      <c r="EN509" s="707"/>
      <c r="EO509" s="707"/>
      <c r="EP509" s="707"/>
      <c r="EQ509" s="707"/>
      <c r="ER509" s="707"/>
      <c r="ES509" s="707"/>
      <c r="ET509" s="707"/>
      <c r="EU509" s="707"/>
      <c r="EV509" s="707"/>
      <c r="EW509" s="707"/>
      <c r="EX509" s="707"/>
      <c r="EY509" s="707"/>
      <c r="EZ509" s="707"/>
      <c r="FA509" s="707"/>
      <c r="FB509" s="707"/>
      <c r="FC509" s="707"/>
      <c r="FD509" s="707"/>
      <c r="FE509" s="707"/>
      <c r="FF509" s="707"/>
      <c r="FG509" s="707"/>
      <c r="FH509" s="707"/>
      <c r="FI509" s="707"/>
      <c r="FJ509" s="707"/>
      <c r="FK509" s="707"/>
      <c r="FL509" s="707"/>
      <c r="FM509" s="707"/>
      <c r="FN509" s="707"/>
      <c r="FO509" s="707"/>
      <c r="FP509" s="707"/>
      <c r="FQ509" s="707"/>
      <c r="FR509" s="707"/>
      <c r="FS509" s="707"/>
      <c r="FT509" s="707"/>
      <c r="FU509" s="707"/>
      <c r="FV509" s="707"/>
      <c r="FW509" s="707"/>
      <c r="FX509" s="707"/>
      <c r="FY509" s="707"/>
      <c r="FZ509" s="707"/>
      <c r="GA509" s="707"/>
      <c r="GB509" s="707"/>
      <c r="GC509" s="707"/>
      <c r="GD509" s="707"/>
      <c r="GE509" s="707"/>
      <c r="GF509" s="707"/>
      <c r="GG509" s="707"/>
      <c r="GH509" s="707"/>
      <c r="GI509" s="707"/>
      <c r="GJ509" s="707"/>
      <c r="GK509" s="707"/>
      <c r="GL509" s="707"/>
      <c r="GM509" s="707"/>
      <c r="GN509" s="707"/>
      <c r="GO509" s="707"/>
      <c r="GP509" s="707"/>
      <c r="GQ509" s="707"/>
      <c r="GR509" s="707"/>
      <c r="GS509" s="707"/>
      <c r="GT509" s="707"/>
      <c r="GU509" s="707"/>
      <c r="GV509" s="707"/>
      <c r="GW509" s="707"/>
      <c r="GX509" s="707"/>
      <c r="GY509" s="707"/>
      <c r="GZ509" s="707"/>
      <c r="HA509" s="707"/>
      <c r="HB509" s="707"/>
      <c r="HC509" s="707"/>
      <c r="HD509" s="707"/>
      <c r="HE509" s="707"/>
      <c r="HF509" s="707"/>
      <c r="HG509" s="707"/>
      <c r="HH509" s="707"/>
      <c r="HI509" s="707"/>
      <c r="HJ509" s="707"/>
      <c r="HK509" s="707"/>
      <c r="HL509" s="707"/>
      <c r="HM509" s="707"/>
      <c r="HN509" s="707"/>
      <c r="HO509" s="707"/>
      <c r="HP509" s="707"/>
      <c r="HQ509" s="707"/>
      <c r="HR509" s="707"/>
      <c r="HS509" s="707"/>
      <c r="HT509" s="707"/>
      <c r="HU509" s="707"/>
      <c r="HV509" s="707"/>
      <c r="HW509" s="707"/>
      <c r="HX509" s="707"/>
      <c r="HY509" s="707"/>
      <c r="HZ509" s="707"/>
      <c r="IA509" s="707"/>
      <c r="IB509" s="707"/>
      <c r="IC509" s="707"/>
      <c r="ID509" s="707"/>
      <c r="IE509" s="707"/>
      <c r="IF509" s="707"/>
      <c r="IG509" s="707"/>
      <c r="IH509" s="707"/>
      <c r="II509" s="707"/>
      <c r="IJ509" s="707"/>
      <c r="IK509" s="707"/>
      <c r="IL509" s="707"/>
      <c r="IM509" s="707"/>
      <c r="IN509" s="707"/>
      <c r="IO509" s="707"/>
      <c r="IP509" s="707"/>
      <c r="IQ509" s="707"/>
      <c r="IR509" s="707"/>
      <c r="IS509" s="707"/>
      <c r="IT509" s="707"/>
      <c r="IU509" s="707"/>
      <c r="IV509" s="707"/>
      <c r="IW509" s="707"/>
    </row>
    <row r="510" customFormat="false" ht="12.75" hidden="false" customHeight="false" outlineLevel="1" collapsed="false">
      <c r="A510" s="681"/>
      <c r="B510" s="706"/>
      <c r="C510" s="706"/>
      <c r="D510" s="706"/>
      <c r="E510" s="713"/>
      <c r="F510" s="713"/>
      <c r="G510" s="713"/>
      <c r="H510" s="713"/>
      <c r="I510" s="713"/>
      <c r="J510" s="713"/>
      <c r="K510" s="713"/>
      <c r="L510" s="713"/>
      <c r="M510" s="713"/>
      <c r="N510" s="713"/>
      <c r="O510" s="713"/>
      <c r="P510" s="713"/>
      <c r="Q510" s="713"/>
      <c r="R510" s="713"/>
      <c r="S510" s="713"/>
      <c r="T510" s="713"/>
      <c r="U510" s="713"/>
      <c r="V510" s="713"/>
      <c r="W510" s="713"/>
      <c r="X510" s="713"/>
      <c r="Y510" s="713"/>
      <c r="Z510" s="713"/>
      <c r="AA510" s="707"/>
      <c r="AB510" s="707"/>
      <c r="AC510" s="707"/>
      <c r="AD510" s="707"/>
      <c r="AE510" s="707"/>
      <c r="AF510" s="707"/>
      <c r="AG510" s="707"/>
      <c r="AH510" s="707"/>
      <c r="AI510" s="707"/>
      <c r="AJ510" s="707"/>
      <c r="AK510" s="707"/>
      <c r="AL510" s="707"/>
      <c r="AM510" s="707"/>
      <c r="AN510" s="707"/>
      <c r="AO510" s="707"/>
      <c r="AP510" s="707"/>
      <c r="AQ510" s="707"/>
      <c r="AR510" s="707"/>
      <c r="AS510" s="707"/>
      <c r="AT510" s="707"/>
      <c r="AU510" s="707"/>
      <c r="AV510" s="707"/>
      <c r="AW510" s="707"/>
      <c r="AX510" s="707"/>
      <c r="AY510" s="707"/>
      <c r="AZ510" s="707"/>
      <c r="BA510" s="707"/>
      <c r="BB510" s="707"/>
      <c r="BC510" s="707"/>
      <c r="BD510" s="707"/>
      <c r="BE510" s="707"/>
      <c r="BF510" s="707"/>
      <c r="BG510" s="707"/>
      <c r="BH510" s="707"/>
      <c r="BI510" s="707"/>
      <c r="BJ510" s="707"/>
      <c r="BK510" s="707"/>
      <c r="BL510" s="707"/>
      <c r="BM510" s="707"/>
      <c r="BN510" s="707"/>
      <c r="BO510" s="707"/>
      <c r="BP510" s="707"/>
      <c r="BQ510" s="707"/>
      <c r="BR510" s="707"/>
      <c r="BS510" s="707"/>
      <c r="BT510" s="707"/>
      <c r="BU510" s="707"/>
      <c r="BV510" s="707"/>
      <c r="BW510" s="707"/>
      <c r="BX510" s="707"/>
      <c r="BY510" s="707"/>
      <c r="BZ510" s="707"/>
      <c r="CA510" s="707"/>
      <c r="CB510" s="707"/>
      <c r="CC510" s="707"/>
      <c r="CD510" s="707"/>
      <c r="CE510" s="707"/>
      <c r="CF510" s="707"/>
      <c r="CG510" s="707"/>
      <c r="CH510" s="707"/>
      <c r="CI510" s="707"/>
      <c r="CJ510" s="707"/>
      <c r="CK510" s="707"/>
      <c r="CL510" s="707"/>
      <c r="CM510" s="707"/>
      <c r="CN510" s="707"/>
      <c r="CO510" s="707"/>
      <c r="CP510" s="707"/>
      <c r="CQ510" s="707"/>
      <c r="CR510" s="707"/>
      <c r="CS510" s="707"/>
      <c r="CT510" s="707"/>
      <c r="CU510" s="707"/>
      <c r="CV510" s="707"/>
      <c r="CW510" s="707"/>
      <c r="CX510" s="707"/>
      <c r="CY510" s="707"/>
      <c r="CZ510" s="707"/>
      <c r="DA510" s="707"/>
      <c r="DB510" s="707"/>
      <c r="DC510" s="707"/>
      <c r="DD510" s="707"/>
      <c r="DE510" s="707"/>
      <c r="DF510" s="707"/>
      <c r="DG510" s="707"/>
      <c r="DH510" s="707"/>
      <c r="DI510" s="707"/>
      <c r="DJ510" s="707"/>
      <c r="DK510" s="707"/>
      <c r="DL510" s="707"/>
      <c r="DM510" s="707"/>
      <c r="DN510" s="707"/>
      <c r="DO510" s="707"/>
      <c r="DP510" s="707"/>
      <c r="DQ510" s="707"/>
      <c r="DR510" s="707"/>
      <c r="DS510" s="707"/>
      <c r="DT510" s="707"/>
      <c r="DU510" s="707"/>
      <c r="DV510" s="707"/>
      <c r="DW510" s="707"/>
      <c r="DX510" s="707"/>
      <c r="DY510" s="707"/>
      <c r="DZ510" s="707"/>
      <c r="EA510" s="707"/>
      <c r="EB510" s="707"/>
      <c r="EC510" s="707"/>
      <c r="ED510" s="707"/>
      <c r="EE510" s="707"/>
      <c r="EF510" s="707"/>
      <c r="EG510" s="707"/>
      <c r="EH510" s="707"/>
      <c r="EI510" s="707"/>
      <c r="EJ510" s="707"/>
      <c r="EK510" s="707"/>
      <c r="EL510" s="707"/>
      <c r="EM510" s="707"/>
      <c r="EN510" s="707"/>
      <c r="EO510" s="707"/>
      <c r="EP510" s="707"/>
      <c r="EQ510" s="707"/>
      <c r="ER510" s="707"/>
      <c r="ES510" s="707"/>
      <c r="ET510" s="707"/>
      <c r="EU510" s="707"/>
      <c r="EV510" s="707"/>
      <c r="EW510" s="707"/>
      <c r="EX510" s="707"/>
      <c r="EY510" s="707"/>
      <c r="EZ510" s="707"/>
      <c r="FA510" s="707"/>
      <c r="FB510" s="707"/>
      <c r="FC510" s="707"/>
      <c r="FD510" s="707"/>
      <c r="FE510" s="707"/>
      <c r="FF510" s="707"/>
      <c r="FG510" s="707"/>
      <c r="FH510" s="707"/>
      <c r="FI510" s="707"/>
      <c r="FJ510" s="707"/>
      <c r="FK510" s="707"/>
      <c r="FL510" s="707"/>
      <c r="FM510" s="707"/>
      <c r="FN510" s="707"/>
      <c r="FO510" s="707"/>
      <c r="FP510" s="707"/>
      <c r="FQ510" s="707"/>
      <c r="FR510" s="707"/>
      <c r="FS510" s="707"/>
      <c r="FT510" s="707"/>
      <c r="FU510" s="707"/>
      <c r="FV510" s="707"/>
      <c r="FW510" s="707"/>
      <c r="FX510" s="707"/>
      <c r="FY510" s="707"/>
      <c r="FZ510" s="707"/>
      <c r="GA510" s="707"/>
      <c r="GB510" s="707"/>
      <c r="GC510" s="707"/>
      <c r="GD510" s="707"/>
      <c r="GE510" s="707"/>
      <c r="GF510" s="707"/>
      <c r="GG510" s="707"/>
      <c r="GH510" s="707"/>
      <c r="GI510" s="707"/>
      <c r="GJ510" s="707"/>
      <c r="GK510" s="707"/>
      <c r="GL510" s="707"/>
      <c r="GM510" s="707"/>
      <c r="GN510" s="707"/>
      <c r="GO510" s="707"/>
      <c r="GP510" s="707"/>
      <c r="GQ510" s="707"/>
      <c r="GR510" s="707"/>
      <c r="GS510" s="707"/>
      <c r="GT510" s="707"/>
      <c r="GU510" s="707"/>
      <c r="GV510" s="707"/>
      <c r="GW510" s="707"/>
      <c r="GX510" s="707"/>
      <c r="GY510" s="707"/>
      <c r="GZ510" s="707"/>
      <c r="HA510" s="707"/>
      <c r="HB510" s="707"/>
      <c r="HC510" s="707"/>
      <c r="HD510" s="707"/>
      <c r="HE510" s="707"/>
      <c r="HF510" s="707"/>
      <c r="HG510" s="707"/>
      <c r="HH510" s="707"/>
      <c r="HI510" s="707"/>
      <c r="HJ510" s="707"/>
      <c r="HK510" s="707"/>
      <c r="HL510" s="707"/>
      <c r="HM510" s="707"/>
      <c r="HN510" s="707"/>
      <c r="HO510" s="707"/>
      <c r="HP510" s="707"/>
      <c r="HQ510" s="707"/>
      <c r="HR510" s="707"/>
      <c r="HS510" s="707"/>
      <c r="HT510" s="707"/>
      <c r="HU510" s="707"/>
      <c r="HV510" s="707"/>
      <c r="HW510" s="707"/>
      <c r="HX510" s="707"/>
      <c r="HY510" s="707"/>
      <c r="HZ510" s="707"/>
      <c r="IA510" s="707"/>
      <c r="IB510" s="707"/>
      <c r="IC510" s="707"/>
      <c r="ID510" s="707"/>
      <c r="IE510" s="707"/>
      <c r="IF510" s="707"/>
      <c r="IG510" s="707"/>
      <c r="IH510" s="707"/>
      <c r="II510" s="707"/>
      <c r="IJ510" s="707"/>
      <c r="IK510" s="707"/>
      <c r="IL510" s="707"/>
      <c r="IM510" s="707"/>
      <c r="IN510" s="707"/>
      <c r="IO510" s="707"/>
      <c r="IP510" s="707"/>
      <c r="IQ510" s="707"/>
      <c r="IR510" s="707"/>
      <c r="IS510" s="707"/>
      <c r="IT510" s="707"/>
      <c r="IU510" s="707"/>
      <c r="IV510" s="707"/>
      <c r="IW510" s="707"/>
    </row>
    <row r="511" customFormat="false" ht="12.75" hidden="false" customHeight="false" outlineLevel="1" collapsed="false">
      <c r="A511" s="367"/>
      <c r="B511" s="706"/>
      <c r="C511" s="706"/>
      <c r="D511" s="706"/>
      <c r="E511" s="713"/>
      <c r="F511" s="713"/>
      <c r="G511" s="713"/>
      <c r="H511" s="713"/>
      <c r="I511" s="713"/>
      <c r="J511" s="713"/>
      <c r="K511" s="713"/>
      <c r="L511" s="713"/>
      <c r="M511" s="713"/>
      <c r="N511" s="713"/>
      <c r="O511" s="713"/>
      <c r="P511" s="713"/>
      <c r="Q511" s="713"/>
      <c r="R511" s="713"/>
      <c r="S511" s="713"/>
      <c r="T511" s="713"/>
      <c r="U511" s="713"/>
      <c r="V511" s="713"/>
      <c r="W511" s="713"/>
      <c r="X511" s="713"/>
      <c r="Y511" s="713"/>
      <c r="Z511" s="713"/>
      <c r="AA511" s="707"/>
      <c r="AB511" s="707"/>
      <c r="AC511" s="707"/>
      <c r="AD511" s="707"/>
      <c r="AE511" s="707"/>
      <c r="AF511" s="707"/>
      <c r="AG511" s="707"/>
      <c r="AH511" s="707"/>
      <c r="AI511" s="707"/>
      <c r="AJ511" s="707"/>
      <c r="AK511" s="707"/>
      <c r="AL511" s="707"/>
      <c r="AM511" s="707"/>
      <c r="AN511" s="707"/>
      <c r="AO511" s="707"/>
      <c r="AP511" s="707"/>
      <c r="AQ511" s="707"/>
      <c r="AR511" s="707"/>
      <c r="AS511" s="707"/>
      <c r="AT511" s="707"/>
      <c r="AU511" s="707"/>
      <c r="AV511" s="707"/>
      <c r="AW511" s="707"/>
      <c r="AX511" s="707"/>
      <c r="AY511" s="707"/>
      <c r="AZ511" s="707"/>
      <c r="BA511" s="707"/>
      <c r="BB511" s="707"/>
      <c r="BC511" s="707"/>
      <c r="BD511" s="707"/>
      <c r="BE511" s="707"/>
      <c r="BF511" s="707"/>
      <c r="BG511" s="707"/>
      <c r="BH511" s="707"/>
      <c r="BI511" s="707"/>
      <c r="BJ511" s="707"/>
      <c r="BK511" s="707"/>
      <c r="BL511" s="707"/>
      <c r="BM511" s="707"/>
      <c r="BN511" s="707"/>
      <c r="BO511" s="707"/>
      <c r="BP511" s="707"/>
      <c r="BQ511" s="707"/>
      <c r="BR511" s="707"/>
      <c r="BS511" s="707"/>
      <c r="BT511" s="707"/>
      <c r="BU511" s="707"/>
      <c r="BV511" s="707"/>
      <c r="BW511" s="707"/>
      <c r="BX511" s="707"/>
      <c r="BY511" s="707"/>
      <c r="BZ511" s="707"/>
      <c r="CA511" s="707"/>
      <c r="CB511" s="707"/>
      <c r="CC511" s="707"/>
      <c r="CD511" s="707"/>
      <c r="CE511" s="707"/>
      <c r="CF511" s="707"/>
      <c r="CG511" s="707"/>
      <c r="CH511" s="707"/>
      <c r="CI511" s="707"/>
      <c r="CJ511" s="707"/>
      <c r="CK511" s="707"/>
      <c r="CL511" s="707"/>
      <c r="CM511" s="707"/>
      <c r="CN511" s="707"/>
      <c r="CO511" s="707"/>
      <c r="CP511" s="707"/>
      <c r="CQ511" s="707"/>
      <c r="CR511" s="707"/>
      <c r="CS511" s="707"/>
      <c r="CT511" s="707"/>
      <c r="CU511" s="707"/>
      <c r="CV511" s="707"/>
      <c r="CW511" s="707"/>
      <c r="CX511" s="707"/>
      <c r="CY511" s="707"/>
      <c r="CZ511" s="707"/>
      <c r="DA511" s="707"/>
      <c r="DB511" s="707"/>
      <c r="DC511" s="707"/>
      <c r="DD511" s="707"/>
      <c r="DE511" s="707"/>
      <c r="DF511" s="707"/>
      <c r="DG511" s="707"/>
      <c r="DH511" s="707"/>
      <c r="DI511" s="707"/>
      <c r="DJ511" s="707"/>
      <c r="DK511" s="707"/>
      <c r="DL511" s="707"/>
      <c r="DM511" s="707"/>
      <c r="DN511" s="707"/>
      <c r="DO511" s="707"/>
      <c r="DP511" s="707"/>
      <c r="DQ511" s="707"/>
      <c r="DR511" s="707"/>
      <c r="DS511" s="707"/>
      <c r="DT511" s="707"/>
      <c r="DU511" s="707"/>
      <c r="DV511" s="707"/>
      <c r="DW511" s="707"/>
      <c r="DX511" s="707"/>
      <c r="DY511" s="707"/>
      <c r="DZ511" s="707"/>
      <c r="EA511" s="707"/>
      <c r="EB511" s="707"/>
      <c r="EC511" s="707"/>
      <c r="ED511" s="707"/>
      <c r="EE511" s="707"/>
      <c r="EF511" s="707"/>
      <c r="EG511" s="707"/>
      <c r="EH511" s="707"/>
      <c r="EI511" s="707"/>
      <c r="EJ511" s="707"/>
      <c r="EK511" s="707"/>
      <c r="EL511" s="707"/>
      <c r="EM511" s="707"/>
      <c r="EN511" s="707"/>
      <c r="EO511" s="707"/>
      <c r="EP511" s="707"/>
      <c r="EQ511" s="707"/>
      <c r="ER511" s="707"/>
      <c r="ES511" s="707"/>
      <c r="ET511" s="707"/>
      <c r="EU511" s="707"/>
      <c r="EV511" s="707"/>
      <c r="EW511" s="707"/>
      <c r="EX511" s="707"/>
      <c r="EY511" s="707"/>
      <c r="EZ511" s="707"/>
      <c r="FA511" s="707"/>
      <c r="FB511" s="707"/>
      <c r="FC511" s="707"/>
      <c r="FD511" s="707"/>
      <c r="FE511" s="707"/>
      <c r="FF511" s="707"/>
      <c r="FG511" s="707"/>
      <c r="FH511" s="707"/>
      <c r="FI511" s="707"/>
      <c r="FJ511" s="707"/>
      <c r="FK511" s="707"/>
      <c r="FL511" s="707"/>
      <c r="FM511" s="707"/>
      <c r="FN511" s="707"/>
      <c r="FO511" s="707"/>
      <c r="FP511" s="707"/>
      <c r="FQ511" s="707"/>
      <c r="FR511" s="707"/>
      <c r="FS511" s="707"/>
      <c r="FT511" s="707"/>
      <c r="FU511" s="707"/>
      <c r="FV511" s="707"/>
      <c r="FW511" s="707"/>
      <c r="FX511" s="707"/>
      <c r="FY511" s="707"/>
      <c r="FZ511" s="707"/>
      <c r="GA511" s="707"/>
      <c r="GB511" s="707"/>
      <c r="GC511" s="707"/>
      <c r="GD511" s="707"/>
      <c r="GE511" s="707"/>
      <c r="GF511" s="707"/>
      <c r="GG511" s="707"/>
      <c r="GH511" s="707"/>
      <c r="GI511" s="707"/>
      <c r="GJ511" s="707"/>
      <c r="GK511" s="707"/>
      <c r="GL511" s="707"/>
      <c r="GM511" s="707"/>
      <c r="GN511" s="707"/>
      <c r="GO511" s="707"/>
      <c r="GP511" s="707"/>
      <c r="GQ511" s="707"/>
      <c r="GR511" s="707"/>
      <c r="GS511" s="707"/>
      <c r="GT511" s="707"/>
      <c r="GU511" s="707"/>
      <c r="GV511" s="707"/>
      <c r="GW511" s="707"/>
      <c r="GX511" s="707"/>
      <c r="GY511" s="707"/>
      <c r="GZ511" s="707"/>
      <c r="HA511" s="707"/>
      <c r="HB511" s="707"/>
      <c r="HC511" s="707"/>
      <c r="HD511" s="707"/>
      <c r="HE511" s="707"/>
      <c r="HF511" s="707"/>
      <c r="HG511" s="707"/>
      <c r="HH511" s="707"/>
      <c r="HI511" s="707"/>
      <c r="HJ511" s="707"/>
      <c r="HK511" s="707"/>
      <c r="HL511" s="707"/>
      <c r="HM511" s="707"/>
      <c r="HN511" s="707"/>
      <c r="HO511" s="707"/>
      <c r="HP511" s="707"/>
      <c r="HQ511" s="707"/>
      <c r="HR511" s="707"/>
      <c r="HS511" s="707"/>
      <c r="HT511" s="707"/>
      <c r="HU511" s="707"/>
      <c r="HV511" s="707"/>
      <c r="HW511" s="707"/>
      <c r="HX511" s="707"/>
      <c r="HY511" s="707"/>
      <c r="HZ511" s="707"/>
      <c r="IA511" s="707"/>
      <c r="IB511" s="707"/>
      <c r="IC511" s="707"/>
      <c r="ID511" s="707"/>
      <c r="IE511" s="707"/>
      <c r="IF511" s="707"/>
      <c r="IG511" s="707"/>
      <c r="IH511" s="707"/>
      <c r="II511" s="707"/>
      <c r="IJ511" s="707"/>
      <c r="IK511" s="707"/>
      <c r="IL511" s="707"/>
      <c r="IM511" s="707"/>
      <c r="IN511" s="707"/>
      <c r="IO511" s="707"/>
      <c r="IP511" s="707"/>
      <c r="IQ511" s="707"/>
      <c r="IR511" s="707"/>
      <c r="IS511" s="707"/>
      <c r="IT511" s="707"/>
      <c r="IU511" s="707"/>
      <c r="IV511" s="707"/>
      <c r="IW511" s="707"/>
    </row>
    <row r="512" customFormat="false" ht="12.75" hidden="false" customHeight="false" outlineLevel="1" collapsed="false">
      <c r="A512" s="720"/>
      <c r="B512" s="725"/>
      <c r="C512" s="725"/>
      <c r="D512" s="725"/>
      <c r="E512" s="713"/>
      <c r="F512" s="713"/>
      <c r="G512" s="713"/>
      <c r="H512" s="713"/>
      <c r="I512" s="713"/>
      <c r="J512" s="713"/>
      <c r="K512" s="713"/>
      <c r="L512" s="713"/>
      <c r="M512" s="713"/>
      <c r="N512" s="713"/>
      <c r="O512" s="713"/>
      <c r="P512" s="713"/>
      <c r="Q512" s="713"/>
      <c r="R512" s="713"/>
      <c r="S512" s="713"/>
      <c r="T512" s="713"/>
      <c r="U512" s="713"/>
      <c r="V512" s="713"/>
      <c r="W512" s="713"/>
      <c r="X512" s="713"/>
      <c r="Y512" s="713"/>
      <c r="Z512" s="713"/>
      <c r="AA512" s="722"/>
      <c r="AB512" s="722"/>
      <c r="AC512" s="722"/>
      <c r="AD512" s="722"/>
      <c r="AE512" s="722"/>
      <c r="AF512" s="722"/>
      <c r="AG512" s="722"/>
      <c r="AH512" s="722"/>
      <c r="AI512" s="722"/>
      <c r="AJ512" s="722"/>
      <c r="AK512" s="722"/>
      <c r="AL512" s="722"/>
      <c r="AM512" s="722"/>
      <c r="AN512" s="722"/>
      <c r="AO512" s="722"/>
      <c r="AP512" s="722"/>
      <c r="AQ512" s="722"/>
      <c r="AR512" s="722"/>
      <c r="AS512" s="722"/>
      <c r="AT512" s="722"/>
      <c r="AU512" s="722"/>
      <c r="AV512" s="722"/>
      <c r="AW512" s="722"/>
      <c r="AX512" s="722"/>
      <c r="AY512" s="722"/>
      <c r="AZ512" s="722"/>
      <c r="BA512" s="722"/>
      <c r="BB512" s="722"/>
      <c r="BC512" s="722"/>
      <c r="BD512" s="722"/>
      <c r="BE512" s="722"/>
      <c r="BF512" s="722"/>
      <c r="BG512" s="722"/>
      <c r="BH512" s="722"/>
      <c r="BI512" s="722"/>
      <c r="BJ512" s="722"/>
      <c r="BK512" s="722"/>
      <c r="BL512" s="722"/>
      <c r="BM512" s="722"/>
      <c r="BN512" s="722"/>
      <c r="BO512" s="722"/>
      <c r="BP512" s="722"/>
      <c r="BQ512" s="722"/>
      <c r="BR512" s="722"/>
      <c r="BS512" s="722"/>
      <c r="BT512" s="722"/>
      <c r="BU512" s="722"/>
      <c r="BV512" s="722"/>
      <c r="BW512" s="722"/>
      <c r="BX512" s="722"/>
      <c r="BY512" s="722"/>
      <c r="BZ512" s="722"/>
      <c r="CA512" s="722"/>
      <c r="CB512" s="722"/>
      <c r="CC512" s="722"/>
      <c r="CD512" s="722"/>
      <c r="CE512" s="722"/>
      <c r="CF512" s="722"/>
      <c r="CG512" s="722"/>
      <c r="CH512" s="722"/>
      <c r="CI512" s="722"/>
      <c r="CJ512" s="722"/>
      <c r="CK512" s="722"/>
      <c r="CL512" s="722"/>
      <c r="CM512" s="722"/>
      <c r="CN512" s="722"/>
      <c r="CO512" s="722"/>
      <c r="CP512" s="722"/>
      <c r="CQ512" s="722"/>
      <c r="CR512" s="722"/>
      <c r="CS512" s="722"/>
      <c r="CT512" s="722"/>
      <c r="CU512" s="722"/>
      <c r="CV512" s="722"/>
      <c r="CW512" s="722"/>
      <c r="CX512" s="722"/>
      <c r="CY512" s="722"/>
      <c r="CZ512" s="722"/>
      <c r="DA512" s="722"/>
      <c r="DB512" s="722"/>
      <c r="DC512" s="722"/>
      <c r="DD512" s="722"/>
      <c r="DE512" s="722"/>
      <c r="DF512" s="722"/>
      <c r="DG512" s="722"/>
      <c r="DH512" s="722"/>
      <c r="DI512" s="722"/>
      <c r="DJ512" s="722"/>
      <c r="DK512" s="722"/>
      <c r="DL512" s="722"/>
      <c r="DM512" s="722"/>
      <c r="DN512" s="722"/>
      <c r="DO512" s="722"/>
      <c r="DP512" s="722"/>
      <c r="DQ512" s="722"/>
      <c r="DR512" s="722"/>
      <c r="DS512" s="722"/>
      <c r="DT512" s="722"/>
      <c r="DU512" s="722"/>
      <c r="DV512" s="722"/>
      <c r="DW512" s="722"/>
      <c r="DX512" s="722"/>
      <c r="DY512" s="722"/>
      <c r="DZ512" s="722"/>
      <c r="EA512" s="722"/>
      <c r="EB512" s="722"/>
      <c r="EC512" s="722"/>
      <c r="ED512" s="722"/>
      <c r="EE512" s="722"/>
      <c r="EF512" s="722"/>
      <c r="EG512" s="722"/>
      <c r="EH512" s="722"/>
      <c r="EI512" s="722"/>
      <c r="EJ512" s="722"/>
      <c r="EK512" s="722"/>
      <c r="EL512" s="722"/>
      <c r="EM512" s="722"/>
      <c r="EN512" s="722"/>
      <c r="EO512" s="722"/>
      <c r="EP512" s="722"/>
      <c r="EQ512" s="722"/>
      <c r="ER512" s="722"/>
      <c r="ES512" s="722"/>
      <c r="ET512" s="722"/>
      <c r="EU512" s="722"/>
      <c r="EV512" s="722"/>
      <c r="EW512" s="722"/>
      <c r="EX512" s="722"/>
      <c r="EY512" s="722"/>
      <c r="EZ512" s="722"/>
      <c r="FA512" s="722"/>
      <c r="FB512" s="722"/>
      <c r="FC512" s="722"/>
      <c r="FD512" s="722"/>
      <c r="FE512" s="722"/>
      <c r="FF512" s="722"/>
      <c r="FG512" s="722"/>
      <c r="FH512" s="722"/>
      <c r="FI512" s="722"/>
      <c r="FJ512" s="722"/>
      <c r="FK512" s="722"/>
      <c r="FL512" s="722"/>
      <c r="FM512" s="722"/>
      <c r="FN512" s="722"/>
      <c r="FO512" s="722"/>
      <c r="FP512" s="722"/>
      <c r="FQ512" s="722"/>
      <c r="FR512" s="722"/>
      <c r="FS512" s="722"/>
      <c r="FT512" s="722"/>
      <c r="FU512" s="722"/>
      <c r="FV512" s="722"/>
      <c r="FW512" s="722"/>
      <c r="FX512" s="722"/>
      <c r="FY512" s="722"/>
      <c r="FZ512" s="722"/>
      <c r="GA512" s="722"/>
      <c r="GB512" s="722"/>
      <c r="GC512" s="722"/>
      <c r="GD512" s="722"/>
      <c r="GE512" s="722"/>
      <c r="GF512" s="722"/>
      <c r="GG512" s="722"/>
      <c r="GH512" s="722"/>
      <c r="GI512" s="722"/>
      <c r="GJ512" s="722"/>
      <c r="GK512" s="722"/>
      <c r="GL512" s="722"/>
      <c r="GM512" s="722"/>
      <c r="GN512" s="722"/>
      <c r="GO512" s="722"/>
      <c r="GP512" s="722"/>
      <c r="GQ512" s="722"/>
      <c r="GR512" s="722"/>
      <c r="GS512" s="722"/>
      <c r="GT512" s="722"/>
      <c r="GU512" s="722"/>
      <c r="GV512" s="722"/>
      <c r="GW512" s="722"/>
      <c r="GX512" s="722"/>
      <c r="GY512" s="722"/>
      <c r="GZ512" s="722"/>
      <c r="HA512" s="722"/>
      <c r="HB512" s="722"/>
      <c r="HC512" s="722"/>
      <c r="HD512" s="722"/>
      <c r="HE512" s="722"/>
      <c r="HF512" s="722"/>
      <c r="HG512" s="722"/>
      <c r="HH512" s="722"/>
      <c r="HI512" s="722"/>
      <c r="HJ512" s="722"/>
      <c r="HK512" s="722"/>
      <c r="HL512" s="722"/>
      <c r="HM512" s="722"/>
      <c r="HN512" s="722"/>
      <c r="HO512" s="722"/>
      <c r="HP512" s="722"/>
      <c r="HQ512" s="722"/>
      <c r="HR512" s="722"/>
      <c r="HS512" s="722"/>
      <c r="HT512" s="722"/>
      <c r="HU512" s="722"/>
      <c r="HV512" s="722"/>
      <c r="HW512" s="722"/>
      <c r="HX512" s="722"/>
      <c r="HY512" s="722"/>
      <c r="HZ512" s="722"/>
      <c r="IA512" s="722"/>
      <c r="IB512" s="722"/>
      <c r="IC512" s="722"/>
      <c r="ID512" s="722"/>
      <c r="IE512" s="722"/>
      <c r="IF512" s="722"/>
      <c r="IG512" s="722"/>
      <c r="IH512" s="722"/>
      <c r="II512" s="722"/>
      <c r="IJ512" s="722"/>
      <c r="IK512" s="722"/>
      <c r="IL512" s="722"/>
      <c r="IM512" s="722"/>
      <c r="IN512" s="722"/>
      <c r="IO512" s="722"/>
      <c r="IP512" s="722"/>
      <c r="IQ512" s="722"/>
      <c r="IR512" s="722"/>
      <c r="IS512" s="722"/>
      <c r="IT512" s="722"/>
      <c r="IU512" s="722"/>
      <c r="IV512" s="722"/>
      <c r="IW512" s="722"/>
    </row>
    <row r="513" customFormat="false" ht="12.75" hidden="false" customHeight="false" outlineLevel="1" collapsed="false">
      <c r="A513" s="367"/>
      <c r="B513" s="726"/>
      <c r="C513" s="726"/>
      <c r="D513" s="726"/>
      <c r="E513" s="713"/>
      <c r="F513" s="713"/>
      <c r="G513" s="713"/>
      <c r="H513" s="713"/>
      <c r="I513" s="713"/>
      <c r="J513" s="713"/>
      <c r="K513" s="713"/>
      <c r="L513" s="713"/>
      <c r="M513" s="713"/>
      <c r="N513" s="713"/>
      <c r="O513" s="713"/>
      <c r="P513" s="713"/>
      <c r="Q513" s="713"/>
      <c r="R513" s="713"/>
      <c r="S513" s="713"/>
      <c r="T513" s="713"/>
      <c r="U513" s="713"/>
      <c r="V513" s="713"/>
      <c r="W513" s="713"/>
      <c r="X513" s="713"/>
      <c r="Y513" s="713"/>
      <c r="Z513" s="713"/>
      <c r="AA513" s="707"/>
      <c r="AB513" s="707"/>
      <c r="AC513" s="707"/>
      <c r="AD513" s="707"/>
      <c r="AE513" s="707"/>
      <c r="AF513" s="707"/>
      <c r="AG513" s="707"/>
      <c r="AH513" s="707"/>
      <c r="AI513" s="707"/>
      <c r="AJ513" s="707"/>
      <c r="AK513" s="707"/>
      <c r="AL513" s="707"/>
      <c r="AM513" s="707"/>
      <c r="AN513" s="707"/>
      <c r="AO513" s="707"/>
      <c r="AP513" s="707"/>
      <c r="AQ513" s="707"/>
      <c r="AR513" s="707"/>
      <c r="AS513" s="707"/>
      <c r="AT513" s="707"/>
      <c r="AU513" s="707"/>
      <c r="AV513" s="707"/>
      <c r="AW513" s="707"/>
      <c r="AX513" s="707"/>
      <c r="AY513" s="707"/>
      <c r="AZ513" s="707"/>
      <c r="BA513" s="707"/>
      <c r="BB513" s="707"/>
      <c r="BC513" s="707"/>
      <c r="BD513" s="707"/>
      <c r="BE513" s="707"/>
      <c r="BF513" s="707"/>
      <c r="BG513" s="707"/>
      <c r="BH513" s="707"/>
      <c r="BI513" s="707"/>
      <c r="BJ513" s="707"/>
      <c r="BK513" s="707"/>
      <c r="BL513" s="707"/>
      <c r="BM513" s="707"/>
      <c r="BN513" s="707"/>
      <c r="BO513" s="707"/>
      <c r="BP513" s="707"/>
      <c r="BQ513" s="707"/>
      <c r="BR513" s="707"/>
      <c r="BS513" s="707"/>
      <c r="BT513" s="707"/>
      <c r="BU513" s="707"/>
      <c r="BV513" s="707"/>
      <c r="BW513" s="707"/>
      <c r="BX513" s="707"/>
      <c r="BY513" s="707"/>
      <c r="BZ513" s="707"/>
      <c r="CA513" s="707"/>
      <c r="CB513" s="707"/>
      <c r="CC513" s="707"/>
      <c r="CD513" s="707"/>
      <c r="CE513" s="707"/>
      <c r="CF513" s="707"/>
      <c r="CG513" s="707"/>
      <c r="CH513" s="707"/>
      <c r="CI513" s="707"/>
      <c r="CJ513" s="707"/>
      <c r="CK513" s="707"/>
      <c r="CL513" s="707"/>
      <c r="CM513" s="707"/>
      <c r="CN513" s="707"/>
      <c r="CO513" s="707"/>
      <c r="CP513" s="707"/>
      <c r="CQ513" s="707"/>
      <c r="CR513" s="707"/>
      <c r="CS513" s="707"/>
      <c r="CT513" s="707"/>
      <c r="CU513" s="707"/>
      <c r="CV513" s="707"/>
      <c r="CW513" s="707"/>
      <c r="CX513" s="707"/>
      <c r="CY513" s="707"/>
      <c r="CZ513" s="707"/>
      <c r="DA513" s="707"/>
      <c r="DB513" s="707"/>
      <c r="DC513" s="707"/>
      <c r="DD513" s="707"/>
      <c r="DE513" s="707"/>
      <c r="DF513" s="707"/>
      <c r="DG513" s="707"/>
      <c r="DH513" s="707"/>
      <c r="DI513" s="707"/>
      <c r="DJ513" s="707"/>
      <c r="DK513" s="707"/>
      <c r="DL513" s="707"/>
      <c r="DM513" s="707"/>
      <c r="DN513" s="707"/>
      <c r="DO513" s="707"/>
      <c r="DP513" s="707"/>
      <c r="DQ513" s="707"/>
      <c r="DR513" s="707"/>
      <c r="DS513" s="707"/>
      <c r="DT513" s="707"/>
      <c r="DU513" s="707"/>
      <c r="DV513" s="707"/>
      <c r="DW513" s="707"/>
      <c r="DX513" s="707"/>
      <c r="DY513" s="707"/>
      <c r="DZ513" s="707"/>
      <c r="EA513" s="707"/>
      <c r="EB513" s="707"/>
      <c r="EC513" s="707"/>
      <c r="ED513" s="707"/>
      <c r="EE513" s="707"/>
      <c r="EF513" s="707"/>
      <c r="EG513" s="707"/>
      <c r="EH513" s="707"/>
      <c r="EI513" s="707"/>
      <c r="EJ513" s="707"/>
      <c r="EK513" s="707"/>
      <c r="EL513" s="707"/>
      <c r="EM513" s="707"/>
      <c r="EN513" s="707"/>
      <c r="EO513" s="707"/>
      <c r="EP513" s="707"/>
      <c r="EQ513" s="707"/>
      <c r="ER513" s="707"/>
      <c r="ES513" s="707"/>
      <c r="ET513" s="707"/>
      <c r="EU513" s="707"/>
      <c r="EV513" s="707"/>
      <c r="EW513" s="707"/>
      <c r="EX513" s="707"/>
      <c r="EY513" s="707"/>
      <c r="EZ513" s="707"/>
      <c r="FA513" s="707"/>
      <c r="FB513" s="707"/>
      <c r="FC513" s="707"/>
      <c r="FD513" s="707"/>
      <c r="FE513" s="707"/>
      <c r="FF513" s="707"/>
      <c r="FG513" s="707"/>
      <c r="FH513" s="707"/>
      <c r="FI513" s="707"/>
      <c r="FJ513" s="707"/>
      <c r="FK513" s="707"/>
      <c r="FL513" s="707"/>
      <c r="FM513" s="707"/>
      <c r="FN513" s="707"/>
      <c r="FO513" s="707"/>
      <c r="FP513" s="707"/>
      <c r="FQ513" s="707"/>
      <c r="FR513" s="707"/>
      <c r="FS513" s="707"/>
      <c r="FT513" s="707"/>
      <c r="FU513" s="707"/>
      <c r="FV513" s="707"/>
      <c r="FW513" s="707"/>
      <c r="FX513" s="707"/>
      <c r="FY513" s="707"/>
      <c r="FZ513" s="707"/>
      <c r="GA513" s="707"/>
      <c r="GB513" s="707"/>
      <c r="GC513" s="707"/>
      <c r="GD513" s="707"/>
      <c r="GE513" s="707"/>
      <c r="GF513" s="707"/>
      <c r="GG513" s="707"/>
      <c r="GH513" s="707"/>
      <c r="GI513" s="707"/>
      <c r="GJ513" s="707"/>
      <c r="GK513" s="707"/>
      <c r="GL513" s="707"/>
      <c r="GM513" s="707"/>
      <c r="GN513" s="707"/>
      <c r="GO513" s="707"/>
      <c r="GP513" s="707"/>
      <c r="GQ513" s="707"/>
      <c r="GR513" s="707"/>
      <c r="GS513" s="707"/>
      <c r="GT513" s="707"/>
      <c r="GU513" s="707"/>
      <c r="GV513" s="707"/>
      <c r="GW513" s="707"/>
      <c r="GX513" s="707"/>
      <c r="GY513" s="707"/>
      <c r="GZ513" s="707"/>
      <c r="HA513" s="707"/>
      <c r="HB513" s="707"/>
      <c r="HC513" s="707"/>
      <c r="HD513" s="707"/>
      <c r="HE513" s="707"/>
      <c r="HF513" s="707"/>
      <c r="HG513" s="707"/>
      <c r="HH513" s="707"/>
      <c r="HI513" s="707"/>
      <c r="HJ513" s="707"/>
      <c r="HK513" s="707"/>
      <c r="HL513" s="707"/>
      <c r="HM513" s="707"/>
      <c r="HN513" s="707"/>
      <c r="HO513" s="707"/>
      <c r="HP513" s="707"/>
      <c r="HQ513" s="707"/>
      <c r="HR513" s="707"/>
      <c r="HS513" s="707"/>
      <c r="HT513" s="707"/>
      <c r="HU513" s="707"/>
      <c r="HV513" s="707"/>
      <c r="HW513" s="707"/>
      <c r="HX513" s="707"/>
      <c r="HY513" s="707"/>
      <c r="HZ513" s="707"/>
      <c r="IA513" s="707"/>
      <c r="IB513" s="707"/>
      <c r="IC513" s="707"/>
      <c r="ID513" s="707"/>
      <c r="IE513" s="707"/>
      <c r="IF513" s="707"/>
      <c r="IG513" s="707"/>
      <c r="IH513" s="707"/>
      <c r="II513" s="707"/>
      <c r="IJ513" s="707"/>
      <c r="IK513" s="707"/>
      <c r="IL513" s="707"/>
      <c r="IM513" s="707"/>
      <c r="IN513" s="707"/>
      <c r="IO513" s="707"/>
      <c r="IP513" s="707"/>
      <c r="IQ513" s="707"/>
      <c r="IR513" s="707"/>
      <c r="IS513" s="707"/>
      <c r="IT513" s="707"/>
      <c r="IU513" s="707"/>
      <c r="IV513" s="707"/>
      <c r="IW513" s="707"/>
    </row>
    <row r="514" customFormat="false" ht="12.75" hidden="false" customHeight="false" outlineLevel="1" collapsed="false">
      <c r="A514" s="681"/>
      <c r="B514" s="726"/>
      <c r="C514" s="726"/>
      <c r="D514" s="726"/>
      <c r="E514" s="713"/>
      <c r="F514" s="713"/>
      <c r="G514" s="713"/>
      <c r="H514" s="713"/>
      <c r="I514" s="713"/>
      <c r="J514" s="713"/>
      <c r="K514" s="713"/>
      <c r="L514" s="713"/>
      <c r="M514" s="713"/>
      <c r="N514" s="713"/>
      <c r="O514" s="713"/>
      <c r="P514" s="713"/>
      <c r="Q514" s="713"/>
      <c r="R514" s="713"/>
      <c r="S514" s="713"/>
      <c r="T514" s="713"/>
      <c r="U514" s="713"/>
      <c r="V514" s="713"/>
      <c r="W514" s="713"/>
      <c r="X514" s="713"/>
      <c r="Y514" s="713"/>
      <c r="Z514" s="713"/>
      <c r="AA514" s="707"/>
      <c r="AB514" s="707"/>
      <c r="AC514" s="707"/>
      <c r="AD514" s="707"/>
      <c r="AE514" s="707"/>
      <c r="AF514" s="707"/>
      <c r="AG514" s="707"/>
      <c r="AH514" s="707"/>
      <c r="AI514" s="707"/>
      <c r="AJ514" s="707"/>
      <c r="AK514" s="707"/>
      <c r="AL514" s="707"/>
      <c r="AM514" s="707"/>
      <c r="AN514" s="707"/>
      <c r="AO514" s="707"/>
      <c r="AP514" s="707"/>
      <c r="AQ514" s="707"/>
      <c r="AR514" s="707"/>
      <c r="AS514" s="707"/>
      <c r="AT514" s="707"/>
      <c r="AU514" s="707"/>
      <c r="AV514" s="707"/>
      <c r="AW514" s="707"/>
      <c r="AX514" s="707"/>
      <c r="AY514" s="707"/>
      <c r="AZ514" s="707"/>
      <c r="BA514" s="707"/>
      <c r="BB514" s="707"/>
      <c r="BC514" s="707"/>
      <c r="BD514" s="707"/>
      <c r="BE514" s="707"/>
      <c r="BF514" s="707"/>
      <c r="BG514" s="707"/>
      <c r="BH514" s="707"/>
      <c r="BI514" s="707"/>
      <c r="BJ514" s="707"/>
      <c r="BK514" s="707"/>
      <c r="BL514" s="707"/>
      <c r="BM514" s="707"/>
      <c r="BN514" s="707"/>
      <c r="BO514" s="707"/>
      <c r="BP514" s="707"/>
      <c r="BQ514" s="707"/>
      <c r="BR514" s="707"/>
      <c r="BS514" s="707"/>
      <c r="BT514" s="707"/>
      <c r="BU514" s="707"/>
      <c r="BV514" s="707"/>
      <c r="BW514" s="707"/>
      <c r="BX514" s="707"/>
      <c r="BY514" s="707"/>
      <c r="BZ514" s="707"/>
      <c r="CA514" s="707"/>
      <c r="CB514" s="707"/>
      <c r="CC514" s="707"/>
      <c r="CD514" s="707"/>
      <c r="CE514" s="707"/>
      <c r="CF514" s="707"/>
      <c r="CG514" s="707"/>
      <c r="CH514" s="707"/>
      <c r="CI514" s="707"/>
      <c r="CJ514" s="707"/>
      <c r="CK514" s="707"/>
      <c r="CL514" s="707"/>
      <c r="CM514" s="707"/>
      <c r="CN514" s="707"/>
      <c r="CO514" s="707"/>
      <c r="CP514" s="707"/>
      <c r="CQ514" s="707"/>
      <c r="CR514" s="707"/>
      <c r="CS514" s="707"/>
      <c r="CT514" s="707"/>
      <c r="CU514" s="707"/>
      <c r="CV514" s="707"/>
      <c r="CW514" s="707"/>
      <c r="CX514" s="707"/>
      <c r="CY514" s="707"/>
      <c r="CZ514" s="707"/>
      <c r="DA514" s="707"/>
      <c r="DB514" s="707"/>
      <c r="DC514" s="707"/>
      <c r="DD514" s="707"/>
      <c r="DE514" s="707"/>
      <c r="DF514" s="707"/>
      <c r="DG514" s="707"/>
      <c r="DH514" s="707"/>
      <c r="DI514" s="707"/>
      <c r="DJ514" s="707"/>
      <c r="DK514" s="707"/>
      <c r="DL514" s="707"/>
      <c r="DM514" s="707"/>
      <c r="DN514" s="707"/>
      <c r="DO514" s="707"/>
      <c r="DP514" s="707"/>
      <c r="DQ514" s="707"/>
      <c r="DR514" s="707"/>
      <c r="DS514" s="707"/>
      <c r="DT514" s="707"/>
      <c r="DU514" s="707"/>
      <c r="DV514" s="707"/>
      <c r="DW514" s="707"/>
      <c r="DX514" s="707"/>
      <c r="DY514" s="707"/>
      <c r="DZ514" s="707"/>
      <c r="EA514" s="707"/>
      <c r="EB514" s="707"/>
      <c r="EC514" s="707"/>
      <c r="ED514" s="707"/>
      <c r="EE514" s="707"/>
      <c r="EF514" s="707"/>
      <c r="EG514" s="707"/>
      <c r="EH514" s="707"/>
      <c r="EI514" s="707"/>
      <c r="EJ514" s="707"/>
      <c r="EK514" s="707"/>
      <c r="EL514" s="707"/>
      <c r="EM514" s="707"/>
      <c r="EN514" s="707"/>
      <c r="EO514" s="707"/>
      <c r="EP514" s="707"/>
      <c r="EQ514" s="707"/>
      <c r="ER514" s="707"/>
      <c r="ES514" s="707"/>
      <c r="ET514" s="707"/>
      <c r="EU514" s="707"/>
      <c r="EV514" s="707"/>
      <c r="EW514" s="707"/>
      <c r="EX514" s="707"/>
      <c r="EY514" s="707"/>
      <c r="EZ514" s="707"/>
      <c r="FA514" s="707"/>
      <c r="FB514" s="707"/>
      <c r="FC514" s="707"/>
      <c r="FD514" s="707"/>
      <c r="FE514" s="707"/>
      <c r="FF514" s="707"/>
      <c r="FG514" s="707"/>
      <c r="FH514" s="707"/>
      <c r="FI514" s="707"/>
      <c r="FJ514" s="707"/>
      <c r="FK514" s="707"/>
      <c r="FL514" s="707"/>
      <c r="FM514" s="707"/>
      <c r="FN514" s="707"/>
      <c r="FO514" s="707"/>
      <c r="FP514" s="707"/>
      <c r="FQ514" s="707"/>
      <c r="FR514" s="707"/>
      <c r="FS514" s="707"/>
      <c r="FT514" s="707"/>
      <c r="FU514" s="707"/>
      <c r="FV514" s="707"/>
      <c r="FW514" s="707"/>
      <c r="FX514" s="707"/>
      <c r="FY514" s="707"/>
      <c r="FZ514" s="707"/>
      <c r="GA514" s="707"/>
      <c r="GB514" s="707"/>
      <c r="GC514" s="707"/>
      <c r="GD514" s="707"/>
      <c r="GE514" s="707"/>
      <c r="GF514" s="707"/>
      <c r="GG514" s="707"/>
      <c r="GH514" s="707"/>
      <c r="GI514" s="707"/>
      <c r="GJ514" s="707"/>
      <c r="GK514" s="707"/>
      <c r="GL514" s="707"/>
      <c r="GM514" s="707"/>
      <c r="GN514" s="707"/>
      <c r="GO514" s="707"/>
      <c r="GP514" s="707"/>
      <c r="GQ514" s="707"/>
      <c r="GR514" s="707"/>
      <c r="GS514" s="707"/>
      <c r="GT514" s="707"/>
      <c r="GU514" s="707"/>
      <c r="GV514" s="707"/>
      <c r="GW514" s="707"/>
      <c r="GX514" s="707"/>
      <c r="GY514" s="707"/>
      <c r="GZ514" s="707"/>
      <c r="HA514" s="707"/>
      <c r="HB514" s="707"/>
      <c r="HC514" s="707"/>
      <c r="HD514" s="707"/>
      <c r="HE514" s="707"/>
      <c r="HF514" s="707"/>
      <c r="HG514" s="707"/>
      <c r="HH514" s="707"/>
      <c r="HI514" s="707"/>
      <c r="HJ514" s="707"/>
      <c r="HK514" s="707"/>
      <c r="HL514" s="707"/>
      <c r="HM514" s="707"/>
      <c r="HN514" s="707"/>
      <c r="HO514" s="707"/>
      <c r="HP514" s="707"/>
      <c r="HQ514" s="707"/>
      <c r="HR514" s="707"/>
      <c r="HS514" s="707"/>
      <c r="HT514" s="707"/>
      <c r="HU514" s="707"/>
      <c r="HV514" s="707"/>
      <c r="HW514" s="707"/>
      <c r="HX514" s="707"/>
      <c r="HY514" s="707"/>
      <c r="HZ514" s="707"/>
      <c r="IA514" s="707"/>
      <c r="IB514" s="707"/>
      <c r="IC514" s="707"/>
      <c r="ID514" s="707"/>
      <c r="IE514" s="707"/>
      <c r="IF514" s="707"/>
      <c r="IG514" s="707"/>
      <c r="IH514" s="707"/>
      <c r="II514" s="707"/>
      <c r="IJ514" s="707"/>
      <c r="IK514" s="707"/>
      <c r="IL514" s="707"/>
      <c r="IM514" s="707"/>
      <c r="IN514" s="707"/>
      <c r="IO514" s="707"/>
      <c r="IP514" s="707"/>
      <c r="IQ514" s="707"/>
      <c r="IR514" s="707"/>
      <c r="IS514" s="707"/>
      <c r="IT514" s="707"/>
      <c r="IU514" s="707"/>
      <c r="IV514" s="707"/>
      <c r="IW514" s="707"/>
    </row>
    <row r="515" customFormat="false" ht="12.75" hidden="false" customHeight="false" outlineLevel="1" collapsed="false">
      <c r="A515" s="366"/>
      <c r="B515" s="719"/>
      <c r="C515" s="719"/>
      <c r="D515" s="719"/>
      <c r="E515" s="713"/>
      <c r="F515" s="713"/>
      <c r="G515" s="713"/>
      <c r="H515" s="713"/>
      <c r="I515" s="713"/>
      <c r="J515" s="713"/>
      <c r="K515" s="713"/>
      <c r="L515" s="713"/>
      <c r="M515" s="713"/>
      <c r="N515" s="713"/>
      <c r="O515" s="713"/>
      <c r="P515" s="713"/>
      <c r="Q515" s="713"/>
      <c r="R515" s="713"/>
      <c r="S515" s="713"/>
      <c r="T515" s="713"/>
      <c r="U515" s="713"/>
      <c r="V515" s="713"/>
      <c r="W515" s="713"/>
      <c r="X515" s="713"/>
      <c r="Y515" s="713"/>
      <c r="Z515" s="713"/>
      <c r="AA515" s="707"/>
      <c r="AB515" s="707"/>
      <c r="AC515" s="707"/>
      <c r="AD515" s="707"/>
      <c r="AE515" s="707"/>
      <c r="AF515" s="707"/>
      <c r="AG515" s="707"/>
      <c r="AH515" s="707"/>
      <c r="AI515" s="707"/>
      <c r="AJ515" s="707"/>
      <c r="AK515" s="707"/>
      <c r="AL515" s="707"/>
      <c r="AM515" s="707"/>
      <c r="AN515" s="707"/>
      <c r="AO515" s="707"/>
      <c r="AP515" s="707"/>
      <c r="AQ515" s="707"/>
      <c r="AR515" s="707"/>
      <c r="AS515" s="707"/>
      <c r="AT515" s="707"/>
      <c r="AU515" s="707"/>
      <c r="AV515" s="707"/>
      <c r="AW515" s="707"/>
      <c r="AX515" s="707"/>
      <c r="AY515" s="707"/>
      <c r="AZ515" s="707"/>
      <c r="BA515" s="707"/>
      <c r="BB515" s="707"/>
      <c r="BC515" s="707"/>
      <c r="BD515" s="707"/>
      <c r="BE515" s="707"/>
      <c r="BF515" s="707"/>
      <c r="BG515" s="707"/>
      <c r="BH515" s="707"/>
      <c r="BI515" s="707"/>
      <c r="BJ515" s="707"/>
      <c r="BK515" s="707"/>
      <c r="BL515" s="707"/>
      <c r="BM515" s="707"/>
      <c r="BN515" s="707"/>
      <c r="BO515" s="707"/>
      <c r="BP515" s="707"/>
      <c r="BQ515" s="707"/>
      <c r="BR515" s="707"/>
      <c r="BS515" s="707"/>
      <c r="BT515" s="707"/>
      <c r="BU515" s="707"/>
      <c r="BV515" s="707"/>
      <c r="BW515" s="707"/>
      <c r="BX515" s="707"/>
      <c r="BY515" s="707"/>
      <c r="BZ515" s="707"/>
      <c r="CA515" s="707"/>
      <c r="CB515" s="707"/>
      <c r="CC515" s="707"/>
      <c r="CD515" s="707"/>
      <c r="CE515" s="707"/>
      <c r="CF515" s="707"/>
      <c r="CG515" s="707"/>
      <c r="CH515" s="707"/>
      <c r="CI515" s="707"/>
      <c r="CJ515" s="707"/>
      <c r="CK515" s="707"/>
      <c r="CL515" s="707"/>
      <c r="CM515" s="707"/>
      <c r="CN515" s="707"/>
      <c r="CO515" s="707"/>
      <c r="CP515" s="707"/>
      <c r="CQ515" s="707"/>
      <c r="CR515" s="707"/>
      <c r="CS515" s="707"/>
      <c r="CT515" s="707"/>
      <c r="CU515" s="707"/>
      <c r="CV515" s="707"/>
      <c r="CW515" s="707"/>
      <c r="CX515" s="707"/>
      <c r="CY515" s="707"/>
      <c r="CZ515" s="707"/>
      <c r="DA515" s="707"/>
      <c r="DB515" s="707"/>
      <c r="DC515" s="707"/>
      <c r="DD515" s="707"/>
      <c r="DE515" s="707"/>
      <c r="DF515" s="707"/>
      <c r="DG515" s="707"/>
      <c r="DH515" s="707"/>
      <c r="DI515" s="707"/>
      <c r="DJ515" s="707"/>
      <c r="DK515" s="707"/>
      <c r="DL515" s="707"/>
      <c r="DM515" s="707"/>
      <c r="DN515" s="707"/>
      <c r="DO515" s="707"/>
      <c r="DP515" s="707"/>
      <c r="DQ515" s="707"/>
      <c r="DR515" s="707"/>
      <c r="DS515" s="707"/>
      <c r="DT515" s="707"/>
      <c r="DU515" s="707"/>
      <c r="DV515" s="707"/>
      <c r="DW515" s="707"/>
      <c r="DX515" s="707"/>
      <c r="DY515" s="707"/>
      <c r="DZ515" s="707"/>
      <c r="EA515" s="707"/>
      <c r="EB515" s="707"/>
      <c r="EC515" s="707"/>
      <c r="ED515" s="707"/>
      <c r="EE515" s="707"/>
      <c r="EF515" s="707"/>
      <c r="EG515" s="707"/>
      <c r="EH515" s="707"/>
      <c r="EI515" s="707"/>
      <c r="EJ515" s="707"/>
      <c r="EK515" s="707"/>
      <c r="EL515" s="707"/>
      <c r="EM515" s="707"/>
      <c r="EN515" s="707"/>
      <c r="EO515" s="707"/>
      <c r="EP515" s="707"/>
      <c r="EQ515" s="707"/>
      <c r="ER515" s="707"/>
      <c r="ES515" s="707"/>
      <c r="ET515" s="707"/>
      <c r="EU515" s="707"/>
      <c r="EV515" s="707"/>
      <c r="EW515" s="707"/>
      <c r="EX515" s="707"/>
      <c r="EY515" s="707"/>
      <c r="EZ515" s="707"/>
      <c r="FA515" s="707"/>
      <c r="FB515" s="707"/>
      <c r="FC515" s="707"/>
      <c r="FD515" s="707"/>
      <c r="FE515" s="707"/>
      <c r="FF515" s="707"/>
      <c r="FG515" s="707"/>
      <c r="FH515" s="707"/>
      <c r="FI515" s="707"/>
      <c r="FJ515" s="707"/>
      <c r="FK515" s="707"/>
      <c r="FL515" s="707"/>
      <c r="FM515" s="707"/>
      <c r="FN515" s="707"/>
      <c r="FO515" s="707"/>
      <c r="FP515" s="707"/>
      <c r="FQ515" s="707"/>
      <c r="FR515" s="707"/>
      <c r="FS515" s="707"/>
      <c r="FT515" s="707"/>
      <c r="FU515" s="707"/>
      <c r="FV515" s="707"/>
      <c r="FW515" s="707"/>
      <c r="FX515" s="707"/>
      <c r="FY515" s="707"/>
      <c r="FZ515" s="707"/>
      <c r="GA515" s="707"/>
      <c r="GB515" s="707"/>
      <c r="GC515" s="707"/>
      <c r="GD515" s="707"/>
      <c r="GE515" s="707"/>
      <c r="GF515" s="707"/>
      <c r="GG515" s="707"/>
      <c r="GH515" s="707"/>
      <c r="GI515" s="707"/>
      <c r="GJ515" s="707"/>
      <c r="GK515" s="707"/>
      <c r="GL515" s="707"/>
      <c r="GM515" s="707"/>
      <c r="GN515" s="707"/>
      <c r="GO515" s="707"/>
      <c r="GP515" s="707"/>
      <c r="GQ515" s="707"/>
      <c r="GR515" s="707"/>
      <c r="GS515" s="707"/>
      <c r="GT515" s="707"/>
      <c r="GU515" s="707"/>
      <c r="GV515" s="707"/>
      <c r="GW515" s="707"/>
      <c r="GX515" s="707"/>
      <c r="GY515" s="707"/>
      <c r="GZ515" s="707"/>
      <c r="HA515" s="707"/>
      <c r="HB515" s="707"/>
      <c r="HC515" s="707"/>
      <c r="HD515" s="707"/>
      <c r="HE515" s="707"/>
      <c r="HF515" s="707"/>
      <c r="HG515" s="707"/>
      <c r="HH515" s="707"/>
      <c r="HI515" s="707"/>
      <c r="HJ515" s="707"/>
      <c r="HK515" s="707"/>
      <c r="HL515" s="707"/>
      <c r="HM515" s="707"/>
      <c r="HN515" s="707"/>
      <c r="HO515" s="707"/>
      <c r="HP515" s="707"/>
      <c r="HQ515" s="707"/>
      <c r="HR515" s="707"/>
      <c r="HS515" s="707"/>
      <c r="HT515" s="707"/>
      <c r="HU515" s="707"/>
      <c r="HV515" s="707"/>
      <c r="HW515" s="707"/>
      <c r="HX515" s="707"/>
      <c r="HY515" s="707"/>
      <c r="HZ515" s="707"/>
      <c r="IA515" s="707"/>
      <c r="IB515" s="707"/>
      <c r="IC515" s="707"/>
      <c r="ID515" s="707"/>
      <c r="IE515" s="707"/>
      <c r="IF515" s="707"/>
      <c r="IG515" s="707"/>
      <c r="IH515" s="707"/>
      <c r="II515" s="707"/>
      <c r="IJ515" s="707"/>
      <c r="IK515" s="707"/>
      <c r="IL515" s="707"/>
      <c r="IM515" s="707"/>
      <c r="IN515" s="707"/>
      <c r="IO515" s="707"/>
      <c r="IP515" s="707"/>
      <c r="IQ515" s="707"/>
      <c r="IR515" s="707"/>
      <c r="IS515" s="707"/>
      <c r="IT515" s="707"/>
      <c r="IU515" s="707"/>
      <c r="IV515" s="707"/>
      <c r="IW515" s="707"/>
    </row>
    <row r="516" customFormat="false" ht="12.75" hidden="false" customHeight="false" outlineLevel="1" collapsed="false">
      <c r="A516" s="724"/>
      <c r="B516" s="725"/>
      <c r="C516" s="725"/>
      <c r="D516" s="725"/>
      <c r="E516" s="713"/>
      <c r="F516" s="713"/>
      <c r="G516" s="713"/>
      <c r="H516" s="713"/>
      <c r="I516" s="713"/>
      <c r="J516" s="713"/>
      <c r="K516" s="713"/>
      <c r="L516" s="713"/>
      <c r="M516" s="713"/>
      <c r="N516" s="713"/>
      <c r="O516" s="713"/>
      <c r="P516" s="713"/>
      <c r="Q516" s="713"/>
      <c r="R516" s="713"/>
      <c r="S516" s="713"/>
      <c r="T516" s="713"/>
      <c r="U516" s="713"/>
      <c r="V516" s="713"/>
      <c r="W516" s="713"/>
      <c r="X516" s="713"/>
      <c r="Y516" s="713"/>
      <c r="Z516" s="713"/>
      <c r="AA516" s="722"/>
      <c r="AB516" s="722"/>
      <c r="AC516" s="722"/>
      <c r="AD516" s="722"/>
      <c r="AE516" s="722"/>
      <c r="AF516" s="722"/>
      <c r="AG516" s="722"/>
      <c r="AH516" s="722"/>
      <c r="AI516" s="722"/>
      <c r="AJ516" s="722"/>
      <c r="AK516" s="722"/>
      <c r="AL516" s="722"/>
      <c r="AM516" s="722"/>
      <c r="AN516" s="722"/>
      <c r="AO516" s="722"/>
      <c r="AP516" s="722"/>
      <c r="AQ516" s="722"/>
      <c r="AR516" s="722"/>
      <c r="AS516" s="722"/>
      <c r="AT516" s="722"/>
      <c r="AU516" s="722"/>
      <c r="AV516" s="722"/>
      <c r="AW516" s="722"/>
      <c r="AX516" s="722"/>
      <c r="AY516" s="722"/>
      <c r="AZ516" s="722"/>
      <c r="BA516" s="722"/>
      <c r="BB516" s="722"/>
      <c r="BC516" s="722"/>
      <c r="BD516" s="722"/>
      <c r="BE516" s="722"/>
      <c r="BF516" s="722"/>
      <c r="BG516" s="722"/>
      <c r="BH516" s="722"/>
      <c r="BI516" s="722"/>
      <c r="BJ516" s="722"/>
      <c r="BK516" s="722"/>
      <c r="BL516" s="722"/>
      <c r="BM516" s="722"/>
      <c r="BN516" s="722"/>
      <c r="BO516" s="722"/>
      <c r="BP516" s="722"/>
      <c r="BQ516" s="722"/>
      <c r="BR516" s="722"/>
      <c r="BS516" s="722"/>
      <c r="BT516" s="722"/>
      <c r="BU516" s="722"/>
      <c r="BV516" s="722"/>
      <c r="BW516" s="722"/>
      <c r="BX516" s="722"/>
      <c r="BY516" s="722"/>
      <c r="BZ516" s="722"/>
      <c r="CA516" s="722"/>
      <c r="CB516" s="722"/>
      <c r="CC516" s="722"/>
      <c r="CD516" s="722"/>
      <c r="CE516" s="722"/>
      <c r="CF516" s="722"/>
      <c r="CG516" s="722"/>
      <c r="CH516" s="722"/>
      <c r="CI516" s="722"/>
      <c r="CJ516" s="722"/>
      <c r="CK516" s="722"/>
      <c r="CL516" s="722"/>
      <c r="CM516" s="722"/>
      <c r="CN516" s="722"/>
      <c r="CO516" s="722"/>
      <c r="CP516" s="722"/>
      <c r="CQ516" s="722"/>
      <c r="CR516" s="722"/>
      <c r="CS516" s="722"/>
      <c r="CT516" s="722"/>
      <c r="CU516" s="722"/>
      <c r="CV516" s="722"/>
      <c r="CW516" s="722"/>
      <c r="CX516" s="722"/>
      <c r="CY516" s="722"/>
      <c r="CZ516" s="722"/>
      <c r="DA516" s="722"/>
      <c r="DB516" s="722"/>
      <c r="DC516" s="722"/>
      <c r="DD516" s="722"/>
      <c r="DE516" s="722"/>
      <c r="DF516" s="722"/>
      <c r="DG516" s="722"/>
      <c r="DH516" s="722"/>
      <c r="DI516" s="722"/>
      <c r="DJ516" s="722"/>
      <c r="DK516" s="722"/>
      <c r="DL516" s="722"/>
      <c r="DM516" s="722"/>
      <c r="DN516" s="722"/>
      <c r="DO516" s="722"/>
      <c r="DP516" s="722"/>
      <c r="DQ516" s="722"/>
      <c r="DR516" s="722"/>
      <c r="DS516" s="722"/>
      <c r="DT516" s="722"/>
      <c r="DU516" s="722"/>
      <c r="DV516" s="722"/>
      <c r="DW516" s="722"/>
      <c r="DX516" s="722"/>
      <c r="DY516" s="722"/>
      <c r="DZ516" s="722"/>
      <c r="EA516" s="722"/>
      <c r="EB516" s="722"/>
      <c r="EC516" s="722"/>
      <c r="ED516" s="722"/>
      <c r="EE516" s="722"/>
      <c r="EF516" s="722"/>
      <c r="EG516" s="722"/>
      <c r="EH516" s="722"/>
      <c r="EI516" s="722"/>
      <c r="EJ516" s="722"/>
      <c r="EK516" s="722"/>
      <c r="EL516" s="722"/>
      <c r="EM516" s="722"/>
      <c r="EN516" s="722"/>
      <c r="EO516" s="722"/>
      <c r="EP516" s="722"/>
      <c r="EQ516" s="722"/>
      <c r="ER516" s="722"/>
      <c r="ES516" s="722"/>
      <c r="ET516" s="722"/>
      <c r="EU516" s="722"/>
      <c r="EV516" s="722"/>
      <c r="EW516" s="722"/>
      <c r="EX516" s="722"/>
      <c r="EY516" s="722"/>
      <c r="EZ516" s="722"/>
      <c r="FA516" s="722"/>
      <c r="FB516" s="722"/>
      <c r="FC516" s="722"/>
      <c r="FD516" s="722"/>
      <c r="FE516" s="722"/>
      <c r="FF516" s="722"/>
      <c r="FG516" s="722"/>
      <c r="FH516" s="722"/>
      <c r="FI516" s="722"/>
      <c r="FJ516" s="722"/>
      <c r="FK516" s="722"/>
      <c r="FL516" s="722"/>
      <c r="FM516" s="722"/>
      <c r="FN516" s="722"/>
      <c r="FO516" s="722"/>
      <c r="FP516" s="722"/>
      <c r="FQ516" s="722"/>
      <c r="FR516" s="722"/>
      <c r="FS516" s="722"/>
      <c r="FT516" s="722"/>
      <c r="FU516" s="722"/>
      <c r="FV516" s="722"/>
      <c r="FW516" s="722"/>
      <c r="FX516" s="722"/>
      <c r="FY516" s="722"/>
      <c r="FZ516" s="722"/>
      <c r="GA516" s="722"/>
      <c r="GB516" s="722"/>
      <c r="GC516" s="722"/>
      <c r="GD516" s="722"/>
      <c r="GE516" s="722"/>
      <c r="GF516" s="722"/>
      <c r="GG516" s="722"/>
      <c r="GH516" s="722"/>
      <c r="GI516" s="722"/>
      <c r="GJ516" s="722"/>
      <c r="GK516" s="722"/>
      <c r="GL516" s="722"/>
      <c r="GM516" s="722"/>
      <c r="GN516" s="722"/>
      <c r="GO516" s="722"/>
      <c r="GP516" s="722"/>
      <c r="GQ516" s="722"/>
      <c r="GR516" s="722"/>
      <c r="GS516" s="722"/>
      <c r="GT516" s="722"/>
      <c r="GU516" s="722"/>
      <c r="GV516" s="722"/>
      <c r="GW516" s="722"/>
      <c r="GX516" s="722"/>
      <c r="GY516" s="722"/>
      <c r="GZ516" s="722"/>
      <c r="HA516" s="722"/>
      <c r="HB516" s="722"/>
      <c r="HC516" s="722"/>
      <c r="HD516" s="722"/>
      <c r="HE516" s="722"/>
      <c r="HF516" s="722"/>
      <c r="HG516" s="722"/>
      <c r="HH516" s="722"/>
      <c r="HI516" s="722"/>
      <c r="HJ516" s="722"/>
      <c r="HK516" s="722"/>
      <c r="HL516" s="722"/>
      <c r="HM516" s="722"/>
      <c r="HN516" s="722"/>
      <c r="HO516" s="722"/>
      <c r="HP516" s="722"/>
      <c r="HQ516" s="722"/>
      <c r="HR516" s="722"/>
      <c r="HS516" s="722"/>
      <c r="HT516" s="722"/>
      <c r="HU516" s="722"/>
      <c r="HV516" s="722"/>
      <c r="HW516" s="722"/>
      <c r="HX516" s="722"/>
      <c r="HY516" s="722"/>
      <c r="HZ516" s="722"/>
      <c r="IA516" s="722"/>
      <c r="IB516" s="722"/>
      <c r="IC516" s="722"/>
      <c r="ID516" s="722"/>
      <c r="IE516" s="722"/>
      <c r="IF516" s="722"/>
      <c r="IG516" s="722"/>
      <c r="IH516" s="722"/>
      <c r="II516" s="722"/>
      <c r="IJ516" s="722"/>
      <c r="IK516" s="722"/>
      <c r="IL516" s="722"/>
      <c r="IM516" s="722"/>
      <c r="IN516" s="722"/>
      <c r="IO516" s="722"/>
      <c r="IP516" s="722"/>
      <c r="IQ516" s="722"/>
      <c r="IR516" s="722"/>
      <c r="IS516" s="722"/>
      <c r="IT516" s="722"/>
      <c r="IU516" s="722"/>
      <c r="IV516" s="722"/>
      <c r="IW516" s="722"/>
    </row>
    <row r="517" customFormat="false" ht="12.75" hidden="false" customHeight="false" outlineLevel="1" collapsed="false">
      <c r="A517" s="388"/>
      <c r="B517" s="706"/>
      <c r="C517" s="706"/>
      <c r="D517" s="706"/>
      <c r="E517" s="713"/>
      <c r="F517" s="713"/>
      <c r="G517" s="713"/>
      <c r="H517" s="713"/>
      <c r="I517" s="713"/>
      <c r="J517" s="713"/>
      <c r="K517" s="713"/>
      <c r="L517" s="713"/>
      <c r="M517" s="713"/>
      <c r="N517" s="713"/>
      <c r="O517" s="713"/>
      <c r="P517" s="713"/>
      <c r="Q517" s="713"/>
      <c r="R517" s="713"/>
      <c r="S517" s="713"/>
      <c r="T517" s="713"/>
      <c r="U517" s="713"/>
      <c r="V517" s="713"/>
      <c r="W517" s="713"/>
      <c r="X517" s="713"/>
      <c r="Y517" s="713"/>
      <c r="Z517" s="713"/>
      <c r="AA517" s="707"/>
      <c r="AB517" s="707"/>
      <c r="AC517" s="707"/>
      <c r="AD517" s="707"/>
      <c r="AE517" s="707"/>
      <c r="AF517" s="707"/>
      <c r="AG517" s="707"/>
      <c r="AH517" s="707"/>
      <c r="AI517" s="707"/>
      <c r="AJ517" s="707"/>
      <c r="AK517" s="707"/>
      <c r="AL517" s="707"/>
      <c r="AM517" s="707"/>
      <c r="AN517" s="707"/>
      <c r="AO517" s="707"/>
      <c r="AP517" s="707"/>
      <c r="AQ517" s="707"/>
      <c r="AR517" s="707"/>
      <c r="AS517" s="707"/>
      <c r="AT517" s="707"/>
      <c r="AU517" s="707"/>
      <c r="AV517" s="707"/>
      <c r="AW517" s="707"/>
      <c r="AX517" s="707"/>
      <c r="AY517" s="707"/>
      <c r="AZ517" s="707"/>
      <c r="BA517" s="707"/>
      <c r="BB517" s="707"/>
      <c r="BC517" s="707"/>
      <c r="BD517" s="707"/>
      <c r="BE517" s="707"/>
      <c r="BF517" s="707"/>
      <c r="BG517" s="707"/>
      <c r="BH517" s="707"/>
      <c r="BI517" s="707"/>
      <c r="BJ517" s="707"/>
      <c r="BK517" s="707"/>
      <c r="BL517" s="707"/>
      <c r="BM517" s="707"/>
      <c r="BN517" s="707"/>
      <c r="BO517" s="707"/>
      <c r="BP517" s="707"/>
      <c r="BQ517" s="707"/>
      <c r="BR517" s="707"/>
      <c r="BS517" s="707"/>
      <c r="BT517" s="707"/>
      <c r="BU517" s="707"/>
      <c r="BV517" s="707"/>
      <c r="BW517" s="707"/>
      <c r="BX517" s="707"/>
      <c r="BY517" s="707"/>
      <c r="BZ517" s="707"/>
      <c r="CA517" s="707"/>
      <c r="CB517" s="707"/>
      <c r="CC517" s="707"/>
      <c r="CD517" s="707"/>
      <c r="CE517" s="707"/>
      <c r="CF517" s="707"/>
      <c r="CG517" s="707"/>
      <c r="CH517" s="707"/>
      <c r="CI517" s="707"/>
      <c r="CJ517" s="707"/>
      <c r="CK517" s="707"/>
      <c r="CL517" s="707"/>
      <c r="CM517" s="707"/>
      <c r="CN517" s="707"/>
      <c r="CO517" s="707"/>
      <c r="CP517" s="707"/>
      <c r="CQ517" s="707"/>
      <c r="CR517" s="707"/>
      <c r="CS517" s="707"/>
      <c r="CT517" s="707"/>
      <c r="CU517" s="707"/>
      <c r="CV517" s="707"/>
      <c r="CW517" s="707"/>
      <c r="CX517" s="707"/>
      <c r="CY517" s="707"/>
      <c r="CZ517" s="707"/>
      <c r="DA517" s="707"/>
      <c r="DB517" s="707"/>
      <c r="DC517" s="707"/>
      <c r="DD517" s="707"/>
      <c r="DE517" s="707"/>
      <c r="DF517" s="707"/>
      <c r="DG517" s="707"/>
      <c r="DH517" s="707"/>
      <c r="DI517" s="707"/>
      <c r="DJ517" s="707"/>
      <c r="DK517" s="707"/>
      <c r="DL517" s="707"/>
      <c r="DM517" s="707"/>
      <c r="DN517" s="707"/>
      <c r="DO517" s="707"/>
      <c r="DP517" s="707"/>
      <c r="DQ517" s="707"/>
      <c r="DR517" s="707"/>
      <c r="DS517" s="707"/>
      <c r="DT517" s="707"/>
      <c r="DU517" s="707"/>
      <c r="DV517" s="707"/>
      <c r="DW517" s="707"/>
      <c r="DX517" s="707"/>
      <c r="DY517" s="707"/>
      <c r="DZ517" s="707"/>
      <c r="EA517" s="707"/>
      <c r="EB517" s="707"/>
      <c r="EC517" s="707"/>
      <c r="ED517" s="707"/>
      <c r="EE517" s="707"/>
      <c r="EF517" s="707"/>
      <c r="EG517" s="707"/>
      <c r="EH517" s="707"/>
      <c r="EI517" s="707"/>
      <c r="EJ517" s="707"/>
      <c r="EK517" s="707"/>
      <c r="EL517" s="707"/>
      <c r="EM517" s="707"/>
      <c r="EN517" s="707"/>
      <c r="EO517" s="707"/>
      <c r="EP517" s="707"/>
      <c r="EQ517" s="707"/>
      <c r="ER517" s="707"/>
      <c r="ES517" s="707"/>
      <c r="ET517" s="707"/>
      <c r="EU517" s="707"/>
      <c r="EV517" s="707"/>
      <c r="EW517" s="707"/>
      <c r="EX517" s="707"/>
      <c r="EY517" s="707"/>
      <c r="EZ517" s="707"/>
      <c r="FA517" s="707"/>
      <c r="FB517" s="707"/>
      <c r="FC517" s="707"/>
      <c r="FD517" s="707"/>
      <c r="FE517" s="707"/>
      <c r="FF517" s="707"/>
      <c r="FG517" s="707"/>
      <c r="FH517" s="707"/>
      <c r="FI517" s="707"/>
      <c r="FJ517" s="707"/>
      <c r="FK517" s="707"/>
      <c r="FL517" s="707"/>
      <c r="FM517" s="707"/>
      <c r="FN517" s="707"/>
      <c r="FO517" s="707"/>
      <c r="FP517" s="707"/>
      <c r="FQ517" s="707"/>
      <c r="FR517" s="707"/>
      <c r="FS517" s="707"/>
      <c r="FT517" s="707"/>
      <c r="FU517" s="707"/>
      <c r="FV517" s="707"/>
      <c r="FW517" s="707"/>
      <c r="FX517" s="707"/>
      <c r="FY517" s="707"/>
      <c r="FZ517" s="707"/>
      <c r="GA517" s="707"/>
      <c r="GB517" s="707"/>
      <c r="GC517" s="707"/>
      <c r="GD517" s="707"/>
      <c r="GE517" s="707"/>
      <c r="GF517" s="707"/>
      <c r="GG517" s="707"/>
      <c r="GH517" s="707"/>
      <c r="GI517" s="707"/>
      <c r="GJ517" s="707"/>
      <c r="GK517" s="707"/>
      <c r="GL517" s="707"/>
      <c r="GM517" s="707"/>
      <c r="GN517" s="707"/>
      <c r="GO517" s="707"/>
      <c r="GP517" s="707"/>
      <c r="GQ517" s="707"/>
      <c r="GR517" s="707"/>
      <c r="GS517" s="707"/>
      <c r="GT517" s="707"/>
      <c r="GU517" s="707"/>
      <c r="GV517" s="707"/>
      <c r="GW517" s="707"/>
      <c r="GX517" s="707"/>
      <c r="GY517" s="707"/>
      <c r="GZ517" s="707"/>
      <c r="HA517" s="707"/>
      <c r="HB517" s="707"/>
      <c r="HC517" s="707"/>
      <c r="HD517" s="707"/>
      <c r="HE517" s="707"/>
      <c r="HF517" s="707"/>
      <c r="HG517" s="707"/>
      <c r="HH517" s="707"/>
      <c r="HI517" s="707"/>
      <c r="HJ517" s="707"/>
      <c r="HK517" s="707"/>
      <c r="HL517" s="707"/>
      <c r="HM517" s="707"/>
      <c r="HN517" s="707"/>
      <c r="HO517" s="707"/>
      <c r="HP517" s="707"/>
      <c r="HQ517" s="707"/>
      <c r="HR517" s="707"/>
      <c r="HS517" s="707"/>
      <c r="HT517" s="707"/>
      <c r="HU517" s="707"/>
      <c r="HV517" s="707"/>
      <c r="HW517" s="707"/>
      <c r="HX517" s="707"/>
      <c r="HY517" s="707"/>
      <c r="HZ517" s="707"/>
      <c r="IA517" s="707"/>
      <c r="IB517" s="707"/>
      <c r="IC517" s="707"/>
      <c r="ID517" s="707"/>
      <c r="IE517" s="707"/>
      <c r="IF517" s="707"/>
      <c r="IG517" s="707"/>
      <c r="IH517" s="707"/>
      <c r="II517" s="707"/>
      <c r="IJ517" s="707"/>
      <c r="IK517" s="707"/>
      <c r="IL517" s="707"/>
      <c r="IM517" s="707"/>
      <c r="IN517" s="707"/>
      <c r="IO517" s="707"/>
      <c r="IP517" s="707"/>
      <c r="IQ517" s="707"/>
      <c r="IR517" s="707"/>
      <c r="IS517" s="707"/>
      <c r="IT517" s="707"/>
      <c r="IU517" s="707"/>
      <c r="IV517" s="707"/>
      <c r="IW517" s="707"/>
    </row>
    <row r="518" customFormat="false" ht="12.75" hidden="false" customHeight="false" outlineLevel="1" collapsed="false">
      <c r="A518" s="724"/>
      <c r="B518" s="725"/>
      <c r="C518" s="725"/>
      <c r="D518" s="725"/>
      <c r="E518" s="713"/>
      <c r="F518" s="713"/>
      <c r="G518" s="713"/>
      <c r="H518" s="713"/>
      <c r="I518" s="713"/>
      <c r="J518" s="713"/>
      <c r="K518" s="713"/>
      <c r="L518" s="713"/>
      <c r="M518" s="713"/>
      <c r="N518" s="713"/>
      <c r="O518" s="713"/>
      <c r="P518" s="713"/>
      <c r="Q518" s="713"/>
      <c r="R518" s="713"/>
      <c r="S518" s="713"/>
      <c r="T518" s="713"/>
      <c r="U518" s="713"/>
      <c r="V518" s="713"/>
      <c r="W518" s="713"/>
      <c r="X518" s="713"/>
      <c r="Y518" s="713"/>
      <c r="Z518" s="713"/>
      <c r="AA518" s="722"/>
      <c r="AB518" s="722"/>
      <c r="AC518" s="722"/>
      <c r="AD518" s="722"/>
      <c r="AE518" s="722"/>
      <c r="AF518" s="722"/>
      <c r="AG518" s="722"/>
      <c r="AH518" s="722"/>
      <c r="AI518" s="722"/>
      <c r="AJ518" s="722"/>
      <c r="AK518" s="722"/>
      <c r="AL518" s="722"/>
      <c r="AM518" s="722"/>
      <c r="AN518" s="722"/>
      <c r="AO518" s="722"/>
      <c r="AP518" s="722"/>
      <c r="AQ518" s="722"/>
      <c r="AR518" s="722"/>
      <c r="AS518" s="722"/>
      <c r="AT518" s="722"/>
      <c r="AU518" s="722"/>
      <c r="AV518" s="722"/>
      <c r="AW518" s="722"/>
      <c r="AX518" s="722"/>
      <c r="AY518" s="722"/>
      <c r="AZ518" s="722"/>
      <c r="BA518" s="722"/>
      <c r="BB518" s="722"/>
      <c r="BC518" s="722"/>
      <c r="BD518" s="722"/>
      <c r="BE518" s="722"/>
      <c r="BF518" s="722"/>
      <c r="BG518" s="722"/>
      <c r="BH518" s="722"/>
      <c r="BI518" s="722"/>
      <c r="BJ518" s="722"/>
      <c r="BK518" s="722"/>
      <c r="BL518" s="722"/>
      <c r="BM518" s="722"/>
      <c r="BN518" s="722"/>
      <c r="BO518" s="722"/>
      <c r="BP518" s="722"/>
      <c r="BQ518" s="722"/>
      <c r="BR518" s="722"/>
      <c r="BS518" s="722"/>
      <c r="BT518" s="722"/>
      <c r="BU518" s="722"/>
      <c r="BV518" s="722"/>
      <c r="BW518" s="722"/>
      <c r="BX518" s="722"/>
      <c r="BY518" s="722"/>
      <c r="BZ518" s="722"/>
      <c r="CA518" s="722"/>
      <c r="CB518" s="722"/>
      <c r="CC518" s="722"/>
      <c r="CD518" s="722"/>
      <c r="CE518" s="722"/>
      <c r="CF518" s="722"/>
      <c r="CG518" s="722"/>
      <c r="CH518" s="722"/>
      <c r="CI518" s="722"/>
      <c r="CJ518" s="722"/>
      <c r="CK518" s="722"/>
      <c r="CL518" s="722"/>
      <c r="CM518" s="722"/>
      <c r="CN518" s="722"/>
      <c r="CO518" s="722"/>
      <c r="CP518" s="722"/>
      <c r="CQ518" s="722"/>
      <c r="CR518" s="722"/>
      <c r="CS518" s="722"/>
      <c r="CT518" s="722"/>
      <c r="CU518" s="722"/>
      <c r="CV518" s="722"/>
      <c r="CW518" s="722"/>
      <c r="CX518" s="722"/>
      <c r="CY518" s="722"/>
      <c r="CZ518" s="722"/>
      <c r="DA518" s="722"/>
      <c r="DB518" s="722"/>
      <c r="DC518" s="722"/>
      <c r="DD518" s="722"/>
      <c r="DE518" s="722"/>
      <c r="DF518" s="722"/>
      <c r="DG518" s="722"/>
      <c r="DH518" s="722"/>
      <c r="DI518" s="722"/>
      <c r="DJ518" s="722"/>
      <c r="DK518" s="722"/>
      <c r="DL518" s="722"/>
      <c r="DM518" s="722"/>
      <c r="DN518" s="722"/>
      <c r="DO518" s="722"/>
      <c r="DP518" s="722"/>
      <c r="DQ518" s="722"/>
      <c r="DR518" s="722"/>
      <c r="DS518" s="722"/>
      <c r="DT518" s="722"/>
      <c r="DU518" s="722"/>
      <c r="DV518" s="722"/>
      <c r="DW518" s="722"/>
      <c r="DX518" s="722"/>
      <c r="DY518" s="722"/>
      <c r="DZ518" s="722"/>
      <c r="EA518" s="722"/>
      <c r="EB518" s="722"/>
      <c r="EC518" s="722"/>
      <c r="ED518" s="722"/>
      <c r="EE518" s="722"/>
      <c r="EF518" s="722"/>
      <c r="EG518" s="722"/>
      <c r="EH518" s="722"/>
      <c r="EI518" s="722"/>
      <c r="EJ518" s="722"/>
      <c r="EK518" s="722"/>
      <c r="EL518" s="722"/>
      <c r="EM518" s="722"/>
      <c r="EN518" s="722"/>
      <c r="EO518" s="722"/>
      <c r="EP518" s="722"/>
      <c r="EQ518" s="722"/>
      <c r="ER518" s="722"/>
      <c r="ES518" s="722"/>
      <c r="ET518" s="722"/>
      <c r="EU518" s="722"/>
      <c r="EV518" s="722"/>
      <c r="EW518" s="722"/>
      <c r="EX518" s="722"/>
      <c r="EY518" s="722"/>
      <c r="EZ518" s="722"/>
      <c r="FA518" s="722"/>
      <c r="FB518" s="722"/>
      <c r="FC518" s="722"/>
      <c r="FD518" s="722"/>
      <c r="FE518" s="722"/>
      <c r="FF518" s="722"/>
      <c r="FG518" s="722"/>
      <c r="FH518" s="722"/>
      <c r="FI518" s="722"/>
      <c r="FJ518" s="722"/>
      <c r="FK518" s="722"/>
      <c r="FL518" s="722"/>
      <c r="FM518" s="722"/>
      <c r="FN518" s="722"/>
      <c r="FO518" s="722"/>
      <c r="FP518" s="722"/>
      <c r="FQ518" s="722"/>
      <c r="FR518" s="722"/>
      <c r="FS518" s="722"/>
      <c r="FT518" s="722"/>
      <c r="FU518" s="722"/>
      <c r="FV518" s="722"/>
      <c r="FW518" s="722"/>
      <c r="FX518" s="722"/>
      <c r="FY518" s="722"/>
      <c r="FZ518" s="722"/>
      <c r="GA518" s="722"/>
      <c r="GB518" s="722"/>
      <c r="GC518" s="722"/>
      <c r="GD518" s="722"/>
      <c r="GE518" s="722"/>
      <c r="GF518" s="722"/>
      <c r="GG518" s="722"/>
      <c r="GH518" s="722"/>
      <c r="GI518" s="722"/>
      <c r="GJ518" s="722"/>
      <c r="GK518" s="722"/>
      <c r="GL518" s="722"/>
      <c r="GM518" s="722"/>
      <c r="GN518" s="722"/>
      <c r="GO518" s="722"/>
      <c r="GP518" s="722"/>
      <c r="GQ518" s="722"/>
      <c r="GR518" s="722"/>
      <c r="GS518" s="722"/>
      <c r="GT518" s="722"/>
      <c r="GU518" s="722"/>
      <c r="GV518" s="722"/>
      <c r="GW518" s="722"/>
      <c r="GX518" s="722"/>
      <c r="GY518" s="722"/>
      <c r="GZ518" s="722"/>
      <c r="HA518" s="722"/>
      <c r="HB518" s="722"/>
      <c r="HC518" s="722"/>
      <c r="HD518" s="722"/>
      <c r="HE518" s="722"/>
      <c r="HF518" s="722"/>
      <c r="HG518" s="722"/>
      <c r="HH518" s="722"/>
      <c r="HI518" s="722"/>
      <c r="HJ518" s="722"/>
      <c r="HK518" s="722"/>
      <c r="HL518" s="722"/>
      <c r="HM518" s="722"/>
      <c r="HN518" s="722"/>
      <c r="HO518" s="722"/>
      <c r="HP518" s="722"/>
      <c r="HQ518" s="722"/>
      <c r="HR518" s="722"/>
      <c r="HS518" s="722"/>
      <c r="HT518" s="722"/>
      <c r="HU518" s="722"/>
      <c r="HV518" s="722"/>
      <c r="HW518" s="722"/>
      <c r="HX518" s="722"/>
      <c r="HY518" s="722"/>
      <c r="HZ518" s="722"/>
      <c r="IA518" s="722"/>
      <c r="IB518" s="722"/>
      <c r="IC518" s="722"/>
      <c r="ID518" s="722"/>
      <c r="IE518" s="722"/>
      <c r="IF518" s="722"/>
      <c r="IG518" s="722"/>
      <c r="IH518" s="722"/>
      <c r="II518" s="722"/>
      <c r="IJ518" s="722"/>
      <c r="IK518" s="722"/>
      <c r="IL518" s="722"/>
      <c r="IM518" s="722"/>
      <c r="IN518" s="722"/>
      <c r="IO518" s="722"/>
      <c r="IP518" s="722"/>
      <c r="IQ518" s="722"/>
      <c r="IR518" s="722"/>
      <c r="IS518" s="722"/>
      <c r="IT518" s="722"/>
      <c r="IU518" s="722"/>
      <c r="IV518" s="722"/>
      <c r="IW518" s="722"/>
    </row>
    <row r="519" customFormat="false" ht="12.75" hidden="false" customHeight="false" outlineLevel="1" collapsed="false">
      <c r="A519" s="388"/>
      <c r="B519" s="719"/>
      <c r="C519" s="719"/>
      <c r="D519" s="719"/>
      <c r="E519" s="713"/>
      <c r="F519" s="713"/>
      <c r="G519" s="713"/>
      <c r="H519" s="713"/>
      <c r="I519" s="713"/>
      <c r="J519" s="713"/>
      <c r="K519" s="713"/>
      <c r="L519" s="713"/>
      <c r="M519" s="713"/>
      <c r="N519" s="713"/>
      <c r="O519" s="713"/>
      <c r="P519" s="713"/>
      <c r="Q519" s="713"/>
      <c r="R519" s="713"/>
      <c r="S519" s="713"/>
      <c r="T519" s="713"/>
      <c r="U519" s="713"/>
      <c r="V519" s="713"/>
      <c r="W519" s="713"/>
      <c r="X519" s="713"/>
      <c r="Y519" s="713"/>
      <c r="Z519" s="713"/>
      <c r="AA519" s="707"/>
      <c r="AB519" s="707"/>
      <c r="AC519" s="707"/>
      <c r="AD519" s="707"/>
      <c r="AE519" s="707"/>
      <c r="AF519" s="707"/>
      <c r="AG519" s="707"/>
      <c r="AH519" s="707"/>
      <c r="AI519" s="707"/>
      <c r="AJ519" s="707"/>
      <c r="AK519" s="707"/>
      <c r="AL519" s="707"/>
      <c r="AM519" s="707"/>
      <c r="AN519" s="707"/>
      <c r="AO519" s="707"/>
      <c r="AP519" s="707"/>
      <c r="AQ519" s="707"/>
      <c r="AR519" s="707"/>
      <c r="AS519" s="707"/>
      <c r="AT519" s="707"/>
      <c r="AU519" s="707"/>
      <c r="AV519" s="707"/>
      <c r="AW519" s="707"/>
      <c r="AX519" s="707"/>
      <c r="AY519" s="707"/>
      <c r="AZ519" s="707"/>
      <c r="BA519" s="707"/>
      <c r="BB519" s="707"/>
      <c r="BC519" s="707"/>
      <c r="BD519" s="707"/>
      <c r="BE519" s="707"/>
      <c r="BF519" s="707"/>
      <c r="BG519" s="707"/>
      <c r="BH519" s="707"/>
      <c r="BI519" s="707"/>
      <c r="BJ519" s="707"/>
      <c r="BK519" s="707"/>
      <c r="BL519" s="707"/>
      <c r="BM519" s="707"/>
      <c r="BN519" s="707"/>
      <c r="BO519" s="707"/>
      <c r="BP519" s="707"/>
      <c r="BQ519" s="707"/>
      <c r="BR519" s="707"/>
      <c r="BS519" s="707"/>
      <c r="BT519" s="707"/>
      <c r="BU519" s="707"/>
      <c r="BV519" s="707"/>
      <c r="BW519" s="707"/>
      <c r="BX519" s="707"/>
      <c r="BY519" s="707"/>
      <c r="BZ519" s="707"/>
      <c r="CA519" s="707"/>
      <c r="CB519" s="707"/>
      <c r="CC519" s="707"/>
      <c r="CD519" s="707"/>
      <c r="CE519" s="707"/>
      <c r="CF519" s="707"/>
      <c r="CG519" s="707"/>
      <c r="CH519" s="707"/>
      <c r="CI519" s="707"/>
      <c r="CJ519" s="707"/>
      <c r="CK519" s="707"/>
      <c r="CL519" s="707"/>
      <c r="CM519" s="707"/>
      <c r="CN519" s="707"/>
      <c r="CO519" s="707"/>
      <c r="CP519" s="707"/>
      <c r="CQ519" s="707"/>
      <c r="CR519" s="707"/>
      <c r="CS519" s="707"/>
      <c r="CT519" s="707"/>
      <c r="CU519" s="707"/>
      <c r="CV519" s="707"/>
      <c r="CW519" s="707"/>
      <c r="CX519" s="707"/>
      <c r="CY519" s="707"/>
      <c r="CZ519" s="707"/>
      <c r="DA519" s="707"/>
      <c r="DB519" s="707"/>
      <c r="DC519" s="707"/>
      <c r="DD519" s="707"/>
      <c r="DE519" s="707"/>
      <c r="DF519" s="707"/>
      <c r="DG519" s="707"/>
      <c r="DH519" s="707"/>
      <c r="DI519" s="707"/>
      <c r="DJ519" s="707"/>
      <c r="DK519" s="707"/>
      <c r="DL519" s="707"/>
      <c r="DM519" s="707"/>
      <c r="DN519" s="707"/>
      <c r="DO519" s="707"/>
      <c r="DP519" s="707"/>
      <c r="DQ519" s="707"/>
      <c r="DR519" s="707"/>
      <c r="DS519" s="707"/>
      <c r="DT519" s="707"/>
      <c r="DU519" s="707"/>
      <c r="DV519" s="707"/>
      <c r="DW519" s="707"/>
      <c r="DX519" s="707"/>
      <c r="DY519" s="707"/>
      <c r="DZ519" s="707"/>
      <c r="EA519" s="707"/>
      <c r="EB519" s="707"/>
      <c r="EC519" s="707"/>
      <c r="ED519" s="707"/>
      <c r="EE519" s="707"/>
      <c r="EF519" s="707"/>
      <c r="EG519" s="707"/>
      <c r="EH519" s="707"/>
      <c r="EI519" s="707"/>
      <c r="EJ519" s="707"/>
      <c r="EK519" s="707"/>
      <c r="EL519" s="707"/>
      <c r="EM519" s="707"/>
      <c r="EN519" s="707"/>
      <c r="EO519" s="707"/>
      <c r="EP519" s="707"/>
      <c r="EQ519" s="707"/>
      <c r="ER519" s="707"/>
      <c r="ES519" s="707"/>
      <c r="ET519" s="707"/>
      <c r="EU519" s="707"/>
      <c r="EV519" s="707"/>
      <c r="EW519" s="707"/>
      <c r="EX519" s="707"/>
      <c r="EY519" s="707"/>
      <c r="EZ519" s="707"/>
      <c r="FA519" s="707"/>
      <c r="FB519" s="707"/>
      <c r="FC519" s="707"/>
      <c r="FD519" s="707"/>
      <c r="FE519" s="707"/>
      <c r="FF519" s="707"/>
      <c r="FG519" s="707"/>
      <c r="FH519" s="707"/>
      <c r="FI519" s="707"/>
      <c r="FJ519" s="707"/>
      <c r="FK519" s="707"/>
      <c r="FL519" s="707"/>
      <c r="FM519" s="707"/>
      <c r="FN519" s="707"/>
      <c r="FO519" s="707"/>
      <c r="FP519" s="707"/>
      <c r="FQ519" s="707"/>
      <c r="FR519" s="707"/>
      <c r="FS519" s="707"/>
      <c r="FT519" s="707"/>
      <c r="FU519" s="707"/>
      <c r="FV519" s="707"/>
      <c r="FW519" s="707"/>
      <c r="FX519" s="707"/>
      <c r="FY519" s="707"/>
      <c r="FZ519" s="707"/>
      <c r="GA519" s="707"/>
      <c r="GB519" s="707"/>
      <c r="GC519" s="707"/>
      <c r="GD519" s="707"/>
      <c r="GE519" s="707"/>
      <c r="GF519" s="707"/>
      <c r="GG519" s="707"/>
      <c r="GH519" s="707"/>
      <c r="GI519" s="707"/>
      <c r="GJ519" s="707"/>
      <c r="GK519" s="707"/>
      <c r="GL519" s="707"/>
      <c r="GM519" s="707"/>
      <c r="GN519" s="707"/>
      <c r="GO519" s="707"/>
      <c r="GP519" s="707"/>
      <c r="GQ519" s="707"/>
      <c r="GR519" s="707"/>
      <c r="GS519" s="707"/>
      <c r="GT519" s="707"/>
      <c r="GU519" s="707"/>
      <c r="GV519" s="707"/>
      <c r="GW519" s="707"/>
      <c r="GX519" s="707"/>
      <c r="GY519" s="707"/>
      <c r="GZ519" s="707"/>
      <c r="HA519" s="707"/>
      <c r="HB519" s="707"/>
      <c r="HC519" s="707"/>
      <c r="HD519" s="707"/>
      <c r="HE519" s="707"/>
      <c r="HF519" s="707"/>
      <c r="HG519" s="707"/>
      <c r="HH519" s="707"/>
      <c r="HI519" s="707"/>
      <c r="HJ519" s="707"/>
      <c r="HK519" s="707"/>
      <c r="HL519" s="707"/>
      <c r="HM519" s="707"/>
      <c r="HN519" s="707"/>
      <c r="HO519" s="707"/>
      <c r="HP519" s="707"/>
      <c r="HQ519" s="707"/>
      <c r="HR519" s="707"/>
      <c r="HS519" s="707"/>
      <c r="HT519" s="707"/>
      <c r="HU519" s="707"/>
      <c r="HV519" s="707"/>
      <c r="HW519" s="707"/>
      <c r="HX519" s="707"/>
      <c r="HY519" s="707"/>
      <c r="HZ519" s="707"/>
      <c r="IA519" s="707"/>
      <c r="IB519" s="707"/>
      <c r="IC519" s="707"/>
      <c r="ID519" s="707"/>
      <c r="IE519" s="707"/>
      <c r="IF519" s="707"/>
      <c r="IG519" s="707"/>
      <c r="IH519" s="707"/>
      <c r="II519" s="707"/>
      <c r="IJ519" s="707"/>
      <c r="IK519" s="707"/>
      <c r="IL519" s="707"/>
      <c r="IM519" s="707"/>
      <c r="IN519" s="707"/>
      <c r="IO519" s="707"/>
      <c r="IP519" s="707"/>
      <c r="IQ519" s="707"/>
      <c r="IR519" s="707"/>
      <c r="IS519" s="707"/>
      <c r="IT519" s="707"/>
      <c r="IU519" s="707"/>
      <c r="IV519" s="707"/>
      <c r="IW519" s="707"/>
    </row>
    <row r="520" customFormat="false" ht="12.75" hidden="false" customHeight="false" outlineLevel="1" collapsed="false">
      <c r="A520" s="388"/>
      <c r="B520" s="719"/>
      <c r="C520" s="719"/>
      <c r="D520" s="719"/>
      <c r="E520" s="713"/>
      <c r="F520" s="713"/>
      <c r="G520" s="713"/>
      <c r="H520" s="713"/>
      <c r="I520" s="713"/>
      <c r="J520" s="713"/>
      <c r="K520" s="713"/>
      <c r="L520" s="713"/>
      <c r="M520" s="713"/>
      <c r="N520" s="713"/>
      <c r="O520" s="713"/>
      <c r="P520" s="713"/>
      <c r="Q520" s="713"/>
      <c r="R520" s="713"/>
      <c r="S520" s="713"/>
      <c r="T520" s="713"/>
      <c r="U520" s="713"/>
      <c r="V520" s="713"/>
      <c r="W520" s="713"/>
      <c r="X520" s="713"/>
      <c r="Y520" s="713"/>
      <c r="Z520" s="713"/>
      <c r="AA520" s="707"/>
      <c r="AB520" s="707"/>
      <c r="AC520" s="707"/>
      <c r="AD520" s="707"/>
      <c r="AE520" s="707"/>
      <c r="AF520" s="707"/>
      <c r="AG520" s="707"/>
      <c r="AH520" s="707"/>
      <c r="AI520" s="707"/>
      <c r="AJ520" s="707"/>
      <c r="AK520" s="707"/>
      <c r="AL520" s="707"/>
      <c r="AM520" s="707"/>
      <c r="AN520" s="707"/>
      <c r="AO520" s="707"/>
      <c r="AP520" s="707"/>
      <c r="AQ520" s="707"/>
      <c r="AR520" s="707"/>
      <c r="AS520" s="707"/>
      <c r="AT520" s="707"/>
      <c r="AU520" s="707"/>
      <c r="AV520" s="707"/>
      <c r="AW520" s="707"/>
      <c r="AX520" s="707"/>
      <c r="AY520" s="707"/>
      <c r="AZ520" s="707"/>
      <c r="BA520" s="707"/>
      <c r="BB520" s="707"/>
      <c r="BC520" s="707"/>
      <c r="BD520" s="707"/>
      <c r="BE520" s="707"/>
      <c r="BF520" s="707"/>
      <c r="BG520" s="707"/>
      <c r="BH520" s="707"/>
      <c r="BI520" s="707"/>
      <c r="BJ520" s="707"/>
      <c r="BK520" s="707"/>
      <c r="BL520" s="707"/>
      <c r="BM520" s="707"/>
      <c r="BN520" s="707"/>
      <c r="BO520" s="707"/>
      <c r="BP520" s="707"/>
      <c r="BQ520" s="707"/>
      <c r="BR520" s="707"/>
      <c r="BS520" s="707"/>
      <c r="BT520" s="707"/>
      <c r="BU520" s="707"/>
      <c r="BV520" s="707"/>
      <c r="BW520" s="707"/>
      <c r="BX520" s="707"/>
      <c r="BY520" s="707"/>
      <c r="BZ520" s="707"/>
      <c r="CA520" s="707"/>
      <c r="CB520" s="707"/>
      <c r="CC520" s="707"/>
      <c r="CD520" s="707"/>
      <c r="CE520" s="707"/>
      <c r="CF520" s="707"/>
      <c r="CG520" s="707"/>
      <c r="CH520" s="707"/>
      <c r="CI520" s="707"/>
      <c r="CJ520" s="707"/>
      <c r="CK520" s="707"/>
      <c r="CL520" s="707"/>
      <c r="CM520" s="707"/>
      <c r="CN520" s="707"/>
      <c r="CO520" s="707"/>
      <c r="CP520" s="707"/>
      <c r="CQ520" s="707"/>
      <c r="CR520" s="707"/>
      <c r="CS520" s="707"/>
      <c r="CT520" s="707"/>
      <c r="CU520" s="707"/>
      <c r="CV520" s="707"/>
      <c r="CW520" s="707"/>
      <c r="CX520" s="707"/>
      <c r="CY520" s="707"/>
      <c r="CZ520" s="707"/>
      <c r="DA520" s="707"/>
      <c r="DB520" s="707"/>
      <c r="DC520" s="707"/>
      <c r="DD520" s="707"/>
      <c r="DE520" s="707"/>
      <c r="DF520" s="707"/>
      <c r="DG520" s="707"/>
      <c r="DH520" s="707"/>
      <c r="DI520" s="707"/>
      <c r="DJ520" s="707"/>
      <c r="DK520" s="707"/>
      <c r="DL520" s="707"/>
      <c r="DM520" s="707"/>
      <c r="DN520" s="707"/>
      <c r="DO520" s="707"/>
      <c r="DP520" s="707"/>
      <c r="DQ520" s="707"/>
      <c r="DR520" s="707"/>
      <c r="DS520" s="707"/>
      <c r="DT520" s="707"/>
      <c r="DU520" s="707"/>
      <c r="DV520" s="707"/>
      <c r="DW520" s="707"/>
      <c r="DX520" s="707"/>
      <c r="DY520" s="707"/>
      <c r="DZ520" s="707"/>
      <c r="EA520" s="707"/>
      <c r="EB520" s="707"/>
      <c r="EC520" s="707"/>
      <c r="ED520" s="707"/>
      <c r="EE520" s="707"/>
      <c r="EF520" s="707"/>
      <c r="EG520" s="707"/>
      <c r="EH520" s="707"/>
      <c r="EI520" s="707"/>
      <c r="EJ520" s="707"/>
      <c r="EK520" s="707"/>
      <c r="EL520" s="707"/>
      <c r="EM520" s="707"/>
      <c r="EN520" s="707"/>
      <c r="EO520" s="707"/>
      <c r="EP520" s="707"/>
      <c r="EQ520" s="707"/>
      <c r="ER520" s="707"/>
      <c r="ES520" s="707"/>
      <c r="ET520" s="707"/>
      <c r="EU520" s="707"/>
      <c r="EV520" s="707"/>
      <c r="EW520" s="707"/>
      <c r="EX520" s="707"/>
      <c r="EY520" s="707"/>
      <c r="EZ520" s="707"/>
      <c r="FA520" s="707"/>
      <c r="FB520" s="707"/>
      <c r="FC520" s="707"/>
      <c r="FD520" s="707"/>
      <c r="FE520" s="707"/>
      <c r="FF520" s="707"/>
      <c r="FG520" s="707"/>
      <c r="FH520" s="707"/>
      <c r="FI520" s="707"/>
      <c r="FJ520" s="707"/>
      <c r="FK520" s="707"/>
      <c r="FL520" s="707"/>
      <c r="FM520" s="707"/>
      <c r="FN520" s="707"/>
      <c r="FO520" s="707"/>
      <c r="FP520" s="707"/>
      <c r="FQ520" s="707"/>
      <c r="FR520" s="707"/>
      <c r="FS520" s="707"/>
      <c r="FT520" s="707"/>
      <c r="FU520" s="707"/>
      <c r="FV520" s="707"/>
      <c r="FW520" s="707"/>
      <c r="FX520" s="707"/>
      <c r="FY520" s="707"/>
      <c r="FZ520" s="707"/>
      <c r="GA520" s="707"/>
      <c r="GB520" s="707"/>
      <c r="GC520" s="707"/>
      <c r="GD520" s="707"/>
      <c r="GE520" s="707"/>
      <c r="GF520" s="707"/>
      <c r="GG520" s="707"/>
      <c r="GH520" s="707"/>
      <c r="GI520" s="707"/>
      <c r="GJ520" s="707"/>
      <c r="GK520" s="707"/>
      <c r="GL520" s="707"/>
      <c r="GM520" s="707"/>
      <c r="GN520" s="707"/>
      <c r="GO520" s="707"/>
      <c r="GP520" s="707"/>
      <c r="GQ520" s="707"/>
      <c r="GR520" s="707"/>
      <c r="GS520" s="707"/>
      <c r="GT520" s="707"/>
      <c r="GU520" s="707"/>
      <c r="GV520" s="707"/>
      <c r="GW520" s="707"/>
      <c r="GX520" s="707"/>
      <c r="GY520" s="707"/>
      <c r="GZ520" s="707"/>
      <c r="HA520" s="707"/>
      <c r="HB520" s="707"/>
      <c r="HC520" s="707"/>
      <c r="HD520" s="707"/>
      <c r="HE520" s="707"/>
      <c r="HF520" s="707"/>
      <c r="HG520" s="707"/>
      <c r="HH520" s="707"/>
      <c r="HI520" s="707"/>
      <c r="HJ520" s="707"/>
      <c r="HK520" s="707"/>
      <c r="HL520" s="707"/>
      <c r="HM520" s="707"/>
      <c r="HN520" s="707"/>
      <c r="HO520" s="707"/>
      <c r="HP520" s="707"/>
      <c r="HQ520" s="707"/>
      <c r="HR520" s="707"/>
      <c r="HS520" s="707"/>
      <c r="HT520" s="707"/>
      <c r="HU520" s="707"/>
      <c r="HV520" s="707"/>
      <c r="HW520" s="707"/>
      <c r="HX520" s="707"/>
      <c r="HY520" s="707"/>
      <c r="HZ520" s="707"/>
      <c r="IA520" s="707"/>
      <c r="IB520" s="707"/>
      <c r="IC520" s="707"/>
      <c r="ID520" s="707"/>
      <c r="IE520" s="707"/>
      <c r="IF520" s="707"/>
      <c r="IG520" s="707"/>
      <c r="IH520" s="707"/>
      <c r="II520" s="707"/>
      <c r="IJ520" s="707"/>
      <c r="IK520" s="707"/>
      <c r="IL520" s="707"/>
      <c r="IM520" s="707"/>
      <c r="IN520" s="707"/>
      <c r="IO520" s="707"/>
      <c r="IP520" s="707"/>
      <c r="IQ520" s="707"/>
      <c r="IR520" s="707"/>
      <c r="IS520" s="707"/>
      <c r="IT520" s="707"/>
      <c r="IU520" s="707"/>
      <c r="IV520" s="707"/>
      <c r="IW520" s="707"/>
    </row>
    <row r="521" customFormat="false" ht="12.75" hidden="false" customHeight="false" outlineLevel="1" collapsed="false">
      <c r="A521" s="388"/>
      <c r="B521" s="719"/>
      <c r="C521" s="719"/>
      <c r="D521" s="719"/>
      <c r="E521" s="713"/>
      <c r="F521" s="713"/>
      <c r="G521" s="713"/>
      <c r="H521" s="713"/>
      <c r="I521" s="713"/>
      <c r="J521" s="713"/>
      <c r="K521" s="713"/>
      <c r="L521" s="713"/>
      <c r="M521" s="713"/>
      <c r="N521" s="713"/>
      <c r="O521" s="713"/>
      <c r="P521" s="713"/>
      <c r="Q521" s="713"/>
      <c r="R521" s="713"/>
      <c r="S521" s="713"/>
      <c r="T521" s="713"/>
      <c r="U521" s="713"/>
      <c r="V521" s="713"/>
      <c r="W521" s="713"/>
      <c r="X521" s="713"/>
      <c r="Y521" s="713"/>
      <c r="Z521" s="713"/>
      <c r="AA521" s="707"/>
      <c r="AB521" s="707"/>
      <c r="AC521" s="707"/>
      <c r="AD521" s="707"/>
      <c r="AE521" s="707"/>
      <c r="AF521" s="707"/>
      <c r="AG521" s="707"/>
      <c r="AH521" s="707"/>
      <c r="AI521" s="707"/>
      <c r="AJ521" s="707"/>
      <c r="AK521" s="707"/>
      <c r="AL521" s="707"/>
      <c r="AM521" s="707"/>
      <c r="AN521" s="707"/>
      <c r="AO521" s="707"/>
      <c r="AP521" s="707"/>
      <c r="AQ521" s="707"/>
      <c r="AR521" s="707"/>
      <c r="AS521" s="707"/>
      <c r="AT521" s="707"/>
      <c r="AU521" s="707"/>
      <c r="AV521" s="707"/>
      <c r="AW521" s="707"/>
      <c r="AX521" s="707"/>
      <c r="AY521" s="707"/>
      <c r="AZ521" s="707"/>
      <c r="BA521" s="707"/>
      <c r="BB521" s="707"/>
      <c r="BC521" s="707"/>
      <c r="BD521" s="707"/>
      <c r="BE521" s="707"/>
      <c r="BF521" s="707"/>
      <c r="BG521" s="707"/>
      <c r="BH521" s="707"/>
      <c r="BI521" s="707"/>
      <c r="BJ521" s="707"/>
      <c r="BK521" s="707"/>
      <c r="BL521" s="707"/>
      <c r="BM521" s="707"/>
      <c r="BN521" s="707"/>
      <c r="BO521" s="707"/>
      <c r="BP521" s="707"/>
      <c r="BQ521" s="707"/>
      <c r="BR521" s="707"/>
      <c r="BS521" s="707"/>
      <c r="BT521" s="707"/>
      <c r="BU521" s="707"/>
      <c r="BV521" s="707"/>
      <c r="BW521" s="707"/>
      <c r="BX521" s="707"/>
      <c r="BY521" s="707"/>
      <c r="BZ521" s="707"/>
      <c r="CA521" s="707"/>
      <c r="CB521" s="707"/>
      <c r="CC521" s="707"/>
      <c r="CD521" s="707"/>
      <c r="CE521" s="707"/>
      <c r="CF521" s="707"/>
      <c r="CG521" s="707"/>
      <c r="CH521" s="707"/>
      <c r="CI521" s="707"/>
      <c r="CJ521" s="707"/>
      <c r="CK521" s="707"/>
      <c r="CL521" s="707"/>
      <c r="CM521" s="707"/>
      <c r="CN521" s="707"/>
      <c r="CO521" s="707"/>
      <c r="CP521" s="707"/>
      <c r="CQ521" s="707"/>
      <c r="CR521" s="707"/>
      <c r="CS521" s="707"/>
      <c r="CT521" s="707"/>
      <c r="CU521" s="707"/>
      <c r="CV521" s="707"/>
      <c r="CW521" s="707"/>
      <c r="CX521" s="707"/>
      <c r="CY521" s="707"/>
      <c r="CZ521" s="707"/>
      <c r="DA521" s="707"/>
      <c r="DB521" s="707"/>
      <c r="DC521" s="707"/>
      <c r="DD521" s="707"/>
      <c r="DE521" s="707"/>
      <c r="DF521" s="707"/>
      <c r="DG521" s="707"/>
      <c r="DH521" s="707"/>
      <c r="DI521" s="707"/>
      <c r="DJ521" s="707"/>
      <c r="DK521" s="707"/>
      <c r="DL521" s="707"/>
      <c r="DM521" s="707"/>
      <c r="DN521" s="707"/>
      <c r="DO521" s="707"/>
      <c r="DP521" s="707"/>
      <c r="DQ521" s="707"/>
      <c r="DR521" s="707"/>
      <c r="DS521" s="707"/>
      <c r="DT521" s="707"/>
      <c r="DU521" s="707"/>
      <c r="DV521" s="707"/>
      <c r="DW521" s="707"/>
      <c r="DX521" s="707"/>
      <c r="DY521" s="707"/>
      <c r="DZ521" s="707"/>
      <c r="EA521" s="707"/>
      <c r="EB521" s="707"/>
      <c r="EC521" s="707"/>
      <c r="ED521" s="707"/>
      <c r="EE521" s="707"/>
      <c r="EF521" s="707"/>
      <c r="EG521" s="707"/>
      <c r="EH521" s="707"/>
      <c r="EI521" s="707"/>
      <c r="EJ521" s="707"/>
      <c r="EK521" s="707"/>
      <c r="EL521" s="707"/>
      <c r="EM521" s="707"/>
      <c r="EN521" s="707"/>
      <c r="EO521" s="707"/>
      <c r="EP521" s="707"/>
      <c r="EQ521" s="707"/>
      <c r="ER521" s="707"/>
      <c r="ES521" s="707"/>
      <c r="ET521" s="707"/>
      <c r="EU521" s="707"/>
      <c r="EV521" s="707"/>
      <c r="EW521" s="707"/>
      <c r="EX521" s="707"/>
      <c r="EY521" s="707"/>
      <c r="EZ521" s="707"/>
      <c r="FA521" s="707"/>
      <c r="FB521" s="707"/>
      <c r="FC521" s="707"/>
      <c r="FD521" s="707"/>
      <c r="FE521" s="707"/>
      <c r="FF521" s="707"/>
      <c r="FG521" s="707"/>
      <c r="FH521" s="707"/>
      <c r="FI521" s="707"/>
      <c r="FJ521" s="707"/>
      <c r="FK521" s="707"/>
      <c r="FL521" s="707"/>
      <c r="FM521" s="707"/>
      <c r="FN521" s="707"/>
      <c r="FO521" s="707"/>
      <c r="FP521" s="707"/>
      <c r="FQ521" s="707"/>
      <c r="FR521" s="707"/>
      <c r="FS521" s="707"/>
      <c r="FT521" s="707"/>
      <c r="FU521" s="707"/>
      <c r="FV521" s="707"/>
      <c r="FW521" s="707"/>
      <c r="FX521" s="707"/>
      <c r="FY521" s="707"/>
      <c r="FZ521" s="707"/>
      <c r="GA521" s="707"/>
      <c r="GB521" s="707"/>
      <c r="GC521" s="707"/>
      <c r="GD521" s="707"/>
      <c r="GE521" s="707"/>
      <c r="GF521" s="707"/>
      <c r="GG521" s="707"/>
      <c r="GH521" s="707"/>
      <c r="GI521" s="707"/>
      <c r="GJ521" s="707"/>
      <c r="GK521" s="707"/>
      <c r="GL521" s="707"/>
      <c r="GM521" s="707"/>
      <c r="GN521" s="707"/>
      <c r="GO521" s="707"/>
      <c r="GP521" s="707"/>
      <c r="GQ521" s="707"/>
      <c r="GR521" s="707"/>
      <c r="GS521" s="707"/>
      <c r="GT521" s="707"/>
      <c r="GU521" s="707"/>
      <c r="GV521" s="707"/>
      <c r="GW521" s="707"/>
      <c r="GX521" s="707"/>
      <c r="GY521" s="707"/>
      <c r="GZ521" s="707"/>
      <c r="HA521" s="707"/>
      <c r="HB521" s="707"/>
      <c r="HC521" s="707"/>
      <c r="HD521" s="707"/>
      <c r="HE521" s="707"/>
      <c r="HF521" s="707"/>
      <c r="HG521" s="707"/>
      <c r="HH521" s="707"/>
      <c r="HI521" s="707"/>
      <c r="HJ521" s="707"/>
      <c r="HK521" s="707"/>
      <c r="HL521" s="707"/>
      <c r="HM521" s="707"/>
      <c r="HN521" s="707"/>
      <c r="HO521" s="707"/>
      <c r="HP521" s="707"/>
      <c r="HQ521" s="707"/>
      <c r="HR521" s="707"/>
      <c r="HS521" s="707"/>
      <c r="HT521" s="707"/>
      <c r="HU521" s="707"/>
      <c r="HV521" s="707"/>
      <c r="HW521" s="707"/>
      <c r="HX521" s="707"/>
      <c r="HY521" s="707"/>
      <c r="HZ521" s="707"/>
      <c r="IA521" s="707"/>
      <c r="IB521" s="707"/>
      <c r="IC521" s="707"/>
      <c r="ID521" s="707"/>
      <c r="IE521" s="707"/>
      <c r="IF521" s="707"/>
      <c r="IG521" s="707"/>
      <c r="IH521" s="707"/>
      <c r="II521" s="707"/>
      <c r="IJ521" s="707"/>
      <c r="IK521" s="707"/>
      <c r="IL521" s="707"/>
      <c r="IM521" s="707"/>
      <c r="IN521" s="707"/>
      <c r="IO521" s="707"/>
      <c r="IP521" s="707"/>
      <c r="IQ521" s="707"/>
      <c r="IR521" s="707"/>
      <c r="IS521" s="707"/>
      <c r="IT521" s="707"/>
      <c r="IU521" s="707"/>
      <c r="IV521" s="707"/>
      <c r="IW521" s="707"/>
    </row>
    <row r="522" customFormat="false" ht="12.75" hidden="false" customHeight="false" outlineLevel="1" collapsed="false">
      <c r="A522" s="70"/>
      <c r="B522" s="70"/>
      <c r="C522" s="70"/>
      <c r="D522" s="70"/>
      <c r="E522" s="70"/>
      <c r="F522" s="70"/>
      <c r="G522" s="70"/>
      <c r="H522" s="70"/>
      <c r="I522" s="70"/>
      <c r="J522" s="70"/>
      <c r="K522" s="70"/>
      <c r="L522" s="70"/>
      <c r="M522" s="70"/>
      <c r="N522" s="70"/>
      <c r="O522" s="70"/>
      <c r="P522" s="70"/>
      <c r="Q522" s="70"/>
      <c r="R522" s="70"/>
      <c r="S522" s="70"/>
      <c r="T522" s="70"/>
      <c r="U522" s="70"/>
      <c r="V522" s="70"/>
      <c r="W522" s="70"/>
      <c r="X522" s="70"/>
      <c r="Y522" s="70"/>
      <c r="Z522" s="70"/>
    </row>
    <row r="523" customFormat="false" ht="12.75" hidden="false" customHeight="false" outlineLevel="1" collapsed="false">
      <c r="A523" s="70"/>
      <c r="B523" s="70"/>
      <c r="C523" s="70"/>
      <c r="D523" s="70"/>
      <c r="E523" s="70"/>
      <c r="F523" s="70"/>
      <c r="G523" s="70"/>
      <c r="H523" s="70"/>
      <c r="I523" s="70"/>
      <c r="J523" s="70"/>
      <c r="K523" s="70"/>
      <c r="L523" s="70"/>
      <c r="M523" s="70"/>
      <c r="N523" s="70"/>
      <c r="O523" s="70"/>
      <c r="P523" s="70"/>
      <c r="Q523" s="70"/>
      <c r="R523" s="70"/>
      <c r="S523" s="70"/>
      <c r="T523" s="70"/>
      <c r="U523" s="70"/>
      <c r="V523" s="70"/>
      <c r="W523" s="70"/>
      <c r="X523" s="70"/>
      <c r="Y523" s="70"/>
      <c r="Z523" s="70"/>
    </row>
    <row r="524" customFormat="false" ht="12.75" hidden="false" customHeight="false" outlineLevel="1" collapsed="false">
      <c r="A524" s="70"/>
      <c r="B524" s="70"/>
      <c r="C524" s="70"/>
      <c r="D524" s="70"/>
      <c r="E524" s="70"/>
      <c r="F524" s="70"/>
      <c r="G524" s="70"/>
      <c r="H524" s="70"/>
      <c r="I524" s="70"/>
      <c r="J524" s="70"/>
      <c r="K524" s="70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  <c r="Y524" s="70"/>
      <c r="Z524" s="70"/>
    </row>
    <row r="525" customFormat="false" ht="18.75" hidden="false" customHeight="false" outlineLevel="1" collapsed="false">
      <c r="A525" s="683"/>
      <c r="B525" s="70"/>
      <c r="C525" s="70"/>
      <c r="D525" s="70"/>
      <c r="E525" s="70"/>
      <c r="F525" s="70"/>
      <c r="G525" s="70"/>
      <c r="H525" s="70"/>
      <c r="I525" s="70"/>
      <c r="J525" s="70"/>
      <c r="K525" s="70"/>
      <c r="L525" s="70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  <c r="Y525" s="70"/>
      <c r="Z525" s="70"/>
    </row>
    <row r="526" customFormat="false" ht="12.75" hidden="false" customHeight="false" outlineLevel="1" collapsed="false">
      <c r="A526" s="395"/>
      <c r="B526" s="70"/>
      <c r="C526" s="70"/>
      <c r="D526" s="70"/>
      <c r="E526" s="70"/>
      <c r="F526" s="70"/>
      <c r="G526" s="70"/>
      <c r="H526" s="70"/>
      <c r="I526" s="70"/>
      <c r="J526" s="70"/>
      <c r="K526" s="70"/>
      <c r="L526" s="70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  <c r="Y526" s="70"/>
      <c r="Z526" s="70"/>
    </row>
    <row r="527" customFormat="false" ht="12.75" hidden="false" customHeight="false" outlineLevel="1" collapsed="false">
      <c r="A527" s="727"/>
      <c r="B527" s="70"/>
      <c r="C527" s="70"/>
      <c r="D527" s="70"/>
      <c r="E527" s="70"/>
      <c r="F527" s="692"/>
      <c r="G527" s="692"/>
      <c r="H527" s="692"/>
      <c r="I527" s="692"/>
      <c r="J527" s="692"/>
      <c r="K527" s="692"/>
      <c r="L527" s="692"/>
      <c r="M527" s="692"/>
      <c r="N527" s="692"/>
      <c r="O527" s="692"/>
      <c r="P527" s="692"/>
      <c r="Q527" s="692"/>
      <c r="R527" s="70"/>
      <c r="S527" s="70"/>
      <c r="T527" s="70"/>
      <c r="U527" s="70"/>
      <c r="V527" s="70"/>
      <c r="W527" s="70"/>
      <c r="X527" s="70"/>
      <c r="Y527" s="70"/>
      <c r="Z527" s="70"/>
    </row>
    <row r="528" customFormat="false" ht="12.75" hidden="false" customHeight="false" outlineLevel="1" collapsed="false">
      <c r="A528" s="70"/>
      <c r="B528" s="70"/>
      <c r="C528" s="70"/>
      <c r="D528" s="70"/>
      <c r="E528" s="70"/>
      <c r="F528" s="70"/>
      <c r="G528" s="70"/>
      <c r="H528" s="70"/>
      <c r="I528" s="70"/>
      <c r="J528" s="70"/>
      <c r="K528" s="70"/>
      <c r="L528" s="70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  <c r="Y528" s="70"/>
      <c r="Z528" s="70"/>
    </row>
    <row r="529" customFormat="false" ht="12.75" hidden="false" customHeight="false" outlineLevel="1" collapsed="false">
      <c r="A529" s="322"/>
      <c r="B529" s="322"/>
      <c r="C529" s="322"/>
      <c r="D529" s="322"/>
      <c r="E529" s="321"/>
      <c r="F529" s="321"/>
      <c r="G529" s="321"/>
      <c r="H529" s="321"/>
      <c r="I529" s="321"/>
      <c r="J529" s="321"/>
      <c r="K529" s="321"/>
      <c r="L529" s="321"/>
      <c r="M529" s="321"/>
      <c r="N529" s="321"/>
      <c r="O529" s="321"/>
      <c r="P529" s="321"/>
      <c r="Q529" s="321"/>
      <c r="R529" s="70"/>
      <c r="S529" s="70"/>
      <c r="T529" s="70"/>
      <c r="U529" s="70"/>
      <c r="V529" s="70"/>
      <c r="W529" s="70"/>
      <c r="X529" s="70"/>
      <c r="Y529" s="70"/>
      <c r="Z529" s="70"/>
    </row>
    <row r="530" customFormat="false" ht="12.75" hidden="true" customHeight="false" outlineLevel="2" collapsed="false">
      <c r="A530" s="395"/>
      <c r="B530" s="70"/>
      <c r="C530" s="70"/>
      <c r="D530" s="70"/>
      <c r="E530" s="70"/>
      <c r="F530" s="70"/>
      <c r="G530" s="70"/>
      <c r="H530" s="70"/>
      <c r="I530" s="70"/>
      <c r="J530" s="70"/>
      <c r="K530" s="70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  <c r="Y530" s="70"/>
      <c r="Z530" s="70"/>
    </row>
    <row r="531" customFormat="false" ht="12.75" hidden="true" customHeight="false" outlineLevel="2" collapsed="false">
      <c r="A531" s="685"/>
      <c r="B531" s="70"/>
      <c r="C531" s="70"/>
      <c r="D531" s="70"/>
      <c r="E531" s="70"/>
      <c r="F531" s="686"/>
      <c r="G531" s="686"/>
      <c r="H531" s="686"/>
      <c r="I531" s="686"/>
      <c r="J531" s="686"/>
      <c r="K531" s="686"/>
      <c r="L531" s="686"/>
      <c r="M531" s="686"/>
      <c r="N531" s="686"/>
      <c r="O531" s="686"/>
      <c r="P531" s="686"/>
      <c r="Q531" s="686"/>
      <c r="R531" s="70"/>
      <c r="S531" s="70"/>
      <c r="T531" s="70"/>
      <c r="U531" s="70"/>
      <c r="V531" s="70"/>
      <c r="W531" s="70"/>
      <c r="X531" s="70"/>
      <c r="Y531" s="70"/>
      <c r="Z531" s="70"/>
    </row>
    <row r="532" customFormat="false" ht="12.75" hidden="true" customHeight="false" outlineLevel="2" collapsed="false">
      <c r="A532" s="685"/>
      <c r="B532" s="70"/>
      <c r="C532" s="70"/>
      <c r="D532" s="70"/>
      <c r="E532" s="70"/>
      <c r="F532" s="686"/>
      <c r="G532" s="686"/>
      <c r="H532" s="686"/>
      <c r="I532" s="686"/>
      <c r="J532" s="686"/>
      <c r="K532" s="686"/>
      <c r="L532" s="686"/>
      <c r="M532" s="686"/>
      <c r="N532" s="686"/>
      <c r="O532" s="686"/>
      <c r="P532" s="686"/>
      <c r="Q532" s="686"/>
      <c r="R532" s="70"/>
      <c r="S532" s="70"/>
      <c r="T532" s="70"/>
      <c r="U532" s="70"/>
      <c r="V532" s="70"/>
      <c r="W532" s="70"/>
      <c r="X532" s="70"/>
      <c r="Y532" s="70"/>
      <c r="Z532" s="70"/>
    </row>
    <row r="533" customFormat="false" ht="12.75" hidden="true" customHeight="false" outlineLevel="2" collapsed="false">
      <c r="A533" s="728"/>
      <c r="B533" s="70"/>
      <c r="C533" s="70"/>
      <c r="D533" s="70"/>
      <c r="E533" s="70"/>
      <c r="F533" s="686"/>
      <c r="G533" s="686"/>
      <c r="H533" s="686"/>
      <c r="I533" s="686"/>
      <c r="J533" s="686"/>
      <c r="K533" s="686"/>
      <c r="L533" s="686"/>
      <c r="M533" s="686"/>
      <c r="N533" s="686"/>
      <c r="O533" s="686"/>
      <c r="P533" s="686"/>
      <c r="Q533" s="686"/>
      <c r="R533" s="70"/>
      <c r="S533" s="70"/>
      <c r="T533" s="70"/>
      <c r="U533" s="70"/>
      <c r="V533" s="70"/>
      <c r="W533" s="70"/>
      <c r="X533" s="70"/>
      <c r="Y533" s="70"/>
      <c r="Z533" s="70"/>
    </row>
    <row r="534" customFormat="false" ht="12.75" hidden="true" customHeight="false" outlineLevel="2" collapsed="false">
      <c r="A534" s="685"/>
      <c r="B534" s="70"/>
      <c r="C534" s="70"/>
      <c r="D534" s="70"/>
      <c r="E534" s="70"/>
      <c r="F534" s="686"/>
      <c r="G534" s="686"/>
      <c r="H534" s="686"/>
      <c r="I534" s="686"/>
      <c r="J534" s="686"/>
      <c r="K534" s="686"/>
      <c r="L534" s="686"/>
      <c r="M534" s="686"/>
      <c r="N534" s="686"/>
      <c r="O534" s="686"/>
      <c r="P534" s="686"/>
      <c r="Q534" s="686"/>
      <c r="R534" s="70"/>
      <c r="S534" s="70"/>
      <c r="T534" s="70"/>
      <c r="U534" s="70"/>
      <c r="V534" s="70"/>
      <c r="W534" s="70"/>
      <c r="X534" s="70"/>
      <c r="Y534" s="70"/>
      <c r="Z534" s="70"/>
    </row>
    <row r="535" customFormat="false" ht="12.75" hidden="true" customHeight="false" outlineLevel="2" collapsed="false">
      <c r="A535" s="70"/>
      <c r="B535" s="70"/>
      <c r="C535" s="70"/>
      <c r="D535" s="70"/>
      <c r="E535" s="70"/>
      <c r="F535" s="686"/>
      <c r="G535" s="686"/>
      <c r="H535" s="686"/>
      <c r="I535" s="686"/>
      <c r="J535" s="686"/>
      <c r="K535" s="686"/>
      <c r="L535" s="686"/>
      <c r="M535" s="686"/>
      <c r="N535" s="686"/>
      <c r="O535" s="686"/>
      <c r="P535" s="686"/>
      <c r="Q535" s="686"/>
      <c r="R535" s="70"/>
      <c r="S535" s="70"/>
      <c r="T535" s="70"/>
      <c r="U535" s="70"/>
      <c r="V535" s="70"/>
      <c r="W535" s="70"/>
      <c r="X535" s="70"/>
      <c r="Y535" s="70"/>
      <c r="Z535" s="70"/>
    </row>
    <row r="536" customFormat="false" ht="12.75" hidden="true" customHeight="false" outlineLevel="2" collapsed="false">
      <c r="A536" s="395"/>
      <c r="B536" s="70"/>
      <c r="C536" s="70"/>
      <c r="D536" s="70"/>
      <c r="E536" s="70"/>
      <c r="F536" s="686"/>
      <c r="G536" s="686"/>
      <c r="H536" s="686"/>
      <c r="I536" s="686"/>
      <c r="J536" s="686"/>
      <c r="K536" s="686"/>
      <c r="L536" s="686"/>
      <c r="M536" s="686"/>
      <c r="N536" s="686"/>
      <c r="O536" s="686"/>
      <c r="P536" s="686"/>
      <c r="Q536" s="686"/>
      <c r="R536" s="70"/>
      <c r="S536" s="70"/>
      <c r="T536" s="70"/>
      <c r="U536" s="70"/>
      <c r="V536" s="70"/>
      <c r="W536" s="70"/>
      <c r="X536" s="70"/>
      <c r="Y536" s="70"/>
      <c r="Z536" s="70"/>
    </row>
    <row r="537" customFormat="false" ht="12.75" hidden="true" customHeight="false" outlineLevel="2" collapsed="false">
      <c r="A537" s="685"/>
      <c r="B537" s="70"/>
      <c r="C537" s="70"/>
      <c r="D537" s="70"/>
      <c r="E537" s="70"/>
      <c r="F537" s="686"/>
      <c r="G537" s="686"/>
      <c r="H537" s="686"/>
      <c r="I537" s="686"/>
      <c r="J537" s="686"/>
      <c r="K537" s="686"/>
      <c r="L537" s="686"/>
      <c r="M537" s="686"/>
      <c r="N537" s="686"/>
      <c r="O537" s="686"/>
      <c r="P537" s="686"/>
      <c r="Q537" s="686"/>
      <c r="R537" s="70"/>
      <c r="S537" s="70"/>
      <c r="T537" s="70"/>
      <c r="U537" s="70"/>
      <c r="V537" s="70"/>
      <c r="W537" s="70"/>
      <c r="X537" s="70"/>
      <c r="Y537" s="70"/>
      <c r="Z537" s="70"/>
    </row>
    <row r="538" customFormat="false" ht="12.75" hidden="true" customHeight="false" outlineLevel="2" collapsed="false">
      <c r="A538" s="685"/>
      <c r="B538" s="70"/>
      <c r="C538" s="70"/>
      <c r="D538" s="70"/>
      <c r="E538" s="70"/>
      <c r="F538" s="686"/>
      <c r="G538" s="686"/>
      <c r="H538" s="686"/>
      <c r="I538" s="686"/>
      <c r="J538" s="686"/>
      <c r="K538" s="686"/>
      <c r="L538" s="686"/>
      <c r="M538" s="686"/>
      <c r="N538" s="686"/>
      <c r="O538" s="686"/>
      <c r="P538" s="686"/>
      <c r="Q538" s="686"/>
      <c r="R538" s="70"/>
      <c r="S538" s="70"/>
      <c r="T538" s="70"/>
      <c r="U538" s="70"/>
      <c r="V538" s="70"/>
      <c r="W538" s="70"/>
      <c r="X538" s="70"/>
      <c r="Y538" s="70"/>
      <c r="Z538" s="70"/>
    </row>
    <row r="539" customFormat="false" ht="12.75" hidden="true" customHeight="false" outlineLevel="2" collapsed="false">
      <c r="A539" s="685"/>
      <c r="B539" s="70"/>
      <c r="C539" s="70"/>
      <c r="D539" s="70"/>
      <c r="E539" s="70"/>
      <c r="F539" s="686"/>
      <c r="G539" s="686"/>
      <c r="H539" s="686"/>
      <c r="I539" s="686"/>
      <c r="J539" s="686"/>
      <c r="K539" s="686"/>
      <c r="L539" s="686"/>
      <c r="M539" s="686"/>
      <c r="N539" s="686"/>
      <c r="O539" s="686"/>
      <c r="P539" s="686"/>
      <c r="Q539" s="686"/>
      <c r="R539" s="70"/>
      <c r="S539" s="70"/>
      <c r="T539" s="70"/>
      <c r="U539" s="70"/>
      <c r="V539" s="70"/>
      <c r="W539" s="70"/>
      <c r="X539" s="70"/>
      <c r="Y539" s="70"/>
      <c r="Z539" s="70"/>
    </row>
    <row r="540" customFormat="false" ht="12.75" hidden="true" customHeight="false" outlineLevel="2" collapsed="false">
      <c r="A540" s="685"/>
      <c r="B540" s="70"/>
      <c r="C540" s="70"/>
      <c r="D540" s="70"/>
      <c r="E540" s="70"/>
      <c r="F540" s="686"/>
      <c r="G540" s="686"/>
      <c r="H540" s="686"/>
      <c r="I540" s="686"/>
      <c r="J540" s="686"/>
      <c r="K540" s="686"/>
      <c r="L540" s="686"/>
      <c r="M540" s="686"/>
      <c r="N540" s="686"/>
      <c r="O540" s="686"/>
      <c r="P540" s="686"/>
      <c r="Q540" s="686"/>
      <c r="R540" s="70"/>
      <c r="S540" s="70"/>
      <c r="T540" s="70"/>
      <c r="U540" s="70"/>
      <c r="V540" s="70"/>
      <c r="W540" s="70"/>
      <c r="X540" s="70"/>
      <c r="Y540" s="70"/>
      <c r="Z540" s="70"/>
    </row>
    <row r="541" customFormat="false" ht="12.75" hidden="true" customHeight="false" outlineLevel="2" collapsed="false">
      <c r="A541" s="685"/>
      <c r="B541" s="70"/>
      <c r="C541" s="70"/>
      <c r="D541" s="70"/>
      <c r="E541" s="70"/>
      <c r="F541" s="686"/>
      <c r="G541" s="686"/>
      <c r="H541" s="686"/>
      <c r="I541" s="686"/>
      <c r="J541" s="686"/>
      <c r="K541" s="686"/>
      <c r="L541" s="686"/>
      <c r="M541" s="686"/>
      <c r="N541" s="686"/>
      <c r="O541" s="686"/>
      <c r="P541" s="686"/>
      <c r="Q541" s="686"/>
      <c r="R541" s="70"/>
      <c r="S541" s="70"/>
      <c r="T541" s="70"/>
      <c r="U541" s="70"/>
      <c r="V541" s="70"/>
      <c r="W541" s="70"/>
      <c r="X541" s="70"/>
      <c r="Y541" s="70"/>
      <c r="Z541" s="70"/>
    </row>
    <row r="542" customFormat="false" ht="12.75" hidden="true" customHeight="false" outlineLevel="2" collapsed="false">
      <c r="A542" s="685"/>
      <c r="B542" s="70"/>
      <c r="C542" s="70"/>
      <c r="D542" s="70"/>
      <c r="E542" s="70"/>
      <c r="F542" s="686"/>
      <c r="G542" s="686"/>
      <c r="H542" s="686"/>
      <c r="I542" s="686"/>
      <c r="J542" s="686"/>
      <c r="K542" s="686"/>
      <c r="L542" s="686"/>
      <c r="M542" s="686"/>
      <c r="N542" s="686"/>
      <c r="O542" s="686"/>
      <c r="P542" s="686"/>
      <c r="Q542" s="686"/>
      <c r="R542" s="70"/>
      <c r="S542" s="70"/>
      <c r="T542" s="70"/>
      <c r="U542" s="70"/>
      <c r="V542" s="70"/>
      <c r="W542" s="70"/>
      <c r="X542" s="70"/>
      <c r="Y542" s="70"/>
      <c r="Z542" s="70"/>
    </row>
    <row r="543" customFormat="false" ht="12.75" hidden="true" customHeight="false" outlineLevel="2" collapsed="false">
      <c r="A543" s="685"/>
      <c r="B543" s="70"/>
      <c r="C543" s="70"/>
      <c r="D543" s="70"/>
      <c r="E543" s="70"/>
      <c r="F543" s="686"/>
      <c r="G543" s="686"/>
      <c r="H543" s="686"/>
      <c r="I543" s="686"/>
      <c r="J543" s="686"/>
      <c r="K543" s="686"/>
      <c r="L543" s="686"/>
      <c r="M543" s="686"/>
      <c r="N543" s="686"/>
      <c r="O543" s="686"/>
      <c r="P543" s="686"/>
      <c r="Q543" s="686"/>
      <c r="R543" s="70"/>
      <c r="S543" s="70"/>
      <c r="T543" s="70"/>
      <c r="U543" s="70"/>
      <c r="V543" s="70"/>
      <c r="W543" s="70"/>
      <c r="X543" s="70"/>
      <c r="Y543" s="70"/>
      <c r="Z543" s="70"/>
    </row>
    <row r="544" customFormat="false" ht="12.75" hidden="true" customHeight="false" outlineLevel="2" collapsed="false">
      <c r="A544" s="685"/>
      <c r="B544" s="70"/>
      <c r="C544" s="70"/>
      <c r="D544" s="70"/>
      <c r="E544" s="70"/>
      <c r="F544" s="686"/>
      <c r="G544" s="686"/>
      <c r="H544" s="686"/>
      <c r="I544" s="686"/>
      <c r="J544" s="686"/>
      <c r="K544" s="686"/>
      <c r="L544" s="686"/>
      <c r="M544" s="686"/>
      <c r="N544" s="686"/>
      <c r="O544" s="686"/>
      <c r="P544" s="686"/>
      <c r="Q544" s="686"/>
      <c r="R544" s="70"/>
      <c r="S544" s="70"/>
      <c r="T544" s="70"/>
      <c r="U544" s="70"/>
      <c r="V544" s="70"/>
      <c r="W544" s="70"/>
      <c r="X544" s="70"/>
      <c r="Y544" s="70"/>
      <c r="Z544" s="70"/>
    </row>
    <row r="545" customFormat="false" ht="12.75" hidden="true" customHeight="false" outlineLevel="2" collapsed="false">
      <c r="A545" s="685"/>
      <c r="B545" s="70"/>
      <c r="C545" s="70"/>
      <c r="D545" s="70"/>
      <c r="E545" s="70"/>
      <c r="F545" s="686"/>
      <c r="G545" s="686"/>
      <c r="H545" s="686"/>
      <c r="I545" s="686"/>
      <c r="J545" s="686"/>
      <c r="K545" s="686"/>
      <c r="L545" s="686"/>
      <c r="M545" s="686"/>
      <c r="N545" s="686"/>
      <c r="O545" s="686"/>
      <c r="P545" s="686"/>
      <c r="Q545" s="686"/>
      <c r="R545" s="70"/>
      <c r="S545" s="70"/>
      <c r="T545" s="70"/>
      <c r="U545" s="70"/>
      <c r="V545" s="70"/>
      <c r="W545" s="70"/>
      <c r="X545" s="70"/>
      <c r="Y545" s="70"/>
      <c r="Z545" s="70"/>
    </row>
    <row r="546" customFormat="false" ht="12.75" hidden="true" customHeight="false" outlineLevel="2" collapsed="false">
      <c r="A546" s="685"/>
      <c r="B546" s="70"/>
      <c r="C546" s="70"/>
      <c r="D546" s="70"/>
      <c r="E546" s="70"/>
      <c r="F546" s="686"/>
      <c r="G546" s="686"/>
      <c r="H546" s="686"/>
      <c r="I546" s="686"/>
      <c r="J546" s="686"/>
      <c r="K546" s="686"/>
      <c r="L546" s="686"/>
      <c r="M546" s="686"/>
      <c r="N546" s="686"/>
      <c r="O546" s="686"/>
      <c r="P546" s="686"/>
      <c r="Q546" s="686"/>
      <c r="R546" s="70"/>
      <c r="S546" s="70"/>
      <c r="T546" s="70"/>
      <c r="U546" s="70"/>
      <c r="V546" s="70"/>
      <c r="W546" s="70"/>
      <c r="X546" s="70"/>
      <c r="Y546" s="70"/>
      <c r="Z546" s="70"/>
    </row>
    <row r="547" customFormat="false" ht="12.75" hidden="true" customHeight="false" outlineLevel="2" collapsed="false">
      <c r="A547" s="70"/>
      <c r="B547" s="70"/>
      <c r="C547" s="70"/>
      <c r="D547" s="70"/>
      <c r="E547" s="70"/>
      <c r="F547" s="686"/>
      <c r="G547" s="686"/>
      <c r="H547" s="686"/>
      <c r="I547" s="686"/>
      <c r="J547" s="686"/>
      <c r="K547" s="686"/>
      <c r="L547" s="686"/>
      <c r="M547" s="686"/>
      <c r="N547" s="686"/>
      <c r="O547" s="686"/>
      <c r="P547" s="686"/>
      <c r="Q547" s="686"/>
      <c r="R547" s="70"/>
      <c r="S547" s="70"/>
      <c r="T547" s="70"/>
      <c r="U547" s="70"/>
      <c r="V547" s="70"/>
      <c r="W547" s="70"/>
      <c r="X547" s="70"/>
      <c r="Y547" s="70"/>
      <c r="Z547" s="70"/>
    </row>
    <row r="548" customFormat="false" ht="12.75" hidden="true" customHeight="false" outlineLevel="2" collapsed="false">
      <c r="A548" s="70"/>
      <c r="B548" s="70"/>
      <c r="C548" s="70"/>
      <c r="D548" s="70"/>
      <c r="E548" s="70"/>
      <c r="F548" s="686"/>
      <c r="G548" s="686"/>
      <c r="H548" s="686"/>
      <c r="I548" s="686"/>
      <c r="J548" s="686"/>
      <c r="K548" s="686"/>
      <c r="L548" s="686"/>
      <c r="M548" s="686"/>
      <c r="N548" s="686"/>
      <c r="O548" s="686"/>
      <c r="P548" s="686"/>
      <c r="Q548" s="686"/>
      <c r="R548" s="70"/>
      <c r="S548" s="70"/>
      <c r="T548" s="70"/>
      <c r="U548" s="70"/>
      <c r="V548" s="70"/>
      <c r="W548" s="70"/>
      <c r="X548" s="70"/>
      <c r="Y548" s="70"/>
      <c r="Z548" s="70"/>
    </row>
    <row r="549" customFormat="false" ht="12.75" hidden="true" customHeight="false" outlineLevel="2" collapsed="false">
      <c r="A549" s="70"/>
      <c r="B549" s="70"/>
      <c r="C549" s="70"/>
      <c r="D549" s="70"/>
      <c r="E549" s="70"/>
      <c r="F549" s="686"/>
      <c r="G549" s="686"/>
      <c r="H549" s="686"/>
      <c r="I549" s="686"/>
      <c r="J549" s="686"/>
      <c r="K549" s="686"/>
      <c r="L549" s="686"/>
      <c r="M549" s="686"/>
      <c r="N549" s="686"/>
      <c r="O549" s="686"/>
      <c r="P549" s="686"/>
      <c r="Q549" s="686"/>
      <c r="R549" s="70"/>
      <c r="S549" s="70"/>
      <c r="T549" s="70"/>
      <c r="U549" s="70"/>
      <c r="V549" s="70"/>
      <c r="W549" s="70"/>
      <c r="X549" s="70"/>
      <c r="Y549" s="70"/>
      <c r="Z549" s="70"/>
    </row>
    <row r="550" customFormat="false" ht="12.75" hidden="true" customHeight="false" outlineLevel="2" collapsed="false">
      <c r="A550" s="685"/>
      <c r="B550" s="70"/>
      <c r="C550" s="70"/>
      <c r="D550" s="70"/>
      <c r="E550" s="70"/>
      <c r="F550" s="686"/>
      <c r="G550" s="686"/>
      <c r="H550" s="686"/>
      <c r="I550" s="686"/>
      <c r="J550" s="686"/>
      <c r="K550" s="686"/>
      <c r="L550" s="686"/>
      <c r="M550" s="686"/>
      <c r="N550" s="686"/>
      <c r="O550" s="686"/>
      <c r="P550" s="686"/>
      <c r="Q550" s="686"/>
      <c r="R550" s="70"/>
      <c r="S550" s="70"/>
      <c r="T550" s="70"/>
      <c r="U550" s="70"/>
      <c r="V550" s="70"/>
      <c r="W550" s="70"/>
      <c r="X550" s="70"/>
      <c r="Y550" s="70"/>
      <c r="Z550" s="70"/>
    </row>
    <row r="551" customFormat="false" ht="12.75" hidden="true" customHeight="false" outlineLevel="2" collapsed="false">
      <c r="A551" s="70"/>
      <c r="B551" s="70"/>
      <c r="C551" s="70"/>
      <c r="D551" s="70"/>
      <c r="E551" s="70"/>
      <c r="F551" s="686"/>
      <c r="G551" s="686"/>
      <c r="H551" s="686"/>
      <c r="I551" s="686"/>
      <c r="J551" s="686"/>
      <c r="K551" s="686"/>
      <c r="L551" s="686"/>
      <c r="M551" s="686"/>
      <c r="N551" s="686"/>
      <c r="O551" s="686"/>
      <c r="P551" s="686"/>
      <c r="Q551" s="686"/>
      <c r="R551" s="70"/>
      <c r="S551" s="70"/>
      <c r="T551" s="70"/>
      <c r="U551" s="70"/>
      <c r="V551" s="70"/>
      <c r="W551" s="70"/>
      <c r="X551" s="70"/>
      <c r="Y551" s="70"/>
      <c r="Z551" s="70"/>
    </row>
    <row r="552" customFormat="false" ht="12.75" hidden="true" customHeight="false" outlineLevel="2" collapsed="false">
      <c r="A552" s="70"/>
      <c r="B552" s="70"/>
      <c r="C552" s="70"/>
      <c r="D552" s="70"/>
      <c r="E552" s="70"/>
      <c r="F552" s="686"/>
      <c r="G552" s="686"/>
      <c r="H552" s="686"/>
      <c r="I552" s="686"/>
      <c r="J552" s="686"/>
      <c r="K552" s="686"/>
      <c r="L552" s="686"/>
      <c r="M552" s="686"/>
      <c r="N552" s="686"/>
      <c r="O552" s="686"/>
      <c r="P552" s="686"/>
      <c r="Q552" s="686"/>
      <c r="R552" s="70"/>
      <c r="S552" s="70"/>
      <c r="T552" s="70"/>
      <c r="U552" s="70"/>
      <c r="V552" s="70"/>
      <c r="W552" s="70"/>
      <c r="X552" s="70"/>
      <c r="Y552" s="70"/>
      <c r="Z552" s="70"/>
    </row>
    <row r="553" customFormat="false" ht="12.75" hidden="true" customHeight="false" outlineLevel="2" collapsed="false">
      <c r="A553" s="395"/>
      <c r="B553" s="70"/>
      <c r="C553" s="70"/>
      <c r="D553" s="70"/>
      <c r="E553" s="70"/>
      <c r="F553" s="686"/>
      <c r="G553" s="686"/>
      <c r="H553" s="686"/>
      <c r="I553" s="686"/>
      <c r="J553" s="686"/>
      <c r="K553" s="686"/>
      <c r="L553" s="686"/>
      <c r="M553" s="686"/>
      <c r="N553" s="686"/>
      <c r="O553" s="686"/>
      <c r="P553" s="686"/>
      <c r="Q553" s="686"/>
      <c r="R553" s="70"/>
      <c r="S553" s="70"/>
      <c r="T553" s="70"/>
      <c r="U553" s="70"/>
      <c r="V553" s="70"/>
      <c r="W553" s="70"/>
      <c r="X553" s="70"/>
      <c r="Y553" s="70"/>
      <c r="Z553" s="70"/>
    </row>
    <row r="554" customFormat="false" ht="12.75" hidden="true" customHeight="false" outlineLevel="2" collapsed="false">
      <c r="A554" s="685"/>
      <c r="B554" s="70"/>
      <c r="C554" s="70"/>
      <c r="D554" s="70"/>
      <c r="E554" s="70"/>
      <c r="F554" s="686"/>
      <c r="G554" s="686"/>
      <c r="H554" s="686"/>
      <c r="I554" s="686"/>
      <c r="J554" s="686"/>
      <c r="K554" s="686"/>
      <c r="L554" s="686"/>
      <c r="M554" s="686"/>
      <c r="N554" s="686"/>
      <c r="O554" s="686"/>
      <c r="P554" s="686"/>
      <c r="Q554" s="686"/>
      <c r="R554" s="70"/>
      <c r="S554" s="70"/>
      <c r="T554" s="70"/>
      <c r="U554" s="70"/>
      <c r="V554" s="70"/>
      <c r="W554" s="70"/>
      <c r="X554" s="70"/>
      <c r="Y554" s="70"/>
      <c r="Z554" s="70"/>
    </row>
    <row r="555" customFormat="false" ht="12.75" hidden="false" customHeight="false" outlineLevel="1" collapsed="true">
      <c r="A555" s="395"/>
      <c r="B555" s="70"/>
      <c r="C555" s="70"/>
      <c r="D555" s="70"/>
      <c r="E555" s="70"/>
      <c r="F555" s="686"/>
      <c r="G555" s="686"/>
      <c r="H555" s="686"/>
      <c r="I555" s="686"/>
      <c r="J555" s="686"/>
      <c r="K555" s="686"/>
      <c r="L555" s="686"/>
      <c r="M555" s="686"/>
      <c r="N555" s="686"/>
      <c r="O555" s="686"/>
      <c r="P555" s="686"/>
      <c r="Q555" s="686"/>
      <c r="R555" s="70"/>
      <c r="S555" s="70"/>
      <c r="T555" s="70"/>
      <c r="U555" s="70"/>
      <c r="V555" s="70"/>
      <c r="W555" s="70"/>
      <c r="X555" s="70"/>
      <c r="Y555" s="70"/>
      <c r="Z555" s="70"/>
    </row>
    <row r="556" customFormat="false" ht="12.75" hidden="false" customHeight="false" outlineLevel="1" collapsed="false">
      <c r="A556" s="395"/>
      <c r="B556" s="70"/>
      <c r="C556" s="70"/>
      <c r="D556" s="70"/>
      <c r="E556" s="70"/>
      <c r="F556" s="686"/>
      <c r="G556" s="686"/>
      <c r="H556" s="686"/>
      <c r="I556" s="686"/>
      <c r="J556" s="686"/>
      <c r="K556" s="686"/>
      <c r="L556" s="686"/>
      <c r="M556" s="686"/>
      <c r="N556" s="686"/>
      <c r="O556" s="686"/>
      <c r="P556" s="686"/>
      <c r="Q556" s="686"/>
      <c r="R556" s="70"/>
      <c r="S556" s="70"/>
      <c r="T556" s="70"/>
      <c r="U556" s="70"/>
      <c r="V556" s="70"/>
      <c r="W556" s="70"/>
      <c r="X556" s="70"/>
      <c r="Y556" s="70"/>
      <c r="Z556" s="70"/>
    </row>
    <row r="557" customFormat="false" ht="12.75" hidden="false" customHeight="false" outlineLevel="1" collapsed="false">
      <c r="A557" s="395"/>
      <c r="B557" s="70"/>
      <c r="C557" s="70"/>
      <c r="D557" s="70"/>
      <c r="E557" s="70"/>
      <c r="F557" s="686"/>
      <c r="G557" s="686"/>
      <c r="H557" s="686"/>
      <c r="I557" s="686"/>
      <c r="J557" s="686"/>
      <c r="K557" s="686"/>
      <c r="L557" s="686"/>
      <c r="M557" s="686"/>
      <c r="N557" s="686"/>
      <c r="O557" s="686"/>
      <c r="P557" s="686"/>
      <c r="Q557" s="686"/>
      <c r="R557" s="70"/>
      <c r="S557" s="70"/>
      <c r="T557" s="70"/>
      <c r="U557" s="70"/>
      <c r="V557" s="70"/>
      <c r="W557" s="70"/>
      <c r="X557" s="70"/>
      <c r="Y557" s="70"/>
      <c r="Z557" s="70"/>
    </row>
    <row r="558" customFormat="false" ht="12.75" hidden="false" customHeight="false" outlineLevel="1" collapsed="false">
      <c r="A558" s="70"/>
      <c r="B558" s="70"/>
      <c r="C558" s="70"/>
      <c r="D558" s="70"/>
      <c r="E558" s="70"/>
      <c r="F558" s="686"/>
      <c r="G558" s="686"/>
      <c r="H558" s="686"/>
      <c r="I558" s="686"/>
      <c r="J558" s="686"/>
      <c r="K558" s="686"/>
      <c r="L558" s="686"/>
      <c r="M558" s="686"/>
      <c r="N558" s="686"/>
      <c r="O558" s="686"/>
      <c r="P558" s="686"/>
      <c r="Q558" s="686"/>
      <c r="R558" s="70"/>
      <c r="S558" s="70"/>
      <c r="T558" s="70"/>
      <c r="U558" s="70"/>
      <c r="V558" s="70"/>
      <c r="W558" s="70"/>
      <c r="X558" s="70"/>
      <c r="Y558" s="70"/>
      <c r="Z558" s="70"/>
    </row>
    <row r="559" customFormat="false" ht="12.75" hidden="false" customHeight="false" outlineLevel="1" collapsed="false">
      <c r="A559" s="70"/>
      <c r="B559" s="70"/>
      <c r="C559" s="70"/>
      <c r="D559" s="70"/>
      <c r="E559" s="70"/>
      <c r="F559" s="686"/>
      <c r="G559" s="686"/>
      <c r="H559" s="686"/>
      <c r="I559" s="686"/>
      <c r="J559" s="686"/>
      <c r="K559" s="686"/>
      <c r="L559" s="686"/>
      <c r="M559" s="686"/>
      <c r="N559" s="686"/>
      <c r="O559" s="686"/>
      <c r="P559" s="686"/>
      <c r="Q559" s="686"/>
      <c r="R559" s="70"/>
      <c r="S559" s="70"/>
      <c r="T559" s="70"/>
      <c r="U559" s="70"/>
      <c r="V559" s="70"/>
      <c r="W559" s="70"/>
      <c r="X559" s="70"/>
      <c r="Y559" s="70"/>
      <c r="Z559" s="70"/>
    </row>
    <row r="560" customFormat="false" ht="12.75" hidden="false" customHeight="false" outlineLevel="1" collapsed="false">
      <c r="A560" s="395"/>
      <c r="B560" s="70"/>
      <c r="C560" s="70"/>
      <c r="D560" s="70"/>
      <c r="E560" s="70"/>
      <c r="F560" s="686"/>
      <c r="G560" s="686"/>
      <c r="H560" s="686"/>
      <c r="I560" s="686"/>
      <c r="J560" s="686"/>
      <c r="K560" s="686"/>
      <c r="L560" s="686"/>
      <c r="M560" s="686"/>
      <c r="N560" s="686"/>
      <c r="O560" s="686"/>
      <c r="P560" s="686"/>
      <c r="Q560" s="686"/>
      <c r="R560" s="70"/>
      <c r="S560" s="70"/>
      <c r="T560" s="70"/>
      <c r="U560" s="70"/>
      <c r="V560" s="70"/>
      <c r="W560" s="70"/>
      <c r="X560" s="70"/>
      <c r="Y560" s="70"/>
      <c r="Z560" s="70"/>
    </row>
    <row r="561" customFormat="false" ht="12.75" hidden="false" customHeight="false" outlineLevel="1" collapsed="false">
      <c r="A561" s="395"/>
      <c r="B561" s="70"/>
      <c r="C561" s="70"/>
      <c r="D561" s="70"/>
      <c r="E561" s="70"/>
      <c r="F561" s="686"/>
      <c r="G561" s="686"/>
      <c r="H561" s="686"/>
      <c r="I561" s="686"/>
      <c r="J561" s="686"/>
      <c r="K561" s="686"/>
      <c r="L561" s="686"/>
      <c r="M561" s="686"/>
      <c r="N561" s="686"/>
      <c r="O561" s="686"/>
      <c r="P561" s="686"/>
      <c r="Q561" s="686"/>
      <c r="R561" s="70"/>
      <c r="S561" s="70"/>
      <c r="T561" s="70"/>
      <c r="U561" s="70"/>
      <c r="V561" s="70"/>
      <c r="W561" s="70"/>
      <c r="X561" s="70"/>
      <c r="Y561" s="70"/>
      <c r="Z561" s="70"/>
    </row>
    <row r="562" customFormat="false" ht="12.75" hidden="false" customHeight="false" outlineLevel="1" collapsed="false">
      <c r="A562" s="395"/>
      <c r="B562" s="70"/>
      <c r="C562" s="70"/>
      <c r="D562" s="70"/>
      <c r="E562" s="70"/>
      <c r="F562" s="686"/>
      <c r="G562" s="686"/>
      <c r="H562" s="686"/>
      <c r="I562" s="686"/>
      <c r="J562" s="686"/>
      <c r="K562" s="686"/>
      <c r="L562" s="686"/>
      <c r="M562" s="686"/>
      <c r="N562" s="686"/>
      <c r="O562" s="686"/>
      <c r="P562" s="686"/>
      <c r="Q562" s="686"/>
      <c r="R562" s="70"/>
      <c r="S562" s="70"/>
      <c r="T562" s="70"/>
      <c r="U562" s="70"/>
      <c r="V562" s="70"/>
      <c r="W562" s="70"/>
      <c r="X562" s="70"/>
      <c r="Y562" s="70"/>
      <c r="Z562" s="70"/>
    </row>
    <row r="563" customFormat="false" ht="12.75" hidden="false" customHeight="false" outlineLevel="1" collapsed="false">
      <c r="A563" s="395"/>
      <c r="B563" s="70"/>
      <c r="C563" s="70"/>
      <c r="D563" s="70"/>
      <c r="E563" s="70"/>
      <c r="F563" s="686"/>
      <c r="G563" s="686"/>
      <c r="H563" s="686"/>
      <c r="I563" s="686"/>
      <c r="J563" s="686"/>
      <c r="K563" s="686"/>
      <c r="L563" s="686"/>
      <c r="M563" s="686"/>
      <c r="N563" s="686"/>
      <c r="O563" s="686"/>
      <c r="P563" s="686"/>
      <c r="Q563" s="686"/>
      <c r="R563" s="70"/>
      <c r="S563" s="70"/>
      <c r="T563" s="70"/>
      <c r="U563" s="70"/>
      <c r="V563" s="70"/>
      <c r="W563" s="70"/>
      <c r="X563" s="70"/>
      <c r="Y563" s="70"/>
      <c r="Z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  <c r="F564" s="70"/>
      <c r="G564" s="70"/>
      <c r="H564" s="70"/>
      <c r="I564" s="686"/>
      <c r="J564" s="686"/>
      <c r="K564" s="686"/>
      <c r="L564" s="686"/>
      <c r="M564" s="686"/>
      <c r="N564" s="686"/>
      <c r="O564" s="686"/>
      <c r="P564" s="686"/>
      <c r="Q564" s="686"/>
      <c r="R564" s="70"/>
      <c r="S564" s="70"/>
      <c r="T564" s="70"/>
      <c r="U564" s="70"/>
      <c r="V564" s="70"/>
      <c r="W564" s="70"/>
      <c r="X564" s="70"/>
      <c r="Y564" s="70"/>
      <c r="Z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  <c r="F565" s="70"/>
      <c r="G565" s="70"/>
      <c r="H565" s="70"/>
      <c r="I565" s="686"/>
      <c r="J565" s="686"/>
      <c r="K565" s="686"/>
      <c r="L565" s="686"/>
      <c r="M565" s="686"/>
      <c r="N565" s="686"/>
      <c r="O565" s="686"/>
      <c r="P565" s="686"/>
      <c r="Q565" s="686"/>
      <c r="R565" s="70"/>
      <c r="S565" s="70"/>
      <c r="T565" s="70"/>
      <c r="U565" s="70"/>
      <c r="V565" s="70"/>
      <c r="W565" s="70"/>
      <c r="X565" s="70"/>
      <c r="Y565" s="70"/>
      <c r="Z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  <c r="F566" s="70"/>
      <c r="G566" s="70"/>
      <c r="H566" s="70"/>
      <c r="I566" s="686"/>
      <c r="J566" s="686"/>
      <c r="K566" s="686"/>
      <c r="L566" s="686"/>
      <c r="M566" s="686"/>
      <c r="N566" s="686"/>
      <c r="O566" s="686"/>
      <c r="P566" s="686"/>
      <c r="Q566" s="686"/>
      <c r="R566" s="70"/>
      <c r="S566" s="70"/>
      <c r="T566" s="70"/>
      <c r="U566" s="70"/>
      <c r="V566" s="70"/>
      <c r="W566" s="70"/>
      <c r="X566" s="70"/>
      <c r="Y566" s="70"/>
      <c r="Z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  <c r="F567" s="70"/>
      <c r="G567" s="70"/>
      <c r="H567" s="70"/>
      <c r="I567" s="686"/>
      <c r="J567" s="686"/>
      <c r="K567" s="686"/>
      <c r="L567" s="686"/>
      <c r="M567" s="686"/>
      <c r="N567" s="686"/>
      <c r="O567" s="686"/>
      <c r="P567" s="686"/>
      <c r="Q567" s="686"/>
      <c r="R567" s="70"/>
      <c r="S567" s="70"/>
      <c r="T567" s="70"/>
      <c r="U567" s="70"/>
      <c r="V567" s="70"/>
      <c r="W567" s="70"/>
      <c r="X567" s="70"/>
      <c r="Y567" s="70"/>
      <c r="Z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  <c r="F568" s="70"/>
      <c r="G568" s="70"/>
      <c r="H568" s="70"/>
      <c r="I568" s="686"/>
      <c r="J568" s="686"/>
      <c r="K568" s="686"/>
      <c r="L568" s="686"/>
      <c r="M568" s="686"/>
      <c r="N568" s="686"/>
      <c r="O568" s="686"/>
      <c r="P568" s="686"/>
      <c r="Q568" s="686"/>
      <c r="R568" s="70"/>
      <c r="S568" s="70"/>
      <c r="T568" s="70"/>
      <c r="U568" s="70"/>
      <c r="V568" s="70"/>
      <c r="W568" s="70"/>
      <c r="X568" s="70"/>
      <c r="Y568" s="70"/>
      <c r="Z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  <c r="F569" s="70"/>
      <c r="G569" s="70"/>
      <c r="H569" s="70"/>
      <c r="I569" s="70"/>
      <c r="J569" s="70"/>
      <c r="K569" s="70"/>
      <c r="L569" s="70"/>
      <c r="M569" s="70"/>
      <c r="N569" s="70"/>
      <c r="O569" s="70"/>
      <c r="P569" s="70"/>
      <c r="Q569" s="70"/>
      <c r="R569" s="70"/>
      <c r="S569" s="70"/>
      <c r="T569" s="70"/>
      <c r="U569" s="70"/>
      <c r="V569" s="70"/>
      <c r="W569" s="70"/>
      <c r="X569" s="70"/>
      <c r="Y569" s="70"/>
      <c r="Z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  <c r="F570" s="70"/>
      <c r="G570" s="70"/>
      <c r="H570" s="70"/>
      <c r="I570" s="70"/>
      <c r="J570" s="70"/>
      <c r="K570" s="70"/>
      <c r="L570" s="70"/>
      <c r="M570" s="70"/>
      <c r="N570" s="70"/>
      <c r="O570" s="70"/>
      <c r="P570" s="70"/>
      <c r="Q570" s="70"/>
      <c r="R570" s="70"/>
      <c r="S570" s="70"/>
      <c r="T570" s="70"/>
      <c r="U570" s="70"/>
      <c r="V570" s="70"/>
      <c r="W570" s="70"/>
      <c r="X570" s="70"/>
      <c r="Y570" s="70"/>
      <c r="Z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  <c r="F571" s="70"/>
      <c r="G571" s="70"/>
      <c r="H571" s="70"/>
      <c r="I571" s="70"/>
      <c r="J571" s="70"/>
      <c r="K571" s="70"/>
      <c r="L571" s="70"/>
      <c r="M571" s="70"/>
      <c r="N571" s="70"/>
      <c r="O571" s="70"/>
      <c r="P571" s="70"/>
      <c r="Q571" s="70"/>
      <c r="R571" s="70"/>
      <c r="S571" s="70"/>
      <c r="T571" s="70"/>
      <c r="U571" s="70"/>
      <c r="V571" s="70"/>
      <c r="W571" s="70"/>
      <c r="X571" s="70"/>
      <c r="Y571" s="70"/>
      <c r="Z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  <c r="F572" s="70"/>
      <c r="G572" s="70"/>
      <c r="H572" s="70"/>
      <c r="I572" s="70"/>
      <c r="J572" s="70"/>
      <c r="K572" s="70"/>
      <c r="L572" s="70"/>
      <c r="M572" s="70"/>
      <c r="N572" s="70"/>
      <c r="O572" s="70"/>
      <c r="P572" s="70"/>
      <c r="Q572" s="70"/>
      <c r="R572" s="70"/>
      <c r="S572" s="70"/>
      <c r="T572" s="70"/>
      <c r="U572" s="70"/>
      <c r="V572" s="70"/>
      <c r="W572" s="70"/>
      <c r="X572" s="70"/>
      <c r="Y572" s="70"/>
      <c r="Z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  <c r="F573" s="70"/>
      <c r="G573" s="70"/>
      <c r="H573" s="70"/>
      <c r="I573" s="70"/>
      <c r="J573" s="70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  <c r="Z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  <c r="F574" s="70"/>
      <c r="G574" s="70"/>
      <c r="H574" s="70"/>
      <c r="I574" s="70"/>
      <c r="J574" s="70"/>
      <c r="K574" s="70"/>
      <c r="L574" s="70"/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70"/>
      <c r="X574" s="70"/>
      <c r="Y574" s="70"/>
      <c r="Z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  <c r="F575" s="70"/>
      <c r="G575" s="70"/>
      <c r="H575" s="70"/>
      <c r="I575" s="70"/>
      <c r="J575" s="70"/>
      <c r="K575" s="70"/>
      <c r="L575" s="70"/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70"/>
      <c r="X575" s="70"/>
      <c r="Y575" s="70"/>
      <c r="Z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  <c r="F576" s="70"/>
      <c r="G576" s="70"/>
      <c r="H576" s="70"/>
      <c r="I576" s="70"/>
      <c r="J576" s="70"/>
      <c r="K576" s="70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  <c r="Y576" s="70"/>
      <c r="Z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  <c r="F577" s="70"/>
      <c r="G577" s="70"/>
      <c r="H577" s="70"/>
      <c r="I577" s="70"/>
      <c r="J577" s="70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  <c r="Y577" s="70"/>
      <c r="Z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  <c r="F578" s="70"/>
      <c r="G578" s="70"/>
      <c r="H578" s="70"/>
      <c r="I578" s="70"/>
      <c r="J578" s="70"/>
      <c r="K578" s="70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  <c r="Y578" s="70"/>
      <c r="Z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  <c r="F579" s="70"/>
      <c r="G579" s="70"/>
      <c r="H579" s="70"/>
      <c r="I579" s="70"/>
      <c r="J579" s="70"/>
      <c r="K579" s="70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  <c r="Y579" s="70"/>
      <c r="Z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  <c r="F580" s="70"/>
      <c r="G580" s="70"/>
      <c r="H580" s="70"/>
      <c r="I580" s="70"/>
      <c r="J580" s="70"/>
      <c r="K580" s="70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  <c r="Y580" s="70"/>
      <c r="Z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  <c r="F581" s="70"/>
      <c r="G581" s="70"/>
      <c r="H581" s="70"/>
      <c r="I581" s="70"/>
      <c r="J581" s="70"/>
      <c r="K581" s="70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  <c r="Y581" s="70"/>
      <c r="Z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  <c r="F582" s="70"/>
      <c r="G582" s="70"/>
      <c r="H582" s="70"/>
      <c r="I582" s="70"/>
      <c r="J582" s="70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  <c r="Z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  <c r="F583" s="70"/>
      <c r="G583" s="70"/>
      <c r="H583" s="70"/>
      <c r="I583" s="70"/>
      <c r="J583" s="70"/>
      <c r="K583" s="70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  <c r="Y583" s="70"/>
      <c r="Z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  <c r="F584" s="70"/>
      <c r="G584" s="70"/>
      <c r="H584" s="70"/>
      <c r="I584" s="70"/>
      <c r="J584" s="70"/>
      <c r="K584" s="70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  <c r="Y584" s="70"/>
      <c r="Z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  <c r="F585" s="70"/>
      <c r="G585" s="70"/>
      <c r="H585" s="70"/>
      <c r="I585" s="70"/>
      <c r="J585" s="70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  <c r="Y585" s="70"/>
      <c r="Z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  <c r="F586" s="70"/>
      <c r="G586" s="70"/>
      <c r="H586" s="70"/>
      <c r="I586" s="70"/>
      <c r="J586" s="70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  <c r="Y586" s="70"/>
      <c r="Z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  <c r="F587" s="70"/>
      <c r="G587" s="70"/>
      <c r="H587" s="70"/>
      <c r="I587" s="70"/>
      <c r="J587" s="70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  <c r="Y587" s="70"/>
      <c r="Z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  <c r="F588" s="70"/>
      <c r="G588" s="70"/>
      <c r="H588" s="70"/>
      <c r="I588" s="70"/>
      <c r="J588" s="70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  <c r="Z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  <c r="F589" s="70"/>
      <c r="G589" s="70"/>
      <c r="H589" s="70"/>
      <c r="I589" s="70"/>
      <c r="J589" s="70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  <c r="Z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  <c r="F590" s="70"/>
      <c r="G590" s="70"/>
      <c r="H590" s="70"/>
      <c r="I590" s="70"/>
      <c r="J590" s="70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  <c r="Z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  <c r="F591" s="70"/>
      <c r="G591" s="70"/>
      <c r="H591" s="70"/>
      <c r="I591" s="70"/>
      <c r="J591" s="70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  <c r="Z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  <c r="F592" s="70"/>
      <c r="G592" s="70"/>
      <c r="H592" s="70"/>
      <c r="I592" s="70"/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  <c r="Y592" s="70"/>
      <c r="Z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  <c r="F593" s="70"/>
      <c r="G593" s="70"/>
      <c r="H593" s="70"/>
      <c r="I593" s="70"/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70"/>
      <c r="Y593" s="70"/>
      <c r="Z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  <c r="F594" s="70"/>
      <c r="G594" s="70"/>
      <c r="H594" s="70"/>
      <c r="I594" s="70"/>
      <c r="J594" s="70"/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70"/>
      <c r="Y594" s="70"/>
      <c r="Z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  <c r="F595" s="70"/>
      <c r="G595" s="70"/>
      <c r="H595" s="70"/>
      <c r="I595" s="70"/>
      <c r="J595" s="70"/>
      <c r="K595" s="70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  <c r="Y595" s="70"/>
      <c r="Z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  <c r="F596" s="70"/>
      <c r="G596" s="70"/>
      <c r="H596" s="70"/>
      <c r="I596" s="70"/>
      <c r="J596" s="70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  <c r="Z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  <c r="F597" s="70"/>
      <c r="G597" s="70"/>
      <c r="H597" s="70"/>
      <c r="I597" s="70"/>
      <c r="J597" s="70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  <c r="Z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  <c r="F598" s="70"/>
      <c r="G598" s="70"/>
      <c r="H598" s="70"/>
      <c r="I598" s="70"/>
      <c r="J598" s="70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  <c r="Z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  <c r="F599" s="70"/>
      <c r="G599" s="70"/>
      <c r="H599" s="70"/>
      <c r="I599" s="70"/>
      <c r="J599" s="70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  <c r="Z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  <c r="F600" s="70"/>
      <c r="G600" s="70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  <c r="Z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  <c r="F601" s="70"/>
      <c r="G601" s="70"/>
      <c r="H601" s="70"/>
      <c r="I601" s="70"/>
      <c r="J601" s="70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  <c r="Z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  <c r="F602" s="70"/>
      <c r="G602" s="70"/>
      <c r="H602" s="70"/>
      <c r="I602" s="70"/>
      <c r="J602" s="70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  <c r="Z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  <c r="F603" s="70"/>
      <c r="G603" s="70"/>
      <c r="H603" s="70"/>
      <c r="I603" s="70"/>
      <c r="J603" s="70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  <c r="Z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  <c r="F604" s="70"/>
      <c r="G604" s="70"/>
      <c r="H604" s="70"/>
      <c r="I604" s="70"/>
      <c r="J604" s="70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  <c r="Z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  <c r="F605" s="70"/>
      <c r="G605" s="70"/>
      <c r="H605" s="70"/>
      <c r="I605" s="70"/>
      <c r="J605" s="70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  <c r="Z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  <c r="F606" s="70"/>
      <c r="G606" s="70"/>
      <c r="H606" s="70"/>
      <c r="I606" s="70"/>
      <c r="J606" s="70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  <c r="Z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  <c r="F607" s="70"/>
      <c r="G607" s="70"/>
      <c r="H607" s="70"/>
      <c r="I607" s="70"/>
      <c r="J607" s="70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  <c r="Z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  <c r="F608" s="70"/>
      <c r="G608" s="70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  <c r="Z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  <c r="F609" s="70"/>
      <c r="G609" s="70"/>
      <c r="H609" s="70"/>
      <c r="I609" s="70"/>
      <c r="J609" s="70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  <c r="Z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  <c r="F610" s="70"/>
      <c r="G610" s="70"/>
      <c r="H610" s="70"/>
      <c r="I610" s="70"/>
      <c r="J610" s="70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  <c r="Z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  <c r="F611" s="70"/>
      <c r="G611" s="70"/>
      <c r="H611" s="70"/>
      <c r="I611" s="70"/>
      <c r="J611" s="70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  <c r="Z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  <c r="F612" s="70"/>
      <c r="G612" s="70"/>
      <c r="H612" s="70"/>
      <c r="I612" s="70"/>
      <c r="J612" s="70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  <c r="Z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  <c r="F613" s="70"/>
      <c r="G613" s="70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  <c r="Z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  <c r="F614" s="70"/>
      <c r="G614" s="70"/>
      <c r="H614" s="70"/>
      <c r="I614" s="70"/>
      <c r="J614" s="70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  <c r="Z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  <c r="F615" s="70"/>
      <c r="G615" s="70"/>
      <c r="H615" s="70"/>
      <c r="I615" s="70"/>
      <c r="J615" s="70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  <c r="Z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  <c r="F616" s="70"/>
      <c r="G616" s="70"/>
      <c r="H616" s="70"/>
      <c r="I616" s="70"/>
      <c r="J616" s="70"/>
      <c r="K616" s="70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  <c r="Y616" s="70"/>
      <c r="Z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  <c r="F617" s="70"/>
      <c r="G617" s="70"/>
      <c r="H617" s="70"/>
      <c r="I617" s="70"/>
      <c r="J617" s="70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  <c r="Z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  <c r="F618" s="70"/>
      <c r="G618" s="70"/>
      <c r="H618" s="70"/>
      <c r="I618" s="70"/>
      <c r="J618" s="70"/>
      <c r="K618" s="70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  <c r="Y618" s="70"/>
      <c r="Z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  <c r="F619" s="70"/>
      <c r="G619" s="70"/>
      <c r="H619" s="70"/>
      <c r="I619" s="70"/>
      <c r="J619" s="70"/>
      <c r="K619" s="70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  <c r="Y619" s="70"/>
      <c r="Z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  <c r="F620" s="70"/>
      <c r="G620" s="70"/>
      <c r="H620" s="70"/>
      <c r="I620" s="70"/>
      <c r="J620" s="70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  <c r="Y620" s="70"/>
      <c r="Z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  <c r="F621" s="70"/>
      <c r="G621" s="70"/>
      <c r="H621" s="70"/>
      <c r="I621" s="70"/>
      <c r="J621" s="70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  <c r="Z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  <c r="F622" s="70"/>
      <c r="G622" s="70"/>
      <c r="H622" s="70"/>
      <c r="I622" s="70"/>
      <c r="J622" s="70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  <c r="Z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  <c r="F623" s="70"/>
      <c r="G623" s="70"/>
      <c r="H623" s="70"/>
      <c r="I623" s="70"/>
      <c r="J623" s="70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  <c r="Z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  <c r="F624" s="70"/>
      <c r="G624" s="70"/>
      <c r="H624" s="70"/>
      <c r="I624" s="70"/>
      <c r="J624" s="70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  <c r="Z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  <c r="F625" s="70"/>
      <c r="G625" s="70"/>
      <c r="H625" s="70"/>
      <c r="I625" s="70"/>
      <c r="J625" s="70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  <c r="Z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  <c r="F626" s="70"/>
      <c r="G626" s="70"/>
      <c r="H626" s="70"/>
      <c r="I626" s="70"/>
      <c r="J626" s="70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  <c r="Z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  <c r="F627" s="70"/>
      <c r="G627" s="70"/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  <c r="Z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  <c r="F628" s="70"/>
      <c r="G628" s="70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  <c r="Z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  <c r="F629" s="70"/>
      <c r="G629" s="70"/>
      <c r="H629" s="70"/>
      <c r="I629" s="70"/>
      <c r="J629" s="70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  <c r="Z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  <c r="F630" s="70"/>
      <c r="G630" s="70"/>
      <c r="H630" s="70"/>
      <c r="I630" s="70"/>
      <c r="J630" s="70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  <c r="Z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  <c r="F631" s="70"/>
      <c r="G631" s="70"/>
      <c r="H631" s="70"/>
      <c r="I631" s="70"/>
      <c r="J631" s="70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  <c r="Z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  <c r="F632" s="70"/>
      <c r="G632" s="70"/>
      <c r="H632" s="70"/>
      <c r="I632" s="70"/>
      <c r="J632" s="70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  <c r="Z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  <c r="F633" s="70"/>
      <c r="G633" s="70"/>
      <c r="H633" s="70"/>
      <c r="I633" s="70"/>
      <c r="J633" s="70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  <c r="Z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  <c r="F634" s="70"/>
      <c r="G634" s="70"/>
      <c r="H634" s="70"/>
      <c r="I634" s="70"/>
      <c r="J634" s="70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  <c r="Z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  <c r="F635" s="70"/>
      <c r="G635" s="70"/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  <c r="Z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  <c r="F636" s="70"/>
      <c r="G636" s="70"/>
      <c r="H636" s="70"/>
      <c r="I636" s="70"/>
      <c r="J636" s="70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  <c r="Z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  <c r="F637" s="70"/>
      <c r="G637" s="70"/>
      <c r="H637" s="70"/>
      <c r="I637" s="70"/>
      <c r="J637" s="70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  <c r="Z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  <c r="F638" s="70"/>
      <c r="G638" s="70"/>
      <c r="H638" s="70"/>
      <c r="I638" s="70"/>
      <c r="J638" s="70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  <c r="Z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  <c r="F639" s="70"/>
      <c r="G639" s="70"/>
      <c r="H639" s="70"/>
      <c r="I639" s="70"/>
      <c r="J639" s="70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  <c r="Z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  <c r="F640" s="70"/>
      <c r="G640" s="70"/>
      <c r="H640" s="70"/>
      <c r="I640" s="70"/>
      <c r="J640" s="70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  <c r="Z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  <c r="F641" s="70"/>
      <c r="G641" s="70"/>
      <c r="H641" s="70"/>
      <c r="I641" s="70"/>
      <c r="J641" s="70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  <c r="Y641" s="70"/>
      <c r="Z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  <c r="F642" s="70"/>
      <c r="G642" s="70"/>
      <c r="H642" s="70"/>
      <c r="I642" s="70"/>
      <c r="J642" s="70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  <c r="Y642" s="70"/>
      <c r="Z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  <c r="F643" s="70"/>
      <c r="G643" s="70"/>
      <c r="H643" s="70"/>
      <c r="I643" s="70"/>
      <c r="J643" s="70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  <c r="Y643" s="70"/>
      <c r="Z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  <c r="F644" s="70"/>
      <c r="G644" s="70"/>
      <c r="H644" s="70"/>
      <c r="I644" s="70"/>
      <c r="J644" s="70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  <c r="Y644" s="70"/>
      <c r="Z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  <c r="F645" s="70"/>
      <c r="G645" s="70"/>
      <c r="H645" s="70"/>
      <c r="I645" s="70"/>
      <c r="J645" s="70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  <c r="Y645" s="70"/>
      <c r="Z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  <c r="F646" s="70"/>
      <c r="G646" s="70"/>
      <c r="H646" s="70"/>
      <c r="I646" s="70"/>
      <c r="J646" s="70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  <c r="Y646" s="70"/>
      <c r="Z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  <c r="F647" s="70"/>
      <c r="G647" s="70"/>
      <c r="H647" s="70"/>
      <c r="I647" s="70"/>
      <c r="J647" s="70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  <c r="Y647" s="70"/>
      <c r="Z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  <c r="F648" s="70"/>
      <c r="G648" s="70"/>
      <c r="H648" s="70"/>
      <c r="I648" s="70"/>
      <c r="J648" s="70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  <c r="Y648" s="70"/>
      <c r="Z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  <c r="F649" s="70"/>
      <c r="G649" s="70"/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  <c r="Y649" s="70"/>
      <c r="Z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  <c r="F650" s="70"/>
      <c r="G650" s="70"/>
      <c r="H650" s="70"/>
      <c r="I650" s="70"/>
      <c r="J650" s="70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  <c r="Y650" s="70"/>
      <c r="Z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  <c r="F651" s="70"/>
      <c r="G651" s="70"/>
      <c r="H651" s="70"/>
      <c r="I651" s="70"/>
      <c r="J651" s="70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  <c r="Y651" s="70"/>
      <c r="Z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  <c r="Z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  <c r="Z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  <c r="Z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  <c r="F655" s="70"/>
      <c r="G655" s="70"/>
      <c r="H655" s="70"/>
      <c r="I655" s="70"/>
      <c r="J655" s="70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  <c r="Z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  <c r="Z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  <c r="Z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  <c r="Z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  <c r="Z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  <c r="F660" s="70"/>
      <c r="G660" s="70"/>
      <c r="H660" s="70"/>
      <c r="I660" s="70"/>
      <c r="J660" s="70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  <c r="Y660" s="70"/>
      <c r="Z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  <c r="F661" s="70"/>
      <c r="G661" s="70"/>
      <c r="H661" s="70"/>
      <c r="I661" s="70"/>
      <c r="J661" s="70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  <c r="Y661" s="70"/>
      <c r="Z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  <c r="F662" s="70"/>
      <c r="G662" s="70"/>
      <c r="H662" s="70"/>
      <c r="I662" s="70"/>
      <c r="J662" s="70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  <c r="Y662" s="70"/>
      <c r="Z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  <c r="F663" s="70"/>
      <c r="G663" s="70"/>
      <c r="H663" s="70"/>
      <c r="I663" s="70"/>
      <c r="J663" s="70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  <c r="Z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  <c r="F664" s="70"/>
      <c r="G664" s="70"/>
      <c r="H664" s="70"/>
      <c r="I664" s="70"/>
      <c r="J664" s="70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  <c r="Y664" s="70"/>
      <c r="Z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  <c r="F665" s="70"/>
      <c r="G665" s="70"/>
      <c r="H665" s="70"/>
      <c r="I665" s="70"/>
      <c r="J665" s="70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  <c r="Y665" s="70"/>
      <c r="Z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  <c r="F666" s="70"/>
      <c r="G666" s="70"/>
      <c r="H666" s="70"/>
      <c r="I666" s="70"/>
      <c r="J666" s="70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  <c r="Y666" s="70"/>
      <c r="Z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  <c r="F667" s="70"/>
      <c r="G667" s="70"/>
      <c r="H667" s="70"/>
      <c r="I667" s="70"/>
      <c r="J667" s="70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  <c r="Y667" s="70"/>
      <c r="Z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  <c r="F668" s="70"/>
      <c r="G668" s="70"/>
      <c r="H668" s="70"/>
      <c r="I668" s="70"/>
      <c r="J668" s="70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  <c r="Y668" s="70"/>
      <c r="Z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  <c r="F669" s="70"/>
      <c r="G669" s="70"/>
      <c r="H669" s="70"/>
      <c r="I669" s="70"/>
      <c r="J669" s="70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  <c r="Y669" s="70"/>
      <c r="Z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  <c r="F670" s="70"/>
      <c r="G670" s="70"/>
      <c r="H670" s="70"/>
      <c r="I670" s="70"/>
      <c r="J670" s="70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  <c r="Y670" s="70"/>
      <c r="Z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  <c r="F671" s="70"/>
      <c r="G671" s="70"/>
      <c r="H671" s="70"/>
      <c r="I671" s="70"/>
      <c r="J671" s="70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  <c r="Y671" s="70"/>
      <c r="Z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  <c r="F672" s="70"/>
      <c r="G672" s="70"/>
      <c r="H672" s="70"/>
      <c r="I672" s="70"/>
      <c r="J672" s="70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  <c r="Y672" s="70"/>
      <c r="Z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  <c r="F673" s="70"/>
      <c r="G673" s="70"/>
      <c r="H673" s="70"/>
      <c r="I673" s="70"/>
      <c r="J673" s="70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  <c r="Y673" s="70"/>
      <c r="Z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  <c r="F674" s="70"/>
      <c r="G674" s="70"/>
      <c r="H674" s="70"/>
      <c r="I674" s="70"/>
      <c r="J674" s="70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  <c r="Y674" s="70"/>
      <c r="Z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  <c r="F675" s="70"/>
      <c r="G675" s="70"/>
      <c r="H675" s="70"/>
      <c r="I675" s="70"/>
      <c r="J675" s="70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  <c r="Y675" s="70"/>
      <c r="Z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  <c r="F676" s="70"/>
      <c r="G676" s="70"/>
      <c r="H676" s="70"/>
      <c r="I676" s="70"/>
      <c r="J676" s="70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  <c r="Y676" s="70"/>
      <c r="Z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  <c r="F677" s="70"/>
      <c r="G677" s="70"/>
      <c r="H677" s="70"/>
      <c r="I677" s="70"/>
      <c r="J677" s="70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  <c r="Y677" s="70"/>
      <c r="Z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  <c r="F678" s="70"/>
      <c r="G678" s="70"/>
      <c r="H678" s="70"/>
      <c r="I678" s="70"/>
      <c r="J678" s="70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  <c r="Y678" s="70"/>
      <c r="Z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  <c r="F679" s="70"/>
      <c r="G679" s="70"/>
      <c r="H679" s="70"/>
      <c r="I679" s="70"/>
      <c r="J679" s="70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  <c r="Y679" s="70"/>
      <c r="Z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  <c r="F680" s="70"/>
      <c r="G680" s="70"/>
      <c r="H680" s="70"/>
      <c r="I680" s="70"/>
      <c r="J680" s="70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  <c r="Y680" s="70"/>
      <c r="Z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  <c r="F681" s="70"/>
      <c r="G681" s="70"/>
      <c r="H681" s="70"/>
      <c r="I681" s="70"/>
      <c r="J681" s="70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  <c r="Y681" s="70"/>
      <c r="Z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  <c r="F682" s="70"/>
      <c r="G682" s="70"/>
      <c r="H682" s="70"/>
      <c r="I682" s="70"/>
      <c r="J682" s="70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  <c r="Y682" s="70"/>
      <c r="Z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  <c r="F683" s="70"/>
      <c r="G683" s="70"/>
      <c r="H683" s="70"/>
      <c r="I683" s="70"/>
      <c r="J683" s="70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  <c r="Y683" s="70"/>
      <c r="Z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  <c r="F684" s="70"/>
      <c r="G684" s="70"/>
      <c r="H684" s="70"/>
      <c r="I684" s="70"/>
      <c r="J684" s="70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  <c r="Y684" s="70"/>
      <c r="Z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  <c r="F685" s="70"/>
      <c r="G685" s="70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  <c r="Z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  <c r="F686" s="70"/>
      <c r="G686" s="70"/>
      <c r="H686" s="70"/>
      <c r="I686" s="70"/>
      <c r="J686" s="70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  <c r="Y686" s="70"/>
      <c r="Z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  <c r="F687" s="70"/>
      <c r="G687" s="70"/>
      <c r="H687" s="70"/>
      <c r="I687" s="70"/>
      <c r="J687" s="70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  <c r="Y687" s="70"/>
      <c r="Z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  <c r="F688" s="70"/>
      <c r="G688" s="70"/>
      <c r="H688" s="70"/>
      <c r="I688" s="70"/>
      <c r="J688" s="70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  <c r="Y688" s="70"/>
      <c r="Z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  <c r="F689" s="70"/>
      <c r="G689" s="70"/>
      <c r="H689" s="70"/>
      <c r="I689" s="70"/>
      <c r="J689" s="70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  <c r="Y689" s="70"/>
      <c r="Z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  <c r="F690" s="70"/>
      <c r="G690" s="70"/>
      <c r="H690" s="70"/>
      <c r="I690" s="70"/>
      <c r="J690" s="70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  <c r="Y690" s="70"/>
      <c r="Z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  <c r="F691" s="70"/>
      <c r="G691" s="70"/>
      <c r="H691" s="70"/>
      <c r="I691" s="70"/>
      <c r="J691" s="70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  <c r="Y691" s="70"/>
      <c r="Z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  <c r="F692" s="70"/>
      <c r="G692" s="70"/>
      <c r="H692" s="70"/>
      <c r="I692" s="70"/>
      <c r="J692" s="70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  <c r="Y692" s="70"/>
      <c r="Z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  <c r="F693" s="70"/>
      <c r="G693" s="70"/>
      <c r="H693" s="70"/>
      <c r="I693" s="70"/>
      <c r="J693" s="70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  <c r="Y693" s="70"/>
      <c r="Z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  <c r="F694" s="70"/>
      <c r="G694" s="70"/>
      <c r="H694" s="70"/>
      <c r="I694" s="70"/>
      <c r="J694" s="70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  <c r="Y694" s="70"/>
      <c r="Z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  <c r="F695" s="70"/>
      <c r="G695" s="70"/>
      <c r="H695" s="70"/>
      <c r="I695" s="70"/>
      <c r="J695" s="70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  <c r="Y695" s="70"/>
      <c r="Z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  <c r="F696" s="70"/>
      <c r="G696" s="70"/>
      <c r="H696" s="70"/>
      <c r="I696" s="70"/>
      <c r="J696" s="70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  <c r="Y696" s="70"/>
      <c r="Z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  <c r="F697" s="70"/>
      <c r="G697" s="70"/>
      <c r="H697" s="70"/>
      <c r="I697" s="70"/>
      <c r="J697" s="70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  <c r="Y697" s="70"/>
      <c r="Z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  <c r="F698" s="70"/>
      <c r="G698" s="70"/>
      <c r="H698" s="70"/>
      <c r="I698" s="70"/>
      <c r="J698" s="70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  <c r="Y698" s="70"/>
      <c r="Z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  <c r="F699" s="70"/>
      <c r="G699" s="70"/>
      <c r="H699" s="70"/>
      <c r="I699" s="70"/>
      <c r="J699" s="70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  <c r="Y699" s="70"/>
      <c r="Z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  <c r="F700" s="70"/>
      <c r="G700" s="70"/>
      <c r="H700" s="70"/>
      <c r="I700" s="70"/>
      <c r="J700" s="70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  <c r="Y700" s="70"/>
      <c r="Z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  <c r="F701" s="70"/>
      <c r="G701" s="70"/>
      <c r="H701" s="70"/>
      <c r="I701" s="70"/>
      <c r="J701" s="70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  <c r="Y701" s="70"/>
      <c r="Z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  <c r="F702" s="70"/>
      <c r="G702" s="70"/>
      <c r="H702" s="70"/>
      <c r="I702" s="70"/>
      <c r="J702" s="70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  <c r="Y702" s="70"/>
      <c r="Z702" s="70"/>
    </row>
    <row r="703" customFormat="false" ht="12.75" hidden="false" customHeight="false" outlineLevel="0" collapsed="false">
      <c r="A703" s="70"/>
      <c r="B703" s="70"/>
      <c r="C703" s="70"/>
      <c r="D703" s="70"/>
      <c r="E703" s="70"/>
      <c r="F703" s="70"/>
      <c r="G703" s="70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  <c r="Y703" s="70"/>
      <c r="Z703" s="70"/>
    </row>
    <row r="704" customFormat="false" ht="12.75" hidden="false" customHeight="false" outlineLevel="0" collapsed="false">
      <c r="A704" s="70"/>
      <c r="B704" s="70"/>
      <c r="C704" s="70"/>
      <c r="D704" s="70"/>
      <c r="E704" s="70"/>
      <c r="F704" s="70"/>
      <c r="G704" s="70"/>
      <c r="H704" s="70"/>
      <c r="I704" s="70"/>
      <c r="J704" s="70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  <c r="Y704" s="70"/>
      <c r="Z704" s="70"/>
    </row>
    <row r="705" customFormat="false" ht="12.75" hidden="false" customHeight="false" outlineLevel="0" collapsed="false">
      <c r="A705" s="70"/>
      <c r="B705" s="70"/>
      <c r="C705" s="70"/>
      <c r="D705" s="70"/>
      <c r="E705" s="70"/>
      <c r="F705" s="70"/>
      <c r="G705" s="70"/>
      <c r="H705" s="70"/>
      <c r="I705" s="70"/>
      <c r="J705" s="70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  <c r="Y705" s="70"/>
      <c r="Z705" s="70"/>
    </row>
    <row r="706" customFormat="false" ht="12.75" hidden="false" customHeight="false" outlineLevel="0" collapsed="false">
      <c r="A706" s="70"/>
      <c r="B706" s="70"/>
      <c r="C706" s="70"/>
      <c r="D706" s="70"/>
      <c r="E706" s="70"/>
      <c r="F706" s="70"/>
      <c r="G706" s="70"/>
      <c r="H706" s="70"/>
      <c r="I706" s="70"/>
      <c r="J706" s="70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  <c r="Y706" s="70"/>
      <c r="Z706" s="70"/>
    </row>
    <row r="707" customFormat="false" ht="12.75" hidden="false" customHeight="false" outlineLevel="0" collapsed="false">
      <c r="A707" s="70"/>
      <c r="B707" s="70"/>
      <c r="C707" s="70"/>
      <c r="D707" s="70"/>
      <c r="E707" s="70"/>
      <c r="F707" s="70"/>
      <c r="G707" s="70"/>
      <c r="H707" s="70"/>
      <c r="I707" s="70"/>
      <c r="J707" s="70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  <c r="Z707" s="70"/>
    </row>
    <row r="708" customFormat="false" ht="12.75" hidden="false" customHeight="false" outlineLevel="0" collapsed="false">
      <c r="A708" s="70"/>
      <c r="B708" s="70"/>
      <c r="C708" s="70"/>
      <c r="D708" s="70"/>
      <c r="E708" s="70"/>
      <c r="F708" s="70"/>
      <c r="G708" s="70"/>
      <c r="H708" s="70"/>
      <c r="I708" s="70"/>
      <c r="J708" s="70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  <c r="Y708" s="70"/>
      <c r="Z708" s="70"/>
    </row>
    <row r="709" customFormat="false" ht="12.75" hidden="false" customHeight="false" outlineLevel="0" collapsed="false">
      <c r="A709" s="70"/>
      <c r="B709" s="70"/>
      <c r="C709" s="70"/>
      <c r="D709" s="70"/>
      <c r="E709" s="70"/>
      <c r="F709" s="70"/>
      <c r="G709" s="70"/>
      <c r="H709" s="70"/>
      <c r="I709" s="70"/>
      <c r="J709" s="70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  <c r="Y709" s="70"/>
      <c r="Z709" s="70"/>
    </row>
    <row r="710" customFormat="false" ht="12.75" hidden="false" customHeight="false" outlineLevel="0" collapsed="false">
      <c r="A710" s="70"/>
      <c r="B710" s="70"/>
      <c r="C710" s="70"/>
      <c r="D710" s="70"/>
      <c r="E710" s="70"/>
      <c r="F710" s="70"/>
      <c r="G710" s="70"/>
      <c r="H710" s="70"/>
      <c r="I710" s="70"/>
      <c r="J710" s="70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  <c r="Y710" s="70"/>
      <c r="Z710" s="70"/>
    </row>
    <row r="711" customFormat="false" ht="12.75" hidden="false" customHeight="false" outlineLevel="0" collapsed="false">
      <c r="A711" s="70"/>
      <c r="B711" s="70"/>
      <c r="C711" s="70"/>
      <c r="D711" s="70"/>
      <c r="E711" s="70"/>
      <c r="F711" s="70"/>
      <c r="G711" s="70"/>
      <c r="H711" s="70"/>
      <c r="I711" s="70"/>
      <c r="J711" s="70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  <c r="Y711" s="70"/>
      <c r="Z711" s="70"/>
    </row>
    <row r="712" customFormat="false" ht="12.75" hidden="false" customHeight="false" outlineLevel="0" collapsed="false">
      <c r="A712" s="70"/>
      <c r="B712" s="70"/>
      <c r="C712" s="70"/>
      <c r="D712" s="70"/>
      <c r="E712" s="70"/>
      <c r="F712" s="70"/>
      <c r="G712" s="70"/>
      <c r="H712" s="70"/>
      <c r="I712" s="70"/>
      <c r="J712" s="70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  <c r="Y712" s="70"/>
      <c r="Z712" s="70"/>
    </row>
    <row r="713" customFormat="false" ht="12.75" hidden="false" customHeight="false" outlineLevel="0" collapsed="false">
      <c r="A713" s="70"/>
      <c r="B713" s="70"/>
      <c r="C713" s="70"/>
      <c r="D713" s="70"/>
      <c r="E713" s="70"/>
      <c r="F713" s="70"/>
      <c r="G713" s="70"/>
      <c r="H713" s="70"/>
      <c r="I713" s="70"/>
      <c r="J713" s="70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  <c r="Y713" s="70"/>
      <c r="Z713" s="70"/>
    </row>
    <row r="714" customFormat="false" ht="12.75" hidden="false" customHeight="false" outlineLevel="0" collapsed="false">
      <c r="A714" s="70"/>
      <c r="B714" s="70"/>
      <c r="C714" s="70"/>
      <c r="D714" s="70"/>
      <c r="E714" s="70"/>
      <c r="F714" s="70"/>
      <c r="G714" s="70"/>
      <c r="H714" s="70"/>
      <c r="I714" s="70"/>
      <c r="J714" s="70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  <c r="Y714" s="70"/>
      <c r="Z714" s="70"/>
    </row>
    <row r="715" customFormat="false" ht="12.75" hidden="false" customHeight="false" outlineLevel="0" collapsed="false">
      <c r="A715" s="70"/>
      <c r="B715" s="70"/>
      <c r="C715" s="70"/>
      <c r="D715" s="70"/>
      <c r="E715" s="70"/>
      <c r="F715" s="70"/>
      <c r="G715" s="70"/>
      <c r="H715" s="70"/>
      <c r="I715" s="70"/>
      <c r="J715" s="70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  <c r="Y715" s="70"/>
      <c r="Z715" s="70"/>
    </row>
    <row r="716" customFormat="false" ht="12.75" hidden="false" customHeight="false" outlineLevel="0" collapsed="false">
      <c r="A716" s="70"/>
      <c r="B716" s="70"/>
      <c r="C716" s="70"/>
      <c r="D716" s="70"/>
      <c r="E716" s="70"/>
      <c r="F716" s="70"/>
      <c r="G716" s="70"/>
      <c r="H716" s="70"/>
      <c r="I716" s="70"/>
      <c r="J716" s="70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  <c r="Y716" s="70"/>
      <c r="Z716" s="70"/>
    </row>
    <row r="717" customFormat="false" ht="12.75" hidden="false" customHeight="false" outlineLevel="0" collapsed="false">
      <c r="A717" s="70"/>
      <c r="B717" s="70"/>
      <c r="C717" s="70"/>
      <c r="D717" s="70"/>
      <c r="E717" s="70"/>
      <c r="F717" s="70"/>
      <c r="G717" s="70"/>
      <c r="H717" s="70"/>
      <c r="I717" s="70"/>
      <c r="J717" s="70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  <c r="Y717" s="70"/>
      <c r="Z717" s="70"/>
    </row>
    <row r="718" customFormat="false" ht="12.75" hidden="false" customHeight="false" outlineLevel="0" collapsed="false">
      <c r="A718" s="70"/>
      <c r="B718" s="70"/>
      <c r="C718" s="70"/>
      <c r="D718" s="70"/>
      <c r="E718" s="70"/>
      <c r="F718" s="70"/>
      <c r="G718" s="70"/>
      <c r="H718" s="70"/>
      <c r="I718" s="70"/>
      <c r="J718" s="70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  <c r="Y718" s="70"/>
      <c r="Z718" s="70"/>
    </row>
    <row r="719" customFormat="false" ht="12.75" hidden="false" customHeight="false" outlineLevel="0" collapsed="false">
      <c r="A719" s="70"/>
      <c r="B719" s="70"/>
      <c r="C719" s="70"/>
      <c r="D719" s="70"/>
      <c r="E719" s="70"/>
      <c r="F719" s="70"/>
      <c r="G719" s="70"/>
      <c r="H719" s="70"/>
      <c r="I719" s="70"/>
      <c r="J719" s="70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  <c r="Y719" s="70"/>
      <c r="Z719" s="70"/>
    </row>
    <row r="720" customFormat="false" ht="12.75" hidden="false" customHeight="false" outlineLevel="0" collapsed="false">
      <c r="A720" s="70"/>
      <c r="B720" s="70"/>
      <c r="C720" s="70"/>
      <c r="D720" s="70"/>
      <c r="E720" s="70"/>
      <c r="F720" s="70"/>
      <c r="G720" s="70"/>
      <c r="H720" s="70"/>
      <c r="I720" s="70"/>
      <c r="J720" s="70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  <c r="Y720" s="70"/>
      <c r="Z720" s="70"/>
    </row>
    <row r="721" customFormat="false" ht="12.75" hidden="false" customHeight="false" outlineLevel="0" collapsed="false">
      <c r="A721" s="70"/>
      <c r="B721" s="70"/>
      <c r="C721" s="70"/>
      <c r="D721" s="70"/>
      <c r="E721" s="70"/>
      <c r="F721" s="70"/>
      <c r="G721" s="70"/>
      <c r="H721" s="70"/>
      <c r="I721" s="70"/>
      <c r="J721" s="70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  <c r="Y721" s="70"/>
      <c r="Z721" s="70"/>
    </row>
    <row r="722" customFormat="false" ht="12.75" hidden="false" customHeight="false" outlineLevel="0" collapsed="false">
      <c r="A722" s="70"/>
      <c r="B722" s="70"/>
      <c r="C722" s="70"/>
      <c r="D722" s="70"/>
      <c r="E722" s="70"/>
      <c r="F722" s="70"/>
      <c r="G722" s="70"/>
      <c r="H722" s="70"/>
      <c r="I722" s="70"/>
      <c r="J722" s="70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  <c r="Y722" s="70"/>
      <c r="Z722" s="70"/>
    </row>
    <row r="723" customFormat="false" ht="12.75" hidden="false" customHeight="false" outlineLevel="0" collapsed="false">
      <c r="A723" s="70"/>
      <c r="B723" s="70"/>
      <c r="C723" s="70"/>
      <c r="D723" s="70"/>
      <c r="E723" s="70"/>
      <c r="F723" s="70"/>
      <c r="G723" s="70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  <c r="Y723" s="70"/>
      <c r="Z723" s="70"/>
    </row>
    <row r="724" customFormat="false" ht="12.75" hidden="false" customHeight="false" outlineLevel="0" collapsed="false">
      <c r="A724" s="70"/>
      <c r="B724" s="70"/>
      <c r="C724" s="70"/>
      <c r="D724" s="70"/>
      <c r="E724" s="70"/>
      <c r="F724" s="70"/>
      <c r="G724" s="70"/>
      <c r="H724" s="70"/>
      <c r="I724" s="70"/>
      <c r="J724" s="70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  <c r="Y724" s="70"/>
      <c r="Z724" s="70"/>
    </row>
    <row r="725" customFormat="false" ht="12.75" hidden="false" customHeight="false" outlineLevel="0" collapsed="false">
      <c r="A725" s="70"/>
      <c r="B725" s="70"/>
      <c r="C725" s="70"/>
      <c r="D725" s="70"/>
      <c r="E725" s="70"/>
      <c r="F725" s="70"/>
      <c r="G725" s="70"/>
      <c r="H725" s="70"/>
      <c r="I725" s="70"/>
      <c r="J725" s="70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  <c r="Y725" s="70"/>
      <c r="Z725" s="70"/>
    </row>
    <row r="726" customFormat="false" ht="12.75" hidden="false" customHeight="false" outlineLevel="0" collapsed="false">
      <c r="A726" s="70"/>
      <c r="B726" s="70"/>
      <c r="C726" s="70"/>
      <c r="D726" s="70"/>
      <c r="E726" s="70"/>
      <c r="F726" s="70"/>
      <c r="G726" s="70"/>
      <c r="H726" s="70"/>
      <c r="I726" s="70"/>
      <c r="J726" s="70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  <c r="Y726" s="70"/>
      <c r="Z726" s="70"/>
    </row>
    <row r="727" customFormat="false" ht="12.75" hidden="false" customHeight="false" outlineLevel="0" collapsed="false">
      <c r="A727" s="70"/>
      <c r="B727" s="70"/>
      <c r="C727" s="70"/>
      <c r="D727" s="70"/>
      <c r="E727" s="70"/>
      <c r="F727" s="70"/>
      <c r="G727" s="70"/>
      <c r="H727" s="70"/>
      <c r="I727" s="70"/>
      <c r="J727" s="70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  <c r="Y727" s="70"/>
      <c r="Z727" s="70"/>
    </row>
    <row r="728" customFormat="false" ht="12.75" hidden="false" customHeight="false" outlineLevel="0" collapsed="false">
      <c r="A728" s="70"/>
      <c r="B728" s="70"/>
      <c r="C728" s="70"/>
      <c r="D728" s="70"/>
      <c r="E728" s="70"/>
      <c r="F728" s="70"/>
      <c r="G728" s="70"/>
      <c r="H728" s="70"/>
      <c r="I728" s="70"/>
      <c r="J728" s="70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  <c r="Y728" s="70"/>
      <c r="Z728" s="70"/>
    </row>
    <row r="729" customFormat="false" ht="12.75" hidden="false" customHeight="false" outlineLevel="0" collapsed="false">
      <c r="A729" s="70"/>
      <c r="B729" s="70"/>
      <c r="C729" s="70"/>
      <c r="D729" s="70"/>
      <c r="E729" s="70"/>
      <c r="F729" s="70"/>
      <c r="G729" s="70"/>
      <c r="H729" s="70"/>
      <c r="I729" s="70"/>
      <c r="J729" s="70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  <c r="Z729" s="70"/>
    </row>
    <row r="730" customFormat="false" ht="12.75" hidden="false" customHeight="false" outlineLevel="0" collapsed="false">
      <c r="A730" s="70"/>
      <c r="B730" s="70"/>
      <c r="C730" s="70"/>
      <c r="D730" s="70"/>
      <c r="E730" s="70"/>
      <c r="F730" s="70"/>
      <c r="G730" s="70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  <c r="Y730" s="70"/>
      <c r="Z730" s="70"/>
    </row>
    <row r="731" customFormat="false" ht="12.75" hidden="false" customHeight="false" outlineLevel="0" collapsed="false">
      <c r="A731" s="70"/>
      <c r="B731" s="70"/>
      <c r="C731" s="70"/>
      <c r="D731" s="70"/>
      <c r="E731" s="70"/>
      <c r="F731" s="70"/>
      <c r="G731" s="70"/>
      <c r="H731" s="70"/>
      <c r="I731" s="70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  <c r="Z731" s="70"/>
    </row>
    <row r="732" customFormat="false" ht="12.75" hidden="false" customHeight="false" outlineLevel="0" collapsed="false">
      <c r="A732" s="70"/>
      <c r="B732" s="70"/>
      <c r="C732" s="70"/>
      <c r="D732" s="70"/>
      <c r="E732" s="70"/>
      <c r="F732" s="70"/>
      <c r="G732" s="70"/>
      <c r="H732" s="70"/>
      <c r="I732" s="70"/>
      <c r="J732" s="70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  <c r="Y732" s="70"/>
      <c r="Z732" s="70"/>
    </row>
    <row r="733" customFormat="false" ht="12.75" hidden="false" customHeight="false" outlineLevel="0" collapsed="false">
      <c r="A733" s="70"/>
      <c r="B733" s="70"/>
      <c r="C733" s="70"/>
      <c r="D733" s="70"/>
      <c r="E733" s="70"/>
      <c r="F733" s="70"/>
      <c r="G733" s="70"/>
      <c r="H733" s="70"/>
      <c r="I733" s="70"/>
      <c r="J733" s="70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  <c r="Y733" s="70"/>
      <c r="Z733" s="70"/>
    </row>
    <row r="734" customFormat="false" ht="12.75" hidden="false" customHeight="false" outlineLevel="0" collapsed="false">
      <c r="A734" s="70"/>
      <c r="B734" s="70"/>
      <c r="C734" s="70"/>
      <c r="D734" s="70"/>
      <c r="E734" s="70"/>
      <c r="F734" s="70"/>
      <c r="G734" s="70"/>
      <c r="H734" s="70"/>
      <c r="I734" s="70"/>
      <c r="J734" s="70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  <c r="Y734" s="70"/>
      <c r="Z734" s="70"/>
    </row>
    <row r="735" customFormat="false" ht="12.75" hidden="false" customHeight="false" outlineLevel="0" collapsed="false">
      <c r="A735" s="70"/>
      <c r="B735" s="70"/>
      <c r="C735" s="70"/>
      <c r="D735" s="70"/>
      <c r="E735" s="70"/>
      <c r="F735" s="70"/>
      <c r="G735" s="70"/>
      <c r="H735" s="70"/>
      <c r="I735" s="70"/>
      <c r="J735" s="70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  <c r="Y735" s="70"/>
      <c r="Z735" s="70"/>
    </row>
    <row r="736" customFormat="false" ht="12.75" hidden="false" customHeight="false" outlineLevel="0" collapsed="false">
      <c r="A736" s="70"/>
      <c r="B736" s="70"/>
      <c r="C736" s="70"/>
      <c r="D736" s="70"/>
      <c r="E736" s="70"/>
      <c r="F736" s="70"/>
      <c r="G736" s="70"/>
      <c r="H736" s="70"/>
      <c r="I736" s="70"/>
      <c r="J736" s="70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  <c r="Y736" s="70"/>
      <c r="Z736" s="70"/>
    </row>
    <row r="737" customFormat="false" ht="12.75" hidden="false" customHeight="false" outlineLevel="0" collapsed="false">
      <c r="A737" s="70"/>
      <c r="B737" s="70"/>
      <c r="C737" s="70"/>
      <c r="D737" s="70"/>
      <c r="E737" s="70"/>
      <c r="F737" s="70"/>
      <c r="G737" s="70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  <c r="Y737" s="70"/>
      <c r="Z737" s="70"/>
    </row>
    <row r="738" customFormat="false" ht="12.75" hidden="false" customHeight="false" outlineLevel="0" collapsed="false">
      <c r="A738" s="70"/>
      <c r="B738" s="70"/>
      <c r="C738" s="70"/>
      <c r="D738" s="70"/>
      <c r="E738" s="70"/>
      <c r="F738" s="70"/>
      <c r="G738" s="70"/>
      <c r="H738" s="70"/>
      <c r="I738" s="70"/>
      <c r="J738" s="70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  <c r="Y738" s="70"/>
      <c r="Z738" s="70"/>
    </row>
    <row r="739" customFormat="false" ht="12.75" hidden="false" customHeight="false" outlineLevel="0" collapsed="false">
      <c r="A739" s="70"/>
      <c r="B739" s="70"/>
      <c r="C739" s="70"/>
      <c r="D739" s="70"/>
      <c r="E739" s="70"/>
      <c r="F739" s="70"/>
      <c r="G739" s="70"/>
      <c r="H739" s="70"/>
      <c r="I739" s="70"/>
      <c r="J739" s="70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  <c r="Y739" s="70"/>
      <c r="Z739" s="70"/>
    </row>
    <row r="740" customFormat="false" ht="12.75" hidden="false" customHeight="false" outlineLevel="0" collapsed="false">
      <c r="A740" s="70"/>
      <c r="B740" s="70"/>
      <c r="C740" s="70"/>
      <c r="D740" s="70"/>
      <c r="E740" s="70"/>
      <c r="F740" s="70"/>
      <c r="G740" s="70"/>
      <c r="H740" s="70"/>
      <c r="I740" s="70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  <c r="Z740" s="70"/>
    </row>
    <row r="741" customFormat="false" ht="12.75" hidden="false" customHeight="false" outlineLevel="0" collapsed="false">
      <c r="A741" s="70"/>
      <c r="B741" s="70"/>
      <c r="C741" s="70"/>
      <c r="D741" s="70"/>
      <c r="E741" s="70"/>
      <c r="F741" s="70"/>
      <c r="G741" s="70"/>
      <c r="H741" s="70"/>
      <c r="I741" s="70"/>
      <c r="J741" s="70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  <c r="Y741" s="70"/>
      <c r="Z741" s="70"/>
    </row>
    <row r="742" customFormat="false" ht="12.75" hidden="false" customHeight="false" outlineLevel="0" collapsed="false">
      <c r="A742" s="70"/>
      <c r="B742" s="70"/>
      <c r="C742" s="70"/>
      <c r="D742" s="70"/>
      <c r="E742" s="70"/>
      <c r="F742" s="70"/>
      <c r="G742" s="70"/>
      <c r="H742" s="70"/>
      <c r="I742" s="70"/>
      <c r="J742" s="70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  <c r="Y742" s="70"/>
      <c r="Z742" s="70"/>
    </row>
    <row r="743" customFormat="false" ht="12.75" hidden="false" customHeight="false" outlineLevel="0" collapsed="false">
      <c r="A743" s="70"/>
      <c r="B743" s="70"/>
      <c r="C743" s="70"/>
      <c r="D743" s="70"/>
      <c r="E743" s="70"/>
      <c r="F743" s="70"/>
      <c r="G743" s="70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  <c r="Y743" s="70"/>
      <c r="Z743" s="70"/>
    </row>
    <row r="744" customFormat="false" ht="12.75" hidden="false" customHeight="false" outlineLevel="0" collapsed="false">
      <c r="A744" s="70"/>
      <c r="B744" s="70"/>
      <c r="C744" s="70"/>
      <c r="D744" s="70"/>
      <c r="E744" s="70"/>
      <c r="F744" s="70"/>
      <c r="G744" s="70"/>
      <c r="H744" s="70"/>
      <c r="I744" s="70"/>
      <c r="J744" s="70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  <c r="Y744" s="70"/>
      <c r="Z744" s="70"/>
    </row>
    <row r="745" customFormat="false" ht="12.75" hidden="false" customHeight="false" outlineLevel="0" collapsed="false">
      <c r="A745" s="70"/>
      <c r="B745" s="70"/>
      <c r="C745" s="70"/>
      <c r="D745" s="70"/>
      <c r="E745" s="70"/>
      <c r="F745" s="70"/>
      <c r="G745" s="70"/>
      <c r="H745" s="70"/>
      <c r="I745" s="70"/>
      <c r="J745" s="70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  <c r="Y745" s="70"/>
      <c r="Z745" s="70"/>
    </row>
    <row r="746" customFormat="false" ht="12.75" hidden="false" customHeight="false" outlineLevel="0" collapsed="false">
      <c r="A746" s="70"/>
      <c r="B746" s="70"/>
      <c r="C746" s="70"/>
      <c r="D746" s="70"/>
      <c r="E746" s="70"/>
      <c r="F746" s="70"/>
      <c r="G746" s="70"/>
      <c r="H746" s="70"/>
      <c r="I746" s="70"/>
      <c r="J746" s="70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  <c r="Y746" s="70"/>
      <c r="Z746" s="70"/>
    </row>
    <row r="747" customFormat="false" ht="12.75" hidden="false" customHeight="false" outlineLevel="0" collapsed="false">
      <c r="A747" s="70"/>
      <c r="B747" s="70"/>
      <c r="C747" s="70"/>
      <c r="D747" s="70"/>
      <c r="E747" s="70"/>
      <c r="F747" s="70"/>
      <c r="G747" s="70"/>
      <c r="H747" s="70"/>
      <c r="I747" s="70"/>
      <c r="J747" s="70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  <c r="Y747" s="70"/>
      <c r="Z747" s="70"/>
    </row>
    <row r="748" customFormat="false" ht="12.75" hidden="false" customHeight="false" outlineLevel="0" collapsed="false">
      <c r="A748" s="70"/>
      <c r="B748" s="70"/>
      <c r="C748" s="70"/>
      <c r="D748" s="70"/>
      <c r="E748" s="70"/>
      <c r="F748" s="70"/>
      <c r="G748" s="70"/>
      <c r="H748" s="70"/>
      <c r="I748" s="70"/>
      <c r="J748" s="70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  <c r="Y748" s="70"/>
      <c r="Z748" s="70"/>
    </row>
    <row r="749" customFormat="false" ht="12.75" hidden="false" customHeight="false" outlineLevel="0" collapsed="false">
      <c r="A749" s="70"/>
      <c r="B749" s="70"/>
      <c r="C749" s="70"/>
      <c r="D749" s="70"/>
      <c r="E749" s="70"/>
      <c r="F749" s="70"/>
      <c r="G749" s="70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  <c r="Y749" s="70"/>
      <c r="Z749" s="70"/>
    </row>
    <row r="750" customFormat="false" ht="12.75" hidden="false" customHeight="false" outlineLevel="0" collapsed="false">
      <c r="A750" s="70"/>
      <c r="B750" s="70"/>
      <c r="C750" s="70"/>
      <c r="D750" s="70"/>
      <c r="E750" s="70"/>
      <c r="F750" s="70"/>
      <c r="G750" s="70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  <c r="Y750" s="70"/>
      <c r="Z750" s="70"/>
    </row>
    <row r="751" customFormat="false" ht="12.75" hidden="false" customHeight="false" outlineLevel="0" collapsed="false">
      <c r="A751" s="70"/>
      <c r="B751" s="70"/>
      <c r="C751" s="70"/>
      <c r="D751" s="70"/>
      <c r="E751" s="70"/>
      <c r="F751" s="70"/>
      <c r="G751" s="70"/>
      <c r="H751" s="70"/>
      <c r="I751" s="70"/>
      <c r="J751" s="70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  <c r="Z751" s="70"/>
    </row>
    <row r="752" customFormat="false" ht="12.75" hidden="false" customHeight="false" outlineLevel="0" collapsed="false">
      <c r="A752" s="70"/>
      <c r="B752" s="70"/>
      <c r="C752" s="70"/>
      <c r="D752" s="70"/>
      <c r="E752" s="70"/>
      <c r="F752" s="70"/>
      <c r="G752" s="70"/>
      <c r="H752" s="70"/>
      <c r="I752" s="70"/>
      <c r="J752" s="70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  <c r="Y752" s="70"/>
      <c r="Z752" s="70"/>
    </row>
    <row r="753" customFormat="false" ht="12.75" hidden="false" customHeight="false" outlineLevel="0" collapsed="false">
      <c r="A753" s="70"/>
      <c r="B753" s="70"/>
      <c r="C753" s="70"/>
      <c r="D753" s="70"/>
      <c r="E753" s="70"/>
      <c r="F753" s="70"/>
      <c r="G753" s="70"/>
      <c r="H753" s="70"/>
      <c r="I753" s="70"/>
      <c r="J753" s="70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  <c r="Y753" s="70"/>
      <c r="Z753" s="70"/>
    </row>
    <row r="754" customFormat="false" ht="12.75" hidden="false" customHeight="false" outlineLevel="0" collapsed="false">
      <c r="A754" s="70"/>
      <c r="B754" s="70"/>
      <c r="C754" s="70"/>
      <c r="D754" s="70"/>
      <c r="E754" s="70"/>
      <c r="F754" s="70"/>
      <c r="G754" s="70"/>
      <c r="H754" s="70"/>
      <c r="I754" s="70"/>
      <c r="J754" s="70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  <c r="Y754" s="70"/>
      <c r="Z754" s="70"/>
    </row>
    <row r="755" customFormat="false" ht="12.75" hidden="false" customHeight="false" outlineLevel="0" collapsed="false">
      <c r="A755" s="70"/>
      <c r="B755" s="70"/>
      <c r="C755" s="70"/>
      <c r="D755" s="70"/>
      <c r="E755" s="70"/>
      <c r="F755" s="70"/>
      <c r="G755" s="70"/>
      <c r="H755" s="70"/>
      <c r="I755" s="70"/>
      <c r="J755" s="70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  <c r="Y755" s="70"/>
      <c r="Z755" s="70"/>
    </row>
    <row r="756" customFormat="false" ht="12.75" hidden="false" customHeight="false" outlineLevel="0" collapsed="false">
      <c r="A756" s="70"/>
      <c r="B756" s="70"/>
      <c r="C756" s="70"/>
      <c r="D756" s="70"/>
      <c r="E756" s="70"/>
      <c r="F756" s="70"/>
      <c r="G756" s="70"/>
      <c r="H756" s="70"/>
      <c r="I756" s="70"/>
      <c r="J756" s="70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  <c r="Y756" s="70"/>
      <c r="Z756" s="70"/>
    </row>
    <row r="757" customFormat="false" ht="12.75" hidden="false" customHeight="false" outlineLevel="0" collapsed="false">
      <c r="A757" s="70"/>
      <c r="B757" s="70"/>
      <c r="C757" s="70"/>
      <c r="D757" s="70"/>
      <c r="E757" s="70"/>
      <c r="F757" s="70"/>
      <c r="G757" s="70"/>
      <c r="H757" s="70"/>
      <c r="I757" s="70"/>
      <c r="J757" s="70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  <c r="Y757" s="70"/>
      <c r="Z757" s="70"/>
    </row>
    <row r="758" customFormat="false" ht="12.75" hidden="false" customHeight="false" outlineLevel="0" collapsed="false">
      <c r="A758" s="70"/>
      <c r="B758" s="70"/>
      <c r="C758" s="70"/>
      <c r="D758" s="70"/>
      <c r="E758" s="70"/>
      <c r="F758" s="70"/>
      <c r="G758" s="70"/>
      <c r="H758" s="70"/>
      <c r="I758" s="70"/>
      <c r="J758" s="70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  <c r="Y758" s="70"/>
      <c r="Z758" s="70"/>
    </row>
    <row r="759" customFormat="false" ht="12.75" hidden="false" customHeight="false" outlineLevel="0" collapsed="false">
      <c r="A759" s="70"/>
      <c r="B759" s="70"/>
      <c r="C759" s="70"/>
      <c r="D759" s="70"/>
      <c r="E759" s="70"/>
      <c r="F759" s="70"/>
      <c r="G759" s="70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  <c r="Y759" s="70"/>
      <c r="Z759" s="70"/>
    </row>
    <row r="760" customFormat="false" ht="12.75" hidden="false" customHeight="false" outlineLevel="0" collapsed="false">
      <c r="A760" s="70"/>
      <c r="B760" s="70"/>
      <c r="C760" s="70"/>
      <c r="D760" s="70"/>
      <c r="E760" s="70"/>
      <c r="F760" s="70"/>
      <c r="G760" s="70"/>
      <c r="H760" s="70"/>
      <c r="I760" s="70"/>
      <c r="J760" s="70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  <c r="Y760" s="70"/>
      <c r="Z760" s="70"/>
    </row>
    <row r="761" customFormat="false" ht="12.75" hidden="false" customHeight="false" outlineLevel="0" collapsed="false">
      <c r="A761" s="70"/>
      <c r="B761" s="70"/>
      <c r="C761" s="70"/>
      <c r="D761" s="70"/>
      <c r="E761" s="70"/>
      <c r="F761" s="70"/>
      <c r="G761" s="70"/>
      <c r="H761" s="70"/>
      <c r="I761" s="70"/>
      <c r="J761" s="70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  <c r="Y761" s="70"/>
      <c r="Z761" s="70"/>
    </row>
    <row r="762" customFormat="false" ht="12.75" hidden="false" customHeight="false" outlineLevel="0" collapsed="false">
      <c r="A762" s="70"/>
      <c r="B762" s="70"/>
      <c r="C762" s="70"/>
      <c r="D762" s="70"/>
      <c r="E762" s="70"/>
      <c r="F762" s="70"/>
      <c r="G762" s="70"/>
      <c r="H762" s="70"/>
      <c r="I762" s="70"/>
      <c r="J762" s="70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  <c r="Y762" s="70"/>
      <c r="Z762" s="70"/>
    </row>
    <row r="763" customFormat="false" ht="12.75" hidden="false" customHeight="false" outlineLevel="0" collapsed="false">
      <c r="A763" s="70"/>
      <c r="B763" s="70"/>
      <c r="C763" s="70"/>
      <c r="D763" s="70"/>
      <c r="E763" s="70"/>
      <c r="F763" s="70"/>
      <c r="G763" s="70"/>
      <c r="H763" s="70"/>
      <c r="I763" s="70"/>
      <c r="J763" s="70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  <c r="Y763" s="70"/>
      <c r="Z763" s="70"/>
    </row>
    <row r="764" customFormat="false" ht="12.75" hidden="false" customHeight="false" outlineLevel="0" collapsed="false">
      <c r="A764" s="70"/>
      <c r="B764" s="70"/>
      <c r="C764" s="70"/>
      <c r="D764" s="70"/>
      <c r="E764" s="70"/>
      <c r="F764" s="70"/>
      <c r="G764" s="70"/>
      <c r="H764" s="70"/>
      <c r="I764" s="70"/>
      <c r="J764" s="70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  <c r="Y764" s="70"/>
      <c r="Z764" s="70"/>
    </row>
    <row r="765" customFormat="false" ht="12.75" hidden="false" customHeight="false" outlineLevel="0" collapsed="false">
      <c r="A765" s="70"/>
      <c r="B765" s="70"/>
      <c r="C765" s="70"/>
      <c r="D765" s="70"/>
      <c r="E765" s="70"/>
      <c r="F765" s="70"/>
      <c r="G765" s="70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  <c r="Y765" s="70"/>
      <c r="Z765" s="70"/>
    </row>
    <row r="766" customFormat="false" ht="12.75" hidden="false" customHeight="false" outlineLevel="0" collapsed="false">
      <c r="A766" s="70"/>
      <c r="B766" s="70"/>
      <c r="C766" s="70"/>
      <c r="D766" s="70"/>
      <c r="E766" s="70"/>
      <c r="F766" s="70"/>
      <c r="G766" s="70"/>
      <c r="H766" s="70"/>
      <c r="I766" s="70"/>
      <c r="J766" s="70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  <c r="Y766" s="70"/>
      <c r="Z766" s="70"/>
    </row>
    <row r="767" customFormat="false" ht="12.75" hidden="false" customHeight="false" outlineLevel="0" collapsed="false">
      <c r="A767" s="70"/>
      <c r="B767" s="70"/>
      <c r="C767" s="70"/>
      <c r="D767" s="70"/>
      <c r="E767" s="70"/>
      <c r="F767" s="70"/>
      <c r="G767" s="70"/>
      <c r="H767" s="70"/>
      <c r="I767" s="70"/>
      <c r="J767" s="70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  <c r="Y767" s="70"/>
      <c r="Z767" s="70"/>
    </row>
    <row r="768" customFormat="false" ht="12.75" hidden="false" customHeight="false" outlineLevel="0" collapsed="false">
      <c r="A768" s="70"/>
      <c r="B768" s="70"/>
      <c r="C768" s="70"/>
      <c r="D768" s="70"/>
      <c r="E768" s="70"/>
      <c r="F768" s="70"/>
      <c r="G768" s="70"/>
      <c r="H768" s="70"/>
      <c r="I768" s="70"/>
      <c r="J768" s="70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  <c r="Y768" s="70"/>
      <c r="Z768" s="70"/>
    </row>
    <row r="769" customFormat="false" ht="12.75" hidden="false" customHeight="false" outlineLevel="0" collapsed="false">
      <c r="A769" s="70"/>
      <c r="B769" s="70"/>
      <c r="C769" s="70"/>
      <c r="D769" s="70"/>
      <c r="E769" s="70"/>
      <c r="F769" s="70"/>
      <c r="G769" s="70"/>
      <c r="H769" s="70"/>
      <c r="I769" s="70"/>
      <c r="J769" s="70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  <c r="Y769" s="70"/>
      <c r="Z769" s="70"/>
    </row>
    <row r="770" customFormat="false" ht="12.75" hidden="false" customHeight="false" outlineLevel="0" collapsed="false">
      <c r="A770" s="70"/>
      <c r="B770" s="70"/>
      <c r="C770" s="70"/>
      <c r="D770" s="70"/>
      <c r="E770" s="70"/>
      <c r="F770" s="70"/>
      <c r="G770" s="70"/>
      <c r="H770" s="70"/>
      <c r="I770" s="70"/>
      <c r="J770" s="70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  <c r="Y770" s="70"/>
      <c r="Z770" s="70"/>
    </row>
    <row r="771" customFormat="false" ht="12.75" hidden="false" customHeight="false" outlineLevel="0" collapsed="false">
      <c r="A771" s="70"/>
      <c r="B771" s="70"/>
      <c r="C771" s="70"/>
      <c r="D771" s="70"/>
      <c r="E771" s="70"/>
      <c r="F771" s="70"/>
      <c r="G771" s="70"/>
      <c r="H771" s="70"/>
      <c r="I771" s="70"/>
      <c r="J771" s="70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  <c r="Y771" s="70"/>
      <c r="Z771" s="70"/>
    </row>
    <row r="772" customFormat="false" ht="12.75" hidden="false" customHeight="false" outlineLevel="0" collapsed="false">
      <c r="A772" s="70"/>
      <c r="B772" s="70"/>
      <c r="C772" s="70"/>
      <c r="D772" s="70"/>
      <c r="E772" s="70"/>
      <c r="F772" s="70"/>
      <c r="G772" s="70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  <c r="Y772" s="70"/>
      <c r="Z772" s="70"/>
    </row>
    <row r="773" customFormat="false" ht="12.75" hidden="false" customHeight="false" outlineLevel="0" collapsed="false">
      <c r="A773" s="70"/>
      <c r="B773" s="70"/>
      <c r="C773" s="70"/>
      <c r="D773" s="70"/>
      <c r="E773" s="70"/>
      <c r="F773" s="70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  <c r="Z773" s="70"/>
    </row>
    <row r="774" customFormat="false" ht="12.75" hidden="false" customHeight="false" outlineLevel="0" collapsed="false">
      <c r="A774" s="70"/>
      <c r="B774" s="70"/>
      <c r="C774" s="70"/>
      <c r="D774" s="70"/>
      <c r="E774" s="70"/>
      <c r="F774" s="70"/>
      <c r="G774" s="70"/>
      <c r="H774" s="70"/>
      <c r="I774" s="70"/>
      <c r="J774" s="70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  <c r="Y774" s="70"/>
      <c r="Z774" s="70"/>
    </row>
    <row r="775" customFormat="false" ht="12.75" hidden="false" customHeight="false" outlineLevel="0" collapsed="false">
      <c r="A775" s="70"/>
      <c r="B775" s="70"/>
      <c r="C775" s="70"/>
      <c r="D775" s="70"/>
      <c r="E775" s="70"/>
      <c r="F775" s="70"/>
      <c r="G775" s="70"/>
      <c r="H775" s="70"/>
      <c r="I775" s="70"/>
      <c r="J775" s="70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  <c r="Y775" s="70"/>
      <c r="Z775" s="70"/>
    </row>
    <row r="776" customFormat="false" ht="12.75" hidden="false" customHeight="false" outlineLevel="0" collapsed="false">
      <c r="A776" s="70"/>
      <c r="B776" s="70"/>
      <c r="C776" s="70"/>
      <c r="D776" s="70"/>
      <c r="E776" s="70"/>
      <c r="F776" s="70"/>
      <c r="G776" s="70"/>
      <c r="H776" s="70"/>
      <c r="I776" s="70"/>
      <c r="J776" s="70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  <c r="Y776" s="70"/>
      <c r="Z776" s="70"/>
    </row>
    <row r="777" customFormat="false" ht="12.75" hidden="false" customHeight="false" outlineLevel="0" collapsed="false">
      <c r="A777" s="70"/>
      <c r="B777" s="70"/>
      <c r="C777" s="70"/>
      <c r="D777" s="70"/>
      <c r="E777" s="70"/>
      <c r="F777" s="70"/>
      <c r="G777" s="70"/>
      <c r="H777" s="70"/>
      <c r="I777" s="70"/>
      <c r="J777" s="70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  <c r="Y777" s="70"/>
      <c r="Z777" s="70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43" fitToWidth="1" fitToHeight="1" pageOrder="downThenOver" orientation="landscape" blackAndWhite="false" draft="false" cellComments="none" horizontalDpi="300" verticalDpi="300" copies="1"/>
  <headerFooter differentFirst="false" differentOddEven="false">
    <oddHeader>&amp;LEnron Generation Company</oddHeader>
    <oddFooter>&amp;L&amp;T, &amp;D&amp;C&amp;F&amp;RPage &amp;P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7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21" activeCellId="0" sqref="I2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78" width="53.41"/>
    <col collapsed="false" customWidth="true" hidden="false" outlineLevel="0" max="3" min="2" style="78" width="8.41"/>
    <col collapsed="false" customWidth="true" hidden="false" outlineLevel="0" max="4" min="4" style="78" width="9.56"/>
    <col collapsed="false" customWidth="true" hidden="false" outlineLevel="1" max="5" min="5" style="78" width="9.28"/>
    <col collapsed="false" customWidth="true" hidden="false" outlineLevel="1" max="6" min="6" style="78" width="10.13"/>
    <col collapsed="false" customWidth="true" hidden="false" outlineLevel="1" max="8" min="7" style="78" width="10.71"/>
    <col collapsed="false" customWidth="true" hidden="false" outlineLevel="0" max="26" min="9" style="78" width="10.71"/>
    <col collapsed="false" customWidth="false" hidden="false" outlineLevel="0" max="257" min="27" style="70" width="9.14"/>
  </cols>
  <sheetData>
    <row r="1" customFormat="false" ht="12.75" hidden="false" customHeight="false" outlineLevel="0" collapsed="false">
      <c r="F1" s="78" t="n">
        <v>12</v>
      </c>
    </row>
    <row r="2" customFormat="false" ht="18.75" hidden="false" customHeight="false" outlineLevel="0" collapsed="false">
      <c r="A2" s="317" t="s">
        <v>470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</row>
    <row r="3" customFormat="false" ht="12.75" hidden="false" customHeight="false" outlineLevel="0" collapsed="false">
      <c r="A3" s="323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</row>
    <row r="4" customFormat="false" ht="12.75" hidden="false" customHeight="false" outlineLevel="0" collapsed="false">
      <c r="A4" s="323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</row>
    <row r="5" customFormat="false" ht="13.5" hidden="false" customHeight="false" outlineLevel="0" collapsed="false">
      <c r="A5" s="319" t="s">
        <v>269</v>
      </c>
      <c r="B5" s="320"/>
      <c r="C5" s="320"/>
      <c r="D5" s="320"/>
      <c r="E5" s="320" t="n">
        <v>1999</v>
      </c>
      <c r="F5" s="320" t="n">
        <f aca="false">E5+1</f>
        <v>2000</v>
      </c>
      <c r="G5" s="320" t="n">
        <f aca="false">F5+1</f>
        <v>2001</v>
      </c>
      <c r="H5" s="320" t="n">
        <f aca="false">G5+1</f>
        <v>2002</v>
      </c>
      <c r="I5" s="320" t="n">
        <f aca="false">H5+1</f>
        <v>2003</v>
      </c>
      <c r="J5" s="320" t="n">
        <f aca="false">I5+1</f>
        <v>2004</v>
      </c>
      <c r="K5" s="320" t="n">
        <f aca="false">J5+1</f>
        <v>2005</v>
      </c>
      <c r="L5" s="320" t="n">
        <f aca="false">K5+1</f>
        <v>2006</v>
      </c>
      <c r="M5" s="320" t="n">
        <f aca="false">L5+1</f>
        <v>2007</v>
      </c>
      <c r="N5" s="320" t="n">
        <f aca="false">M5+1</f>
        <v>2008</v>
      </c>
      <c r="O5" s="320" t="n">
        <f aca="false">N5+1</f>
        <v>2009</v>
      </c>
      <c r="P5" s="320" t="n">
        <f aca="false">O5+1</f>
        <v>2010</v>
      </c>
      <c r="Q5" s="320" t="n">
        <f aca="false">P5+1</f>
        <v>2011</v>
      </c>
      <c r="R5" s="320" t="n">
        <f aca="false">Q5+1</f>
        <v>2012</v>
      </c>
      <c r="S5" s="320" t="n">
        <f aca="false">R5+1</f>
        <v>2013</v>
      </c>
      <c r="T5" s="320" t="n">
        <f aca="false">S5+1</f>
        <v>2014</v>
      </c>
      <c r="U5" s="320" t="n">
        <f aca="false">T5+1</f>
        <v>2015</v>
      </c>
      <c r="V5" s="320" t="n">
        <f aca="false">U5+1</f>
        <v>2016</v>
      </c>
      <c r="W5" s="320" t="n">
        <f aca="false">V5+1</f>
        <v>2017</v>
      </c>
      <c r="X5" s="320" t="n">
        <f aca="false">W5+1</f>
        <v>2018</v>
      </c>
      <c r="Y5" s="320" t="n">
        <f aca="false">X5+1</f>
        <v>2019</v>
      </c>
      <c r="Z5" s="320" t="n">
        <f aca="false">Y5+1</f>
        <v>2020</v>
      </c>
    </row>
    <row r="6" customFormat="false" ht="12.75" hidden="false" customHeight="false" outlineLevel="0" collapsed="false">
      <c r="A6" s="322"/>
      <c r="B6" s="318"/>
      <c r="C6" s="318"/>
      <c r="D6" s="318"/>
      <c r="E6" s="318"/>
      <c r="F6" s="318"/>
      <c r="G6" s="321"/>
      <c r="H6" s="321"/>
      <c r="I6" s="321"/>
      <c r="J6" s="474"/>
      <c r="K6" s="474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</row>
    <row r="7" customFormat="false" ht="12.75" hidden="false" customHeight="false" outlineLevel="0" collapsed="false">
      <c r="A7" s="322"/>
      <c r="B7" s="318"/>
      <c r="C7" s="318"/>
      <c r="D7" s="318"/>
      <c r="E7" s="318"/>
      <c r="F7" s="318"/>
      <c r="G7" s="321"/>
      <c r="H7" s="321"/>
      <c r="I7" s="321"/>
      <c r="J7" s="321"/>
      <c r="K7" s="321"/>
      <c r="L7" s="321"/>
      <c r="M7" s="321"/>
      <c r="N7" s="321"/>
      <c r="O7" s="321"/>
      <c r="P7" s="321"/>
      <c r="Q7" s="321"/>
      <c r="R7" s="321"/>
      <c r="S7" s="321"/>
      <c r="T7" s="321"/>
      <c r="U7" s="321"/>
      <c r="V7" s="321"/>
      <c r="W7" s="321"/>
      <c r="X7" s="321"/>
      <c r="Y7" s="321"/>
      <c r="Z7" s="321"/>
    </row>
    <row r="8" customFormat="false" ht="12.75" hidden="false" customHeight="false" outlineLevel="0" collapsed="false">
      <c r="A8" s="323" t="s">
        <v>270</v>
      </c>
      <c r="B8" s="321"/>
      <c r="C8" s="321"/>
      <c r="D8" s="650"/>
      <c r="E8" s="650"/>
      <c r="F8" s="650"/>
      <c r="G8" s="650"/>
      <c r="H8" s="650"/>
      <c r="I8" s="650"/>
      <c r="J8" s="650"/>
      <c r="K8" s="650"/>
      <c r="L8" s="650"/>
      <c r="M8" s="650"/>
      <c r="N8" s="650"/>
      <c r="O8" s="650"/>
      <c r="P8" s="650"/>
      <c r="Q8" s="650"/>
      <c r="R8" s="650"/>
      <c r="S8" s="650"/>
      <c r="T8" s="650"/>
      <c r="U8" s="650"/>
      <c r="V8" s="650"/>
      <c r="W8" s="650"/>
      <c r="X8" s="650"/>
      <c r="Y8" s="650"/>
      <c r="Z8" s="650"/>
      <c r="AA8" s="651"/>
      <c r="AB8" s="651"/>
      <c r="AC8" s="651"/>
    </row>
    <row r="9" customFormat="false" ht="12.75" hidden="false" customHeight="false" outlineLevel="0" collapsed="false">
      <c r="A9" s="326" t="s">
        <v>271</v>
      </c>
      <c r="B9" s="321"/>
      <c r="C9" s="321"/>
      <c r="D9" s="321"/>
      <c r="E9" s="321"/>
      <c r="F9" s="321"/>
      <c r="H9" s="70"/>
      <c r="AA9" s="651"/>
      <c r="AB9" s="651"/>
      <c r="AC9" s="651"/>
    </row>
    <row r="10" customFormat="false" ht="12.75" hidden="false" customHeight="false" outlineLevel="0" collapsed="false">
      <c r="A10" s="327" t="s">
        <v>272</v>
      </c>
      <c r="B10" s="321"/>
      <c r="C10" s="321"/>
      <c r="D10" s="115"/>
      <c r="E10" s="115" t="n">
        <f aca="false">(Assumptions!$N$29)*Assumptions!$N$53*'Power Price Assumption'!E23</f>
        <v>0</v>
      </c>
      <c r="F10" s="115" t="n">
        <f aca="false">5*Assumptions!$N$29*'Power Price Assumption'!F23+7*Assumptions!$N$30*'Power Price Assumption'!F23</f>
        <v>17952</v>
      </c>
      <c r="G10" s="115" t="n">
        <f aca="false">12*Assumptions!$N$30*'Power Price Assumption'!G23</f>
        <v>18192</v>
      </c>
      <c r="H10" s="115" t="n">
        <f aca="false">12*Assumptions!$N$30*'Power Price Assumption'!H23</f>
        <v>18192</v>
      </c>
      <c r="I10" s="115" t="n">
        <v>0</v>
      </c>
      <c r="J10" s="115" t="n">
        <f aca="false">12*Assumptions!$N$30*'Power Price Assumption'!J23</f>
        <v>0</v>
      </c>
      <c r="K10" s="115" t="n">
        <f aca="false">12*Assumptions!$N$30*'Power Price Assumption'!K23</f>
        <v>0</v>
      </c>
      <c r="L10" s="115" t="n">
        <f aca="false">12*Assumptions!$N$30*'Power Price Assumption'!L23</f>
        <v>0</v>
      </c>
      <c r="M10" s="115" t="n">
        <f aca="false">12*Assumptions!$N$30*'Power Price Assumption'!M23</f>
        <v>0</v>
      </c>
      <c r="N10" s="115" t="n">
        <f aca="false">12*Assumptions!$N$30*'Power Price Assumption'!N23</f>
        <v>0</v>
      </c>
      <c r="O10" s="115" t="n">
        <f aca="false">12*Assumptions!$N$30*'Power Price Assumption'!O23</f>
        <v>0</v>
      </c>
      <c r="P10" s="115" t="n">
        <f aca="false">12*Assumptions!$N$30*'Power Price Assumption'!P23</f>
        <v>0</v>
      </c>
      <c r="Q10" s="115" t="n">
        <f aca="false">12*Assumptions!$N$30*'Power Price Assumption'!Q23</f>
        <v>0</v>
      </c>
      <c r="R10" s="115" t="n">
        <f aca="false">12*Assumptions!$N$30*'Power Price Assumption'!R23</f>
        <v>0</v>
      </c>
      <c r="S10" s="115" t="n">
        <f aca="false">12*Assumptions!$N$30*'Power Price Assumption'!S23</f>
        <v>0</v>
      </c>
      <c r="T10" s="115" t="n">
        <f aca="false">12*Assumptions!$N$30*'Power Price Assumption'!T23</f>
        <v>0</v>
      </c>
      <c r="U10" s="115" t="n">
        <f aca="false">12*Assumptions!$N$30*'Power Price Assumption'!U23</f>
        <v>0</v>
      </c>
      <c r="V10" s="115" t="n">
        <f aca="false">12*Assumptions!$N$30*'Power Price Assumption'!V23</f>
        <v>0</v>
      </c>
      <c r="W10" s="115" t="n">
        <f aca="false">12*Assumptions!$N$30*'Power Price Assumption'!W23</f>
        <v>0</v>
      </c>
      <c r="X10" s="115" t="n">
        <f aca="false">12*Assumptions!$N$30*'Power Price Assumption'!X23</f>
        <v>0</v>
      </c>
      <c r="Y10" s="115" t="n">
        <f aca="false">12*Assumptions!$N$30*'Power Price Assumption'!Y23</f>
        <v>0</v>
      </c>
      <c r="Z10" s="115" t="n">
        <f aca="false">12*Assumptions!$N$30*'Power Price Assumption'!Z23</f>
        <v>0</v>
      </c>
      <c r="AA10" s="651"/>
      <c r="AB10" s="651"/>
      <c r="AC10" s="651"/>
    </row>
    <row r="11" customFormat="false" ht="12.75" hidden="false" customHeight="false" outlineLevel="0" collapsed="false">
      <c r="A11" s="327" t="s">
        <v>273</v>
      </c>
      <c r="B11" s="321"/>
      <c r="C11" s="321"/>
      <c r="D11" s="115"/>
      <c r="E11" s="115" t="n">
        <f aca="false">Assumptions!N$26*Assumptions!N$29*Assumptions!N$14/1000*Assumptions!N$53/12</f>
        <v>0</v>
      </c>
      <c r="F11" s="115" t="n">
        <f aca="false">Assumptions!N26*Assumptions!N$29*Assumptions!N$14/1000*5/12*(1+Assumptions!$N$39)^(5/12)+Assumptions!N26*Assumptions!N$30*Assumptions!N$14/1000*7/12*(1+Assumptions!$N$39)^(Caledonia!F5-Caledonia!E5)</f>
        <v>425.095587187731</v>
      </c>
      <c r="G11" s="115" t="n">
        <f aca="false">Assumptions!N$26*Assumptions!N$30*Assumptions!N$14/1000*(1+Assumptions!N39)^(G5-E5)</f>
        <v>446.82514195447</v>
      </c>
      <c r="H11" s="115" t="n">
        <f aca="false">G11*(1+Assumptions!$N$39)</f>
        <v>460.229896213104</v>
      </c>
      <c r="I11" s="115" t="n">
        <v>0</v>
      </c>
      <c r="J11" s="115" t="n">
        <v>0</v>
      </c>
      <c r="K11" s="115" t="n">
        <v>0</v>
      </c>
      <c r="L11" s="115" t="n">
        <v>0</v>
      </c>
      <c r="M11" s="115" t="n">
        <v>0</v>
      </c>
      <c r="N11" s="115" t="n">
        <v>0</v>
      </c>
      <c r="O11" s="115" t="n">
        <v>0</v>
      </c>
      <c r="P11" s="115" t="n">
        <v>0</v>
      </c>
      <c r="Q11" s="115" t="n">
        <v>0</v>
      </c>
      <c r="R11" s="115" t="n">
        <v>0</v>
      </c>
      <c r="S11" s="115" t="n">
        <v>0</v>
      </c>
      <c r="T11" s="115" t="n">
        <v>0</v>
      </c>
      <c r="U11" s="115" t="n">
        <v>0</v>
      </c>
      <c r="V11" s="115" t="n">
        <v>0</v>
      </c>
      <c r="W11" s="115" t="n">
        <v>0</v>
      </c>
      <c r="X11" s="115" t="n">
        <v>0</v>
      </c>
      <c r="Y11" s="115" t="n">
        <v>0</v>
      </c>
      <c r="Z11" s="115" t="n">
        <v>0</v>
      </c>
      <c r="AA11" s="651"/>
      <c r="AB11" s="651"/>
      <c r="AC11" s="651"/>
    </row>
    <row r="12" customFormat="false" ht="12.75" hidden="false" customHeight="false" outlineLevel="0" collapsed="false">
      <c r="A12" s="327" t="s">
        <v>274</v>
      </c>
      <c r="B12" s="321"/>
      <c r="C12" s="321"/>
      <c r="D12" s="115"/>
      <c r="E12" s="115" t="n">
        <f aca="false">VLOOKUP(Assumptions!$N$19,'EGC Start Charge Matrix'!$A$10:$S$35,16)*Assumptions!N$53/12</f>
        <v>0</v>
      </c>
      <c r="F12" s="115" t="n">
        <f aca="false">VLOOKUP(Assumptions!$N$19,'EGC Start Charge Matrix'!$A$10:$S$35,16)*(1+Assumptions!$N$39)*$F$1/12</f>
        <v>1389.7584</v>
      </c>
      <c r="G12" s="115" t="n">
        <f aca="false">F12*(1+Assumptions!$N$39)</f>
        <v>1431.451152</v>
      </c>
      <c r="H12" s="115" t="n">
        <f aca="false">G12*(1+Assumptions!$N$39)</f>
        <v>1474.39468656</v>
      </c>
      <c r="I12" s="115" t="n">
        <v>0</v>
      </c>
      <c r="J12" s="115" t="n">
        <v>0</v>
      </c>
      <c r="K12" s="115" t="n">
        <v>0</v>
      </c>
      <c r="L12" s="115" t="n">
        <v>0</v>
      </c>
      <c r="M12" s="115" t="n">
        <v>0</v>
      </c>
      <c r="N12" s="115" t="n">
        <v>0</v>
      </c>
      <c r="O12" s="115" t="n">
        <v>0</v>
      </c>
      <c r="P12" s="115" t="n">
        <v>0</v>
      </c>
      <c r="Q12" s="115" t="n">
        <v>0</v>
      </c>
      <c r="R12" s="115" t="n">
        <v>0</v>
      </c>
      <c r="S12" s="115" t="n">
        <v>0</v>
      </c>
      <c r="T12" s="115" t="n">
        <v>0</v>
      </c>
      <c r="U12" s="115" t="n">
        <v>0</v>
      </c>
      <c r="V12" s="115" t="n">
        <v>0</v>
      </c>
      <c r="W12" s="115" t="n">
        <v>0</v>
      </c>
      <c r="X12" s="115" t="n">
        <v>0</v>
      </c>
      <c r="Y12" s="115" t="n">
        <v>0</v>
      </c>
      <c r="Z12" s="115" t="n">
        <v>0</v>
      </c>
      <c r="AA12" s="651"/>
      <c r="AB12" s="651"/>
      <c r="AC12" s="651"/>
    </row>
    <row r="13" customFormat="false" ht="12.75" hidden="false" customHeight="false" outlineLevel="0" collapsed="false">
      <c r="A13" s="70"/>
      <c r="B13" s="321"/>
      <c r="C13" s="321"/>
      <c r="D13" s="321"/>
      <c r="E13" s="321"/>
      <c r="F13" s="321"/>
      <c r="H13" s="70"/>
      <c r="AA13" s="651"/>
      <c r="AB13" s="651"/>
      <c r="AC13" s="651"/>
    </row>
    <row r="14" customFormat="false" ht="12.75" hidden="false" customHeight="false" outlineLevel="0" collapsed="false">
      <c r="A14" s="326" t="s">
        <v>275</v>
      </c>
      <c r="B14" s="321"/>
      <c r="C14" s="321"/>
      <c r="D14" s="321"/>
      <c r="E14" s="321"/>
      <c r="F14" s="321"/>
      <c r="H14" s="70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651"/>
      <c r="AB14" s="651"/>
      <c r="AC14" s="651"/>
    </row>
    <row r="15" customFormat="false" ht="12.75" hidden="false" customHeight="false" outlineLevel="0" collapsed="false">
      <c r="A15" s="327" t="s">
        <v>272</v>
      </c>
      <c r="B15" s="321"/>
      <c r="C15" s="321"/>
      <c r="D15" s="115"/>
      <c r="E15" s="115" t="n">
        <v>0</v>
      </c>
      <c r="F15" s="115" t="n">
        <v>0</v>
      </c>
      <c r="G15" s="115" t="n">
        <v>0</v>
      </c>
      <c r="H15" s="115" t="n">
        <v>0</v>
      </c>
      <c r="I15" s="115" t="n">
        <f aca="false">IF(Assumptions!$N$19=120,Assumptions!$N$33*(1-Assumptions!$N$35)*'Power Price Assumption'!I25*(12),Assumptions!$N$33*(1-Assumptions!$N$35)*'Power Price Assumption'!I25*(12)-2/3*VLOOKUP(120,'EGC Start Charge Matrix'!$U$10:$AM$35,16)*(1+Assumptions!$N$39)^(I5-Brownsville!$E$5))</f>
        <v>28259.2539761847</v>
      </c>
      <c r="J15" s="115" t="n">
        <f aca="false">IF(Assumptions!$N$19=120,Assumptions!$N$33*(1-Assumptions!$N$35)*'Power Price Assumption'!J25*(12),Assumptions!$N$33*(1-Assumptions!$N$35)*'Power Price Assumption'!J25*(12)-2/3*VLOOKUP(120,'EGC Start Charge Matrix'!$U$10:$AM$35,16)*(1+Assumptions!$N$39)^(J5-Brownsville!$E$5))</f>
        <v>28613.6920769029</v>
      </c>
      <c r="K15" s="115" t="n">
        <f aca="false">IF(Assumptions!$N$19=120,Assumptions!$N$33*(1-Assumptions!$N$35)*'Power Price Assumption'!K25*(12),Assumptions!$N$33*(1-Assumptions!$N$35)*'Power Price Assumption'!K25*(12)-2/3*VLOOKUP(120,'EGC Start Charge Matrix'!$U$10:$AM$35,16)*(1+Assumptions!$N$39)^(K5-Brownsville!$E$5))</f>
        <v>28963.9631350857</v>
      </c>
      <c r="L15" s="115" t="n">
        <f aca="false">IF(Assumptions!$N$19=120,Assumptions!$N$33*(1-Assumptions!$N$35)*'Power Price Assumption'!L25*(12),Assumptions!$N$33*(1-Assumptions!$N$35)*'Power Price Assumption'!L25*(12)-2/3*VLOOKUP(120,'EGC Start Charge Matrix'!$U$10:$AM$35,16)*(1+Assumptions!$N$39)^(L5-Brownsville!$E$5))</f>
        <v>29309.4981338902</v>
      </c>
      <c r="M15" s="115" t="n">
        <f aca="false">IF(Assumptions!$N$19=120,Assumptions!$N$33*(1-Assumptions!$N$35)*'Power Price Assumption'!M25*(12),Assumptions!$N$33*(1-Assumptions!$N$35)*'Power Price Assumption'!M25*(12)-2/3*VLOOKUP(120,'EGC Start Charge Matrix'!$U$10:$AM$35,16)*(1+Assumptions!$N$39)^(M5-Brownsville!$E$5))</f>
        <v>30188.7830779069</v>
      </c>
      <c r="N15" s="115" t="n">
        <f aca="false">IF(Assumptions!$N$19=120,Assumptions!$N$33*(1-Assumptions!$N$35)*'Power Price Assumption'!N25*(12),Assumptions!$N$33*(1-Assumptions!$N$35)*'Power Price Assumption'!N25*(12)-2/3*VLOOKUP(120,'EGC Start Charge Matrix'!$U$10:$AM$35,16)*(1+Assumptions!$N$39)^(N5-Brownsville!$E$5))</f>
        <v>30539.1885957755</v>
      </c>
      <c r="O15" s="115" t="n">
        <f aca="false">IF(Assumptions!$N$19=120,Assumptions!$N$33*(1-Assumptions!$N$35)*'Power Price Assumption'!O25*(12),Assumptions!$N$33*(1-Assumptions!$N$35)*'Power Price Assumption'!O25*(12)-2/3*VLOOKUP(120,'EGC Start Charge Matrix'!$U$10:$AM$35,16)*(1+Assumptions!$N$39)^(O5-Brownsville!$E$5))</f>
        <v>31455.3642536488</v>
      </c>
      <c r="P15" s="115" t="n">
        <f aca="false">IF(Assumptions!$N$19=120,Assumptions!$N$33*(1-Assumptions!$N$35)*'Power Price Assumption'!P25*(12),Assumptions!$N$33*(1-Assumptions!$N$35)*'Power Price Assumption'!P25*(12)-2/3*VLOOKUP(120,'EGC Start Charge Matrix'!$U$10:$AM$35,16)*(1+Assumptions!$N$39)^(P5-Brownsville!$E$5))</f>
        <v>31809.9519961444</v>
      </c>
      <c r="Q15" s="115" t="n">
        <f aca="false">IF(Assumptions!$N$19=120,Assumptions!$N$33*(1-Assumptions!$N$35)*'Power Price Assumption'!Q25*(12),Assumptions!$N$33*(1-Assumptions!$N$35)*'Power Price Assumption'!Q25*(12)-2/3*VLOOKUP(120,'EGC Start Charge Matrix'!$U$10:$AM$35,16)*(1+Assumptions!$N$39)^(Q5-Brownsville!$E$5))</f>
        <v>32764.2505560288</v>
      </c>
      <c r="R15" s="115" t="n">
        <f aca="false">IF(Assumptions!$N$19=120,Assumptions!$N$33*(1-Assumptions!$N$35)*'Power Price Assumption'!R25*(12),Assumptions!$N$33*(1-Assumptions!$N$35)*'Power Price Assumption'!R25*(12)-2/3*VLOOKUP(120,'EGC Start Charge Matrix'!$U$10:$AM$35,16)*(1+Assumptions!$N$39)^(R5-Brownsville!$E$5))</f>
        <v>33122.2303306224</v>
      </c>
      <c r="S15" s="115" t="n">
        <f aca="false">IF(Assumptions!$N$19=120,Assumptions!$N$33*(1-Assumptions!$N$35)*'Power Price Assumption'!S25*(12),Assumptions!$N$33*(1-Assumptions!$N$35)*'Power Price Assumption'!S25*(12)-2/3*VLOOKUP(120,'EGC Start Charge Matrix'!$U$10:$AM$35,16)*(1+Assumptions!$N$39)^(S5-Brownsville!$E$5))</f>
        <v>33472.2010661913</v>
      </c>
      <c r="T15" s="115" t="n">
        <f aca="false">IF(Assumptions!$N$19=120,Assumptions!$N$33*(1-Assumptions!$N$35)*'Power Price Assumption'!T25*(12),Assumptions!$N$33*(1-Assumptions!$N$35)*'Power Price Assumption'!T25*(12)-2/3*VLOOKUP(120,'EGC Start Charge Matrix'!$U$10:$AM$35,16)*(1+Assumptions!$N$39)^(T5-Brownsville!$E$5))</f>
        <v>33813.3600385967</v>
      </c>
      <c r="U15" s="115" t="n">
        <f aca="false">IF(Assumptions!$N$19=120,Assumptions!$N$33*(1-Assumptions!$N$35)*'Power Price Assumption'!U25*(12),Assumptions!$N$33*(1-Assumptions!$N$35)*'Power Price Assumption'!U25*(12)-2/3*VLOOKUP(120,'EGC Start Charge Matrix'!$U$10:$AM$35,16)*(1+Assumptions!$N$39)^(U5-Brownsville!$E$5))</f>
        <v>34144.8635683868</v>
      </c>
      <c r="V15" s="115" t="n">
        <f aca="false">IF(Assumptions!$N$19=120,Assumptions!$N$33*(1-Assumptions!$N$35)*'Power Price Assumption'!V25*(12),Assumptions!$N$33*(1-Assumptions!$N$35)*'Power Price Assumption'!V25*(12)-2/3*VLOOKUP(120,'EGC Start Charge Matrix'!$U$10:$AM$35,16)*(1+Assumptions!$N$39)^(V5-Brownsville!$E$5))</f>
        <v>34465.8252859297</v>
      </c>
      <c r="W15" s="115" t="n">
        <f aca="false">IF(Assumptions!$N$19=120,Assumptions!$N$33*(1-Assumptions!$N$35)*'Power Price Assumption'!W25*(12),Assumptions!$N$33*(1-Assumptions!$N$35)*'Power Price Assumption'!W25*(12)-2/3*VLOOKUP(120,'EGC Start Charge Matrix'!$U$10:$AM$35,16)*(1+Assumptions!$N$39)^(W5-Brownsville!$E$5))</f>
        <v>34775.3143293135</v>
      </c>
      <c r="X15" s="115" t="n">
        <f aca="false">IF(Assumptions!$N$19=120,Assumptions!$N$33*(1-Assumptions!$N$35)*'Power Price Assumption'!X25*(12),Assumptions!$N$33*(1-Assumptions!$N$35)*'Power Price Assumption'!X25*(12)-2/3*VLOOKUP(120,'EGC Start Charge Matrix'!$U$10:$AM$35,16)*(1+Assumptions!$N$39)^(X5-Brownsville!$E$5))</f>
        <v>35072.3534725431</v>
      </c>
      <c r="Y15" s="115" t="n">
        <f aca="false">IF(Assumptions!$N$19=120,Assumptions!$N$33*(1-Assumptions!$N$35)*'Power Price Assumption'!Y25*(12),Assumptions!$N$33*(1-Assumptions!$N$35)*'Power Price Assumption'!Y25*(12)-2/3*VLOOKUP(120,'EGC Start Charge Matrix'!$U$10:$AM$35,16)*(1+Assumptions!$N$39)^(Y5-Brownsville!$E$5))</f>
        <v>35355.91718147</v>
      </c>
      <c r="Z15" s="115" t="n">
        <f aca="false">IF(Assumptions!$N$19=120,Assumptions!$N$33*(1-Assumptions!$N$35)*'Power Price Assumption'!Z25*(12),Assumptions!$N$33*(1-Assumptions!$N$35)*'Power Price Assumption'!Z25*(12)-2/3*VLOOKUP(120,'EGC Start Charge Matrix'!$U$10:$AM$35,16)*(1+Assumptions!$N$39)^(Z5-Brownsville!$E$5))</f>
        <v>35624.9295948073</v>
      </c>
      <c r="AA15" s="651"/>
      <c r="AB15" s="651"/>
      <c r="AC15" s="651"/>
    </row>
    <row r="16" customFormat="false" ht="12.75" hidden="false" customHeight="false" outlineLevel="0" collapsed="false">
      <c r="A16" s="327" t="s">
        <v>276</v>
      </c>
      <c r="B16" s="654"/>
      <c r="C16" s="654"/>
      <c r="D16" s="115"/>
      <c r="E16" s="115" t="n">
        <v>0</v>
      </c>
      <c r="F16" s="115" t="n">
        <v>0</v>
      </c>
      <c r="G16" s="115" t="n">
        <v>0</v>
      </c>
      <c r="H16" s="115" t="n">
        <v>0</v>
      </c>
      <c r="I16" s="115" t="n">
        <f aca="false">(Assumptions!$N$26*Assumptions!$N$34/1000)*(1+Assumptions!$N$39)^(I5-$E$5)+$F$12*(1+Assumptions!$N$39)^(I5-$F$5)*1/3</f>
        <v>1033.52286830533</v>
      </c>
      <c r="J16" s="115" t="n">
        <f aca="false">(Assumptions!$N$26*Assumptions!$N$34/1000)*(1+Assumptions!$N$39)^(J5-$E$5)+$F$12*(1+Assumptions!$N$39)^(J5-$F$5)*1/3</f>
        <v>1064.52855435448</v>
      </c>
      <c r="K16" s="115" t="n">
        <f aca="false">J16*(1+Assumptions!$N$39)</f>
        <v>1096.46441098512</v>
      </c>
      <c r="L16" s="115" t="n">
        <f aca="false">K16*(1+Assumptions!$N$39)</f>
        <v>1129.35834331467</v>
      </c>
      <c r="M16" s="115" t="n">
        <f aca="false">L16*(1+Assumptions!$N$39)</f>
        <v>1163.23909361411</v>
      </c>
      <c r="N16" s="115" t="n">
        <f aca="false">M16*(1+Assumptions!$N$39)</f>
        <v>1198.13626642254</v>
      </c>
      <c r="O16" s="115" t="n">
        <f aca="false">N16*(1+Assumptions!$N$39)</f>
        <v>1234.08035441521</v>
      </c>
      <c r="P16" s="115" t="n">
        <f aca="false">O16*(1+Assumptions!$N$39)</f>
        <v>1271.10276504767</v>
      </c>
      <c r="Q16" s="115" t="n">
        <f aca="false">P16*(1+Assumptions!$N$39)</f>
        <v>1309.2358479991</v>
      </c>
      <c r="R16" s="115" t="n">
        <f aca="false">Q16*(1+Assumptions!$N$39)</f>
        <v>1348.51292343907</v>
      </c>
      <c r="S16" s="115" t="n">
        <f aca="false">R16*(1+Assumptions!$N$39)</f>
        <v>1388.96831114224</v>
      </c>
      <c r="T16" s="115" t="n">
        <f aca="false">S16*(1+Assumptions!$N$39)</f>
        <v>1430.63736047651</v>
      </c>
      <c r="U16" s="115" t="n">
        <f aca="false">T16*(1+Assumptions!$N$39)</f>
        <v>1473.55648129081</v>
      </c>
      <c r="V16" s="115" t="n">
        <f aca="false">U16*(1+Assumptions!$N$39)</f>
        <v>1517.76317572953</v>
      </c>
      <c r="W16" s="115" t="n">
        <f aca="false">V16*(1+Assumptions!$N$39)</f>
        <v>1563.29607100142</v>
      </c>
      <c r="X16" s="115" t="n">
        <f aca="false">W16*(1+Assumptions!$N$39)</f>
        <v>1610.19495313146</v>
      </c>
      <c r="Y16" s="115" t="n">
        <f aca="false">X16*(1+Assumptions!$N$39)</f>
        <v>1658.5008017254</v>
      </c>
      <c r="Z16" s="115" t="n">
        <f aca="false">Y16*(1+Assumptions!$N$39)</f>
        <v>1708.25582577717</v>
      </c>
      <c r="AA16" s="651"/>
      <c r="AB16" s="651"/>
      <c r="AC16" s="651"/>
    </row>
    <row r="17" customFormat="false" ht="12.75" hidden="false" customHeight="false" outlineLevel="0" collapsed="false">
      <c r="A17" s="327" t="s">
        <v>277</v>
      </c>
      <c r="B17" s="321"/>
      <c r="C17" s="321"/>
      <c r="D17" s="115"/>
      <c r="E17" s="115" t="n">
        <v>0</v>
      </c>
      <c r="F17" s="115" t="n">
        <v>0</v>
      </c>
      <c r="G17" s="115" t="n">
        <v>0</v>
      </c>
      <c r="H17" s="115" t="n">
        <v>0</v>
      </c>
      <c r="I17" s="115" t="n">
        <f aca="false">Assumptions!$N$33*Assumptions!$N$35*Assumptions!$N$36*Assumptions!$N$14/1000</f>
        <v>9.00529056</v>
      </c>
      <c r="J17" s="115" t="n">
        <f aca="false">Assumptions!$N$33*Assumptions!$N$35*Assumptions!$N$36*Assumptions!$N$14/1000</f>
        <v>9.00529056</v>
      </c>
      <c r="K17" s="115" t="n">
        <f aca="false">Assumptions!$N$33*Assumptions!$N$35*Assumptions!$N$36*Assumptions!$N$14/1000</f>
        <v>9.00529056</v>
      </c>
      <c r="L17" s="115" t="n">
        <f aca="false">Assumptions!$N$33*Assumptions!$N$35*Assumptions!$N$36*Assumptions!$N$14/1000</f>
        <v>9.00529056</v>
      </c>
      <c r="M17" s="115" t="n">
        <f aca="false">Assumptions!$N$33*Assumptions!$N$35*Assumptions!$N$36*Assumptions!$N$14/1000</f>
        <v>9.00529056</v>
      </c>
      <c r="N17" s="115" t="n">
        <f aca="false">Assumptions!$N$33*Assumptions!$N$35*Assumptions!$N$36*Assumptions!$N$14/1000</f>
        <v>9.00529056</v>
      </c>
      <c r="O17" s="115" t="n">
        <f aca="false">Assumptions!$N$33*Assumptions!$N$35*Assumptions!$N$36*Assumptions!$N$14/1000</f>
        <v>9.00529056</v>
      </c>
      <c r="P17" s="115" t="n">
        <f aca="false">Assumptions!$N$33*Assumptions!$N$35*Assumptions!$N$36*Assumptions!$N$14/1000</f>
        <v>9.00529056</v>
      </c>
      <c r="Q17" s="115" t="n">
        <f aca="false">Assumptions!$N$33*Assumptions!$N$35*Assumptions!$N$36*Assumptions!$N$14/1000</f>
        <v>9.00529056</v>
      </c>
      <c r="R17" s="115" t="n">
        <f aca="false">Assumptions!$N$33*Assumptions!$N$35*Assumptions!$N$36*Assumptions!$N$14/1000</f>
        <v>9.00529056</v>
      </c>
      <c r="S17" s="115" t="n">
        <f aca="false">Assumptions!$N$33*Assumptions!$N$35*Assumptions!$N$36*Assumptions!$N$14/1000</f>
        <v>9.00529056</v>
      </c>
      <c r="T17" s="115" t="n">
        <f aca="false">Assumptions!$N$33*Assumptions!$N$35*Assumptions!$N$36*Assumptions!$N$14/1000</f>
        <v>9.00529056</v>
      </c>
      <c r="U17" s="115" t="n">
        <f aca="false">Assumptions!$N$33*Assumptions!$N$35*Assumptions!$N$36*Assumptions!$N$14/1000</f>
        <v>9.00529056</v>
      </c>
      <c r="V17" s="115" t="n">
        <f aca="false">Assumptions!$N$33*Assumptions!$N$35*Assumptions!$N$36*Assumptions!$N$14/1000</f>
        <v>9.00529056</v>
      </c>
      <c r="W17" s="115" t="n">
        <f aca="false">Assumptions!$N$33*Assumptions!$N$35*Assumptions!$N$36*Assumptions!$N$14/1000</f>
        <v>9.00529056</v>
      </c>
      <c r="X17" s="115" t="n">
        <f aca="false">Assumptions!$N$33*Assumptions!$N$35*Assumptions!$N$36*Assumptions!$N$14/1000</f>
        <v>9.00529056</v>
      </c>
      <c r="Y17" s="115" t="n">
        <f aca="false">Assumptions!$N$33*Assumptions!$N$35*Assumptions!$N$36*Assumptions!$N$14/1000</f>
        <v>9.00529056</v>
      </c>
      <c r="Z17" s="115" t="n">
        <f aca="false">Assumptions!$N$33*Assumptions!$N$35*Assumptions!$N$36*Assumptions!$N$14/1000</f>
        <v>9.00529056</v>
      </c>
      <c r="AA17" s="651"/>
      <c r="AB17" s="651"/>
      <c r="AC17" s="651"/>
    </row>
    <row r="18" customFormat="false" ht="12.75" hidden="false" customHeight="false" outlineLevel="0" collapsed="false">
      <c r="A18" s="70"/>
      <c r="B18" s="321"/>
      <c r="C18" s="321"/>
      <c r="D18" s="321"/>
      <c r="E18" s="428"/>
      <c r="F18" s="321"/>
      <c r="H18" s="70"/>
      <c r="AA18" s="651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</row>
    <row r="19" customFormat="false" ht="12.75" hidden="false" customHeight="false" outlineLevel="0" collapsed="false">
      <c r="A19" s="327" t="s">
        <v>453</v>
      </c>
      <c r="B19" s="321"/>
      <c r="C19" s="321"/>
      <c r="D19" s="0"/>
      <c r="E19" s="375" t="n">
        <f aca="false">(SUM(E10:E17)-SUM(E25:E35))*Assumptions!$B$34/4*$F$1/12</f>
        <v>0</v>
      </c>
      <c r="F19" s="375" t="n">
        <f aca="false">(SUM(F10:F17)-SUM(F25:F35))*Assumptions!$B$34/4*$F$1/12</f>
        <v>185.465112914764</v>
      </c>
      <c r="G19" s="375" t="n">
        <f aca="false">(SUM(G10:G17)-SUM(G25:G35))*Assumptions!$B$34/4</f>
        <v>189.466012984996</v>
      </c>
      <c r="H19" s="375" t="n">
        <f aca="false">(SUM(H10:H17)-SUM(H25:H35))*Assumptions!$B$34/4</f>
        <v>188.849496572174</v>
      </c>
      <c r="I19" s="375" t="n">
        <f aca="false">(SUM(I10:I17)-SUM(I25:I35))*Assumptions!$B$34/4</f>
        <v>297.142183599464</v>
      </c>
      <c r="J19" s="375" t="n">
        <f aca="false">(SUM(J10:J17)-SUM(J25:J35))*Assumptions!$B$34/4</f>
        <v>300.376288122778</v>
      </c>
      <c r="K19" s="375" t="n">
        <f aca="false">(SUM(K10:K17)-SUM(K25:K35))*Assumptions!$B$34/4</f>
        <v>303.517414562296</v>
      </c>
      <c r="L19" s="375" t="n">
        <f aca="false">(SUM(L10:L17)-SUM(L25:L35))*Assumptions!$B$34/4</f>
        <v>306.640538506478</v>
      </c>
      <c r="M19" s="375" t="n">
        <f aca="false">(SUM(M10:M17)-SUM(M25:M35))*Assumptions!$B$34/4</f>
        <v>316.392156509536</v>
      </c>
      <c r="N19" s="375" t="n">
        <f aca="false">(SUM(N10:N17)-SUM(N25:N35))*Assumptions!$B$34/4</f>
        <v>319.488100021778</v>
      </c>
      <c r="O19" s="375" t="n">
        <f aca="false">(SUM(O10:O17)-SUM(O25:O35))*Assumptions!$B$34/4</f>
        <v>329.693463170753</v>
      </c>
      <c r="P19" s="375" t="n">
        <f aca="false">(SUM(P10:P17)-SUM(P25:P35))*Assumptions!$B$34/4</f>
        <v>325.273175040461</v>
      </c>
      <c r="Q19" s="375" t="n">
        <f aca="false">(SUM(Q10:Q17)-SUM(Q25:Q35))*Assumptions!$B$34/4</f>
        <v>336.611886028325</v>
      </c>
      <c r="R19" s="375" t="n">
        <f aca="false">(SUM(R10:R17)-SUM(R25:R35))*Assumptions!$B$34/4</f>
        <v>340.528549845152</v>
      </c>
      <c r="S19" s="375" t="n">
        <f aca="false">(SUM(S10:S17)-SUM(S25:S35))*Assumptions!$B$34/4</f>
        <v>344.339168706326</v>
      </c>
      <c r="T19" s="375" t="n">
        <f aca="false">(SUM(T10:T17)-SUM(T25:T35))*Assumptions!$B$34/4</f>
        <v>347.986685712266</v>
      </c>
      <c r="U19" s="375" t="n">
        <f aca="false">(SUM(U10:U17)-SUM(U25:U35))*Assumptions!$B$34/4</f>
        <v>351.818575246335</v>
      </c>
      <c r="V19" s="375" t="n">
        <f aca="false">(SUM(V10:V17)-SUM(V25:V35))*Assumptions!$B$34/4</f>
        <v>355.770064457287</v>
      </c>
      <c r="W19" s="375" t="n">
        <f aca="false">(SUM(W10:W17)-SUM(W25:W35))*Assumptions!$B$34/4</f>
        <v>359.591980921671</v>
      </c>
      <c r="X19" s="375" t="n">
        <f aca="false">(SUM(X10:X17)-SUM(X25:X35))*Assumptions!$B$34/4</f>
        <v>362.182170910879</v>
      </c>
      <c r="Y19" s="375" t="n">
        <f aca="false">(SUM(Y10:Y17)-SUM(Y25:Y35))*Assumptions!$B$34/4</f>
        <v>363.951700014859</v>
      </c>
      <c r="Z19" s="375" t="n">
        <f aca="false">(SUM(Z10:Z17)-SUM(Z25:Z35))*Assumptions!$B$34/4</f>
        <v>369.00085201392</v>
      </c>
      <c r="AA19" s="651"/>
      <c r="AB19" s="651"/>
      <c r="AC19" s="651"/>
    </row>
    <row r="20" customFormat="false" ht="12.75" hidden="false" customHeight="false" outlineLevel="0" collapsed="false">
      <c r="A20" s="327" t="s">
        <v>280</v>
      </c>
      <c r="B20" s="321"/>
      <c r="C20" s="321"/>
      <c r="D20" s="0"/>
      <c r="E20" s="115" t="n">
        <f aca="false">SUM(E10:E19)</f>
        <v>0</v>
      </c>
      <c r="F20" s="115" t="n">
        <f aca="false">SUM(F10:F19)</f>
        <v>19952.3191001025</v>
      </c>
      <c r="G20" s="115" t="n">
        <f aca="false">SUM(G10:G19)</f>
        <v>20259.7423069395</v>
      </c>
      <c r="H20" s="115" t="n">
        <f aca="false">SUM(H10:H19)</f>
        <v>20315.4740793453</v>
      </c>
      <c r="I20" s="115" t="n">
        <f aca="false">SUM(I10:I19)</f>
        <v>29598.9243186494</v>
      </c>
      <c r="J20" s="115" t="n">
        <f aca="false">SUM(J10:J19)</f>
        <v>29987.6022099402</v>
      </c>
      <c r="K20" s="115" t="n">
        <f aca="false">SUM(K10:K19)</f>
        <v>30372.9502511931</v>
      </c>
      <c r="L20" s="115" t="n">
        <f aca="false">SUM(L10:L19)</f>
        <v>30754.5023062714</v>
      </c>
      <c r="M20" s="115" t="n">
        <f aca="false">SUM(M10:M19)</f>
        <v>31677.4196185906</v>
      </c>
      <c r="N20" s="115" t="n">
        <f aca="false">SUM(N10:N19)</f>
        <v>32065.8182527798</v>
      </c>
      <c r="O20" s="115" t="n">
        <f aca="false">SUM(O10:O19)</f>
        <v>33028.1433617947</v>
      </c>
      <c r="P20" s="115" t="n">
        <f aca="false">SUM(P10:P19)</f>
        <v>33415.3332267926</v>
      </c>
      <c r="Q20" s="115" t="n">
        <f aca="false">SUM(Q10:Q19)</f>
        <v>34419.1035806162</v>
      </c>
      <c r="R20" s="115" t="n">
        <f aca="false">SUM(R10:R19)</f>
        <v>34820.2770944667</v>
      </c>
      <c r="S20" s="115" t="n">
        <f aca="false">SUM(S10:S19)</f>
        <v>35214.5138365998</v>
      </c>
      <c r="T20" s="115" t="n">
        <f aca="false">SUM(T10:T19)</f>
        <v>35600.9893753455</v>
      </c>
      <c r="U20" s="115" t="n">
        <f aca="false">SUM(U10:U19)</f>
        <v>35979.243915484</v>
      </c>
      <c r="V20" s="115" t="n">
        <f aca="false">SUM(V10:V19)</f>
        <v>36348.3638166765</v>
      </c>
      <c r="W20" s="115" t="n">
        <f aca="false">SUM(W10:W19)</f>
        <v>36707.2076717966</v>
      </c>
      <c r="X20" s="115" t="n">
        <f aca="false">SUM(X10:X19)</f>
        <v>37053.7358871454</v>
      </c>
      <c r="Y20" s="115" t="n">
        <f aca="false">SUM(Y10:Y19)</f>
        <v>37387.3749737703</v>
      </c>
      <c r="Z20" s="115" t="n">
        <f aca="false">SUM(Z10:Z19)</f>
        <v>37711.1915631584</v>
      </c>
      <c r="AA20" s="651"/>
      <c r="AB20" s="651"/>
      <c r="AC20" s="651"/>
    </row>
    <row r="21" customFormat="false" ht="12.75" hidden="false" customHeight="false" outlineLevel="0" collapsed="false">
      <c r="A21" s="327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C21" s="730"/>
    </row>
    <row r="22" customFormat="false" ht="12.75" hidden="false" customHeight="false" outlineLevel="0" collapsed="false">
      <c r="A22" s="331"/>
      <c r="B22" s="331"/>
      <c r="C22" s="331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653"/>
      <c r="AB22" s="653"/>
      <c r="AC22" s="653"/>
      <c r="AD22" s="653"/>
      <c r="AE22" s="653"/>
      <c r="AF22" s="653"/>
      <c r="AG22" s="653"/>
      <c r="AH22" s="653"/>
      <c r="AI22" s="653"/>
      <c r="AJ22" s="653"/>
      <c r="AK22" s="653"/>
      <c r="AL22" s="653"/>
      <c r="AM22" s="653"/>
      <c r="AN22" s="653"/>
      <c r="AO22" s="653"/>
      <c r="AP22" s="653"/>
      <c r="AQ22" s="653"/>
      <c r="AR22" s="653"/>
      <c r="AS22" s="653"/>
      <c r="AT22" s="653"/>
      <c r="AU22" s="653"/>
      <c r="AV22" s="653"/>
      <c r="AW22" s="653"/>
      <c r="AX22" s="653"/>
      <c r="AY22" s="653"/>
      <c r="AZ22" s="653"/>
      <c r="BA22" s="653"/>
      <c r="BB22" s="653"/>
      <c r="BC22" s="653"/>
      <c r="BD22" s="653"/>
      <c r="BE22" s="653"/>
      <c r="BF22" s="653"/>
      <c r="BG22" s="653"/>
      <c r="BH22" s="653"/>
      <c r="BI22" s="653"/>
      <c r="BJ22" s="653"/>
      <c r="BK22" s="653"/>
      <c r="BL22" s="653"/>
      <c r="BM22" s="653"/>
      <c r="BN22" s="653"/>
      <c r="BO22" s="653"/>
      <c r="BP22" s="653"/>
      <c r="BQ22" s="653"/>
      <c r="BR22" s="653"/>
      <c r="BS22" s="653"/>
      <c r="BT22" s="653"/>
      <c r="BU22" s="653"/>
      <c r="BV22" s="653"/>
      <c r="BW22" s="653"/>
      <c r="BX22" s="653"/>
      <c r="BY22" s="653"/>
      <c r="BZ22" s="653"/>
      <c r="CA22" s="653"/>
      <c r="CB22" s="653"/>
      <c r="CC22" s="653"/>
      <c r="CD22" s="653"/>
      <c r="CE22" s="653"/>
      <c r="CF22" s="653"/>
      <c r="CG22" s="653"/>
      <c r="CH22" s="653"/>
      <c r="CI22" s="653"/>
      <c r="CJ22" s="653"/>
      <c r="CK22" s="653"/>
      <c r="CL22" s="653"/>
      <c r="CM22" s="653"/>
      <c r="CN22" s="653"/>
      <c r="CO22" s="653"/>
      <c r="CP22" s="653"/>
      <c r="CQ22" s="653"/>
      <c r="CR22" s="653"/>
      <c r="CS22" s="653"/>
      <c r="CT22" s="653"/>
      <c r="CU22" s="653"/>
      <c r="CV22" s="653"/>
      <c r="CW22" s="653"/>
      <c r="CX22" s="653"/>
      <c r="CY22" s="653"/>
      <c r="CZ22" s="653"/>
      <c r="DA22" s="653"/>
      <c r="DB22" s="653"/>
      <c r="DC22" s="653"/>
      <c r="DD22" s="653"/>
      <c r="DE22" s="653"/>
      <c r="DF22" s="653"/>
      <c r="DG22" s="653"/>
      <c r="DH22" s="653"/>
      <c r="DI22" s="653"/>
      <c r="DJ22" s="653"/>
      <c r="DK22" s="653"/>
      <c r="DL22" s="653"/>
      <c r="DM22" s="653"/>
      <c r="DN22" s="653"/>
      <c r="DO22" s="653"/>
      <c r="DP22" s="653"/>
      <c r="DQ22" s="653"/>
      <c r="DR22" s="653"/>
      <c r="DS22" s="653"/>
      <c r="DT22" s="653"/>
      <c r="DU22" s="653"/>
      <c r="DV22" s="653"/>
      <c r="DW22" s="653"/>
      <c r="DX22" s="653"/>
      <c r="DY22" s="653"/>
      <c r="DZ22" s="653"/>
      <c r="EA22" s="653"/>
      <c r="EB22" s="653"/>
      <c r="EC22" s="653"/>
      <c r="ED22" s="653"/>
      <c r="EE22" s="653"/>
      <c r="EF22" s="653"/>
      <c r="EG22" s="653"/>
      <c r="EH22" s="653"/>
      <c r="EI22" s="653"/>
      <c r="EJ22" s="653"/>
      <c r="EK22" s="653"/>
      <c r="EL22" s="653"/>
      <c r="EM22" s="653"/>
      <c r="EN22" s="653"/>
      <c r="EO22" s="653"/>
      <c r="EP22" s="653"/>
      <c r="EQ22" s="653"/>
      <c r="ER22" s="653"/>
      <c r="ES22" s="653"/>
      <c r="ET22" s="653"/>
      <c r="EU22" s="653"/>
      <c r="EV22" s="653"/>
      <c r="EW22" s="653"/>
      <c r="EX22" s="653"/>
      <c r="EY22" s="653"/>
      <c r="EZ22" s="653"/>
      <c r="FA22" s="653"/>
      <c r="FB22" s="653"/>
      <c r="FC22" s="653"/>
      <c r="FD22" s="653"/>
      <c r="FE22" s="653"/>
      <c r="FF22" s="653"/>
      <c r="FG22" s="653"/>
      <c r="FH22" s="653"/>
      <c r="FI22" s="653"/>
      <c r="FJ22" s="653"/>
      <c r="FK22" s="653"/>
      <c r="FL22" s="653"/>
      <c r="FM22" s="653"/>
      <c r="FN22" s="653"/>
      <c r="FO22" s="653"/>
      <c r="FP22" s="653"/>
      <c r="FQ22" s="653"/>
      <c r="FR22" s="653"/>
      <c r="FS22" s="653"/>
      <c r="FT22" s="653"/>
      <c r="FU22" s="653"/>
      <c r="FV22" s="653"/>
      <c r="FW22" s="653"/>
      <c r="FX22" s="653"/>
      <c r="FY22" s="653"/>
      <c r="FZ22" s="653"/>
      <c r="GA22" s="653"/>
      <c r="GB22" s="653"/>
      <c r="GC22" s="653"/>
      <c r="GD22" s="653"/>
      <c r="GE22" s="653"/>
      <c r="GF22" s="653"/>
      <c r="GG22" s="653"/>
      <c r="GH22" s="653"/>
      <c r="GI22" s="653"/>
      <c r="GJ22" s="653"/>
      <c r="GK22" s="653"/>
      <c r="GL22" s="653"/>
      <c r="GM22" s="653"/>
      <c r="GN22" s="653"/>
      <c r="GO22" s="653"/>
      <c r="GP22" s="653"/>
      <c r="GQ22" s="653"/>
      <c r="GR22" s="653"/>
      <c r="GS22" s="653"/>
      <c r="GT22" s="653"/>
      <c r="GU22" s="653"/>
      <c r="GV22" s="653"/>
      <c r="GW22" s="653"/>
      <c r="GX22" s="653"/>
      <c r="GY22" s="653"/>
      <c r="GZ22" s="653"/>
      <c r="HA22" s="653"/>
      <c r="HB22" s="653"/>
      <c r="HC22" s="653"/>
      <c r="HD22" s="653"/>
      <c r="HE22" s="653"/>
      <c r="HF22" s="653"/>
      <c r="HG22" s="653"/>
      <c r="HH22" s="653"/>
      <c r="HI22" s="653"/>
      <c r="HJ22" s="653"/>
      <c r="HK22" s="653"/>
      <c r="HL22" s="653"/>
      <c r="HM22" s="653"/>
      <c r="HN22" s="653"/>
      <c r="HO22" s="653"/>
      <c r="HP22" s="653"/>
      <c r="HQ22" s="653"/>
      <c r="HR22" s="653"/>
      <c r="HS22" s="653"/>
      <c r="HT22" s="653"/>
      <c r="HU22" s="653"/>
      <c r="HV22" s="653"/>
      <c r="HW22" s="653"/>
      <c r="HX22" s="653"/>
      <c r="HY22" s="653"/>
      <c r="HZ22" s="653"/>
      <c r="IA22" s="653"/>
      <c r="IB22" s="653"/>
      <c r="IC22" s="653"/>
      <c r="ID22" s="653"/>
      <c r="IE22" s="653"/>
      <c r="IF22" s="653"/>
      <c r="IG22" s="653"/>
      <c r="IH22" s="653"/>
      <c r="II22" s="653"/>
      <c r="IJ22" s="653"/>
      <c r="IK22" s="653"/>
      <c r="IL22" s="653"/>
      <c r="IM22" s="653"/>
      <c r="IN22" s="653"/>
      <c r="IO22" s="653"/>
      <c r="IP22" s="653"/>
      <c r="IQ22" s="653"/>
      <c r="IR22" s="653"/>
      <c r="IS22" s="653"/>
      <c r="IT22" s="653"/>
      <c r="IU22" s="653"/>
      <c r="IV22" s="653"/>
      <c r="IW22" s="653"/>
    </row>
    <row r="23" customFormat="false" ht="12.75" hidden="false" customHeight="false" outlineLevel="0" collapsed="false">
      <c r="A23" s="323" t="s">
        <v>281</v>
      </c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</row>
    <row r="24" customFormat="false" ht="12.75" hidden="false" customHeight="false" outlineLevel="0" collapsed="false">
      <c r="A24" s="327" t="s">
        <v>282</v>
      </c>
      <c r="D24" s="0"/>
      <c r="E24" s="115" t="n">
        <v>0</v>
      </c>
      <c r="F24" s="115" t="n">
        <v>0</v>
      </c>
      <c r="G24" s="115" t="n">
        <v>0</v>
      </c>
      <c r="H24" s="417" t="n">
        <v>0</v>
      </c>
      <c r="I24" s="115" t="n">
        <v>0</v>
      </c>
      <c r="J24" s="115" t="n">
        <v>0</v>
      </c>
      <c r="K24" s="115" t="n">
        <v>0</v>
      </c>
      <c r="L24" s="115" t="n">
        <v>0</v>
      </c>
      <c r="M24" s="115" t="n">
        <v>0</v>
      </c>
      <c r="N24" s="115" t="n">
        <v>0</v>
      </c>
      <c r="O24" s="115" t="n">
        <v>0</v>
      </c>
      <c r="P24" s="115" t="n">
        <v>0</v>
      </c>
      <c r="Q24" s="115" t="n">
        <v>0</v>
      </c>
      <c r="R24" s="115" t="n">
        <v>0</v>
      </c>
      <c r="S24" s="115" t="n">
        <v>0</v>
      </c>
      <c r="T24" s="115" t="n">
        <v>0</v>
      </c>
      <c r="U24" s="115" t="n">
        <v>0</v>
      </c>
      <c r="V24" s="115" t="n">
        <v>0</v>
      </c>
      <c r="W24" s="115" t="n">
        <v>0</v>
      </c>
      <c r="X24" s="115" t="n">
        <v>0</v>
      </c>
      <c r="Y24" s="115" t="n">
        <v>0</v>
      </c>
      <c r="Z24" s="115" t="n">
        <v>0</v>
      </c>
    </row>
    <row r="25" customFormat="false" ht="12.75" hidden="false" customHeight="false" outlineLevel="0" collapsed="false">
      <c r="A25" s="327" t="s">
        <v>217</v>
      </c>
      <c r="D25" s="0"/>
      <c r="E25" s="115" t="n">
        <f aca="false">Assumptions!$N56*Assumptions!N53/12</f>
        <v>0</v>
      </c>
      <c r="F25" s="115" t="n">
        <f aca="false">Assumptions!$N56*(1+Assumptions!$L$52)*$F$1/12</f>
        <v>1057.18376</v>
      </c>
      <c r="G25" s="115" t="n">
        <f aca="false">F25*(1+Assumptions!$N$52)</f>
        <v>1088.8992728</v>
      </c>
      <c r="H25" s="115" t="n">
        <f aca="false">G25*(1+Assumptions!$N$52)</f>
        <v>1121.566250984</v>
      </c>
      <c r="I25" s="115" t="n">
        <f aca="false">H25*(1+Assumptions!$N$52)</f>
        <v>1155.21323851352</v>
      </c>
      <c r="J25" s="115" t="n">
        <f aca="false">I25*(1+Assumptions!$N$52)</f>
        <v>1189.86963566893</v>
      </c>
      <c r="K25" s="115" t="n">
        <f aca="false">J25*(1+Assumptions!$N$52)</f>
        <v>1225.56572473899</v>
      </c>
      <c r="L25" s="115" t="n">
        <f aca="false">K25*(1+Assumptions!$N$52)</f>
        <v>1262.33269648116</v>
      </c>
      <c r="M25" s="115" t="n">
        <f aca="false">L25*(1+Assumptions!$N$52)</f>
        <v>1300.2026773756</v>
      </c>
      <c r="N25" s="115" t="n">
        <f aca="false">M25*(1+Assumptions!$N$52)</f>
        <v>1339.20875769687</v>
      </c>
      <c r="O25" s="115" t="n">
        <f aca="false">N25*(1+Assumptions!$N$52)</f>
        <v>1379.38502042777</v>
      </c>
      <c r="P25" s="115" t="n">
        <f aca="false">O25*(1+Assumptions!$N$52)</f>
        <v>1420.76657104061</v>
      </c>
      <c r="Q25" s="115" t="n">
        <f aca="false">P25*(1+Assumptions!$N$52)</f>
        <v>1463.38956817182</v>
      </c>
      <c r="R25" s="115" t="n">
        <f aca="false">Q25*(1+Assumptions!$N$52)</f>
        <v>1507.29125521698</v>
      </c>
      <c r="S25" s="115" t="n">
        <f aca="false">R25*(1+Assumptions!$N$52)</f>
        <v>1552.50999287349</v>
      </c>
      <c r="T25" s="115" t="n">
        <f aca="false">S25*(1+Assumptions!$N$52)</f>
        <v>1599.08529265969</v>
      </c>
      <c r="U25" s="115" t="n">
        <f aca="false">T25*(1+Assumptions!$N$52)</f>
        <v>1647.05785143948</v>
      </c>
      <c r="V25" s="115" t="n">
        <f aca="false">U25*(1+Assumptions!$N$52)</f>
        <v>1696.46958698267</v>
      </c>
      <c r="W25" s="115" t="n">
        <f aca="false">V25*(1+Assumptions!$N$52)</f>
        <v>1747.36367459215</v>
      </c>
      <c r="X25" s="115" t="n">
        <f aca="false">W25*(1+Assumptions!$N$52)</f>
        <v>1799.78458482991</v>
      </c>
      <c r="Y25" s="115" t="n">
        <f aca="false">X25*(1+Assumptions!$N$52)</f>
        <v>1853.77812237481</v>
      </c>
      <c r="Z25" s="115" t="n">
        <f aca="false">Y25*(1+Assumptions!$N$52)</f>
        <v>1909.39146604605</v>
      </c>
    </row>
    <row r="26" customFormat="false" ht="12.75" hidden="false" customHeight="false" outlineLevel="0" collapsed="false">
      <c r="A26" s="327" t="s">
        <v>283</v>
      </c>
      <c r="D26" s="0"/>
      <c r="E26" s="115" t="n">
        <f aca="false">Assumptions!$N58*Assumptions!N$53/12</f>
        <v>0</v>
      </c>
      <c r="F26" s="115" t="n">
        <f aca="false">Assumptions!N58*5/12*(1+Assumptions!N52)^(5/12)+Assumptions!N59*7/12*(1+Assumptions!N52)</f>
        <v>425.095587187731</v>
      </c>
      <c r="G26" s="115" t="n">
        <f aca="false">Assumptions!N59*(1+Assumptions!$N$52)^(G5-$E$5)</f>
        <v>446.82514195447</v>
      </c>
      <c r="H26" s="115" t="n">
        <f aca="false">G26*(1+Assumptions!$N$52)</f>
        <v>460.229896213104</v>
      </c>
      <c r="I26" s="115" t="n">
        <f aca="false">Assumptions!$N$60*(1+Assumptions!$N$52)^(I5-$E$5)</f>
        <v>527.314025919725</v>
      </c>
      <c r="J26" s="115" t="n">
        <f aca="false">Assumptions!$N$60*(1+Assumptions!$N$52)^(J5-$E$5)</f>
        <v>543.133446697317</v>
      </c>
      <c r="K26" s="115" t="n">
        <f aca="false">J26*(1+Assumptions!$N$52)</f>
        <v>559.427450098236</v>
      </c>
      <c r="L26" s="115" t="n">
        <f aca="false">K26*(1+Assumptions!$N$52)</f>
        <v>576.210273601183</v>
      </c>
      <c r="M26" s="115" t="n">
        <f aca="false">L26*(1+Assumptions!$N$52)</f>
        <v>593.496581809219</v>
      </c>
      <c r="N26" s="115" t="n">
        <f aca="false">M26*(1+Assumptions!$N$52)</f>
        <v>611.301479263495</v>
      </c>
      <c r="O26" s="115" t="n">
        <f aca="false">N26*(1+Assumptions!$N$52)</f>
        <v>629.6405236414</v>
      </c>
      <c r="P26" s="115" t="n">
        <f aca="false">O26*(1+Assumptions!$N$52)</f>
        <v>648.529739350642</v>
      </c>
      <c r="Q26" s="115" t="n">
        <f aca="false">P26*(1+Assumptions!$N$52)</f>
        <v>667.985631531162</v>
      </c>
      <c r="R26" s="115" t="n">
        <f aca="false">Q26*(1+Assumptions!$N$52)</f>
        <v>688.025200477097</v>
      </c>
      <c r="S26" s="115" t="n">
        <f aca="false">R26*(1+Assumptions!$N$52)</f>
        <v>708.66595649141</v>
      </c>
      <c r="T26" s="115" t="n">
        <f aca="false">S26*(1+Assumptions!$N$52)</f>
        <v>729.925935186152</v>
      </c>
      <c r="U26" s="115" t="n">
        <f aca="false">T26*(1+Assumptions!$N$52)</f>
        <v>751.823713241736</v>
      </c>
      <c r="V26" s="115" t="n">
        <f aca="false">U26*(1+Assumptions!$N$52)</f>
        <v>774.378424638989</v>
      </c>
      <c r="W26" s="115" t="n">
        <f aca="false">V26*(1+Assumptions!$N$52)</f>
        <v>797.609777378158</v>
      </c>
      <c r="X26" s="115" t="n">
        <f aca="false">W26*(1+Assumptions!$N$52)</f>
        <v>821.538070699503</v>
      </c>
      <c r="Y26" s="115" t="n">
        <f aca="false">X26*(1+Assumptions!$N$52)</f>
        <v>846.184212820488</v>
      </c>
      <c r="Z26" s="115" t="n">
        <f aca="false">Y26*(1+Assumptions!$N$52)</f>
        <v>871.569739205103</v>
      </c>
    </row>
    <row r="27" customFormat="false" ht="12.75" hidden="false" customHeight="false" outlineLevel="0" collapsed="false">
      <c r="A27" s="327" t="s">
        <v>222</v>
      </c>
      <c r="D27" s="0"/>
      <c r="E27" s="115" t="n">
        <f aca="false">VLOOKUP(Assumptions!N19,'EGC Start Charge Matrix'!$U$10:$AM$35,16)*Assumptions!N$53/12</f>
        <v>0</v>
      </c>
      <c r="F27" s="115" t="n">
        <f aca="false">VLOOKUP(Assumptions!N19,'EGC Start Charge Matrix'!$U$10:$AM$35,16)*(1+Assumptions!$N$52)*$F$1/12</f>
        <v>1389.7584</v>
      </c>
      <c r="G27" s="115" t="n">
        <f aca="false">F27*(1+Assumptions!$N$52)</f>
        <v>1431.451152</v>
      </c>
      <c r="H27" s="115" t="n">
        <f aca="false">G27*(1+Assumptions!$N$52)</f>
        <v>1474.39468656</v>
      </c>
      <c r="I27" s="115" t="n">
        <f aca="false">H27*(1+Assumptions!$N$52)</f>
        <v>1518.6265271568</v>
      </c>
      <c r="J27" s="115" t="n">
        <f aca="false">I27*(1+Assumptions!$N$52)</f>
        <v>1564.1853229715</v>
      </c>
      <c r="K27" s="115" t="n">
        <f aca="false">J27*(1+Assumptions!$N$52)</f>
        <v>1611.11088266065</v>
      </c>
      <c r="L27" s="115" t="n">
        <f aca="false">K27*(1+Assumptions!$N$52)</f>
        <v>1659.44420914047</v>
      </c>
      <c r="M27" s="115" t="n">
        <f aca="false">L27*(1+Assumptions!$N$52)</f>
        <v>1709.22753541468</v>
      </c>
      <c r="N27" s="115" t="n">
        <f aca="false">M27*(1+Assumptions!$N$52)</f>
        <v>1760.50436147712</v>
      </c>
      <c r="O27" s="115" t="n">
        <f aca="false">N27*(1+Assumptions!$N$52)</f>
        <v>1813.31949232144</v>
      </c>
      <c r="P27" s="115" t="n">
        <f aca="false">O27*(1+Assumptions!$N$52)</f>
        <v>1867.71907709108</v>
      </c>
      <c r="Q27" s="115" t="n">
        <f aca="false">P27*(1+Assumptions!$N$52)</f>
        <v>1923.75064940381</v>
      </c>
      <c r="R27" s="115" t="n">
        <f aca="false">Q27*(1+Assumptions!$N$52)</f>
        <v>1981.46316888593</v>
      </c>
      <c r="S27" s="115" t="n">
        <f aca="false">R27*(1+Assumptions!$N$52)</f>
        <v>2040.9070639525</v>
      </c>
      <c r="T27" s="115" t="n">
        <f aca="false">S27*(1+Assumptions!$N$52)</f>
        <v>2102.13427587108</v>
      </c>
      <c r="U27" s="115" t="n">
        <f aca="false">T27*(1+Assumptions!$N$52)</f>
        <v>2165.19830414721</v>
      </c>
      <c r="V27" s="115" t="n">
        <f aca="false">U27*(1+Assumptions!$N$52)</f>
        <v>2230.15425327163</v>
      </c>
      <c r="W27" s="115" t="n">
        <f aca="false">V27*(1+Assumptions!$N$52)</f>
        <v>2297.05888086978</v>
      </c>
      <c r="X27" s="115" t="n">
        <f aca="false">W27*(1+Assumptions!$N$52)</f>
        <v>2365.97064729587</v>
      </c>
      <c r="Y27" s="115" t="n">
        <f aca="false">X27*(1+Assumptions!$N$52)</f>
        <v>2436.94976671475</v>
      </c>
      <c r="Z27" s="115" t="n">
        <f aca="false">Y27*(1+Assumptions!$N$52)</f>
        <v>2510.05825971619</v>
      </c>
    </row>
    <row r="28" customFormat="false" ht="12.75" hidden="false" customHeight="false" outlineLevel="0" collapsed="false">
      <c r="A28" s="327" t="s">
        <v>224</v>
      </c>
      <c r="D28" s="0"/>
      <c r="E28" s="115" t="n">
        <f aca="false">Assumptions!$N62*Assumptions!N53/12</f>
        <v>0</v>
      </c>
      <c r="F28" s="115" t="n">
        <f aca="false">Assumptions!$N62*(1+Assumptions!$N$52)*$F$1/12</f>
        <v>258.1592</v>
      </c>
      <c r="G28" s="115" t="n">
        <f aca="false">F28*(1+Assumptions!$N$52)</f>
        <v>265.903976</v>
      </c>
      <c r="H28" s="115" t="n">
        <f aca="false">G28*(1+Assumptions!$N$52)</f>
        <v>273.88109528</v>
      </c>
      <c r="I28" s="115" t="n">
        <f aca="false">H28*(1+Assumptions!$N$52)</f>
        <v>282.0975281384</v>
      </c>
      <c r="J28" s="115" t="n">
        <f aca="false">I28*(1+Assumptions!$N$52)</f>
        <v>290.560453982552</v>
      </c>
      <c r="K28" s="115" t="n">
        <f aca="false">J28*(1+Assumptions!$N$52)</f>
        <v>299.277267602029</v>
      </c>
      <c r="L28" s="115" t="n">
        <f aca="false">K28*(1+Assumptions!$N$52)</f>
        <v>308.255585630089</v>
      </c>
      <c r="M28" s="115" t="n">
        <f aca="false">L28*(1+Assumptions!$N$52)</f>
        <v>317.503253198992</v>
      </c>
      <c r="N28" s="115" t="n">
        <f aca="false">M28*(1+Assumptions!$N$52)</f>
        <v>327.028350794962</v>
      </c>
      <c r="O28" s="115" t="n">
        <f aca="false">N28*(1+Assumptions!$N$52)</f>
        <v>336.839201318811</v>
      </c>
      <c r="P28" s="115" t="n">
        <f aca="false">O28*(1+Assumptions!$N$52)</f>
        <v>346.944377358375</v>
      </c>
      <c r="Q28" s="115" t="n">
        <f aca="false">P28*(1+Assumptions!$N$52)</f>
        <v>357.352708679126</v>
      </c>
      <c r="R28" s="115" t="n">
        <f aca="false">Q28*(1+Assumptions!$N$52)</f>
        <v>368.0732899395</v>
      </c>
      <c r="S28" s="115" t="n">
        <f aca="false">R28*(1+Assumptions!$N$52)</f>
        <v>379.115488637685</v>
      </c>
      <c r="T28" s="115" t="n">
        <f aca="false">S28*(1+Assumptions!$N$52)</f>
        <v>390.488953296816</v>
      </c>
      <c r="U28" s="115" t="n">
        <f aca="false">T28*(1+Assumptions!$N$52)</f>
        <v>402.20362189572</v>
      </c>
      <c r="V28" s="115" t="n">
        <f aca="false">U28*(1+Assumptions!$N$52)</f>
        <v>414.269730552592</v>
      </c>
      <c r="W28" s="115" t="n">
        <f aca="false">V28*(1+Assumptions!$N$52)</f>
        <v>426.69782246917</v>
      </c>
      <c r="X28" s="115" t="n">
        <f aca="false">W28*(1+Assumptions!$N$52)</f>
        <v>439.498757143245</v>
      </c>
      <c r="Y28" s="115" t="n">
        <f aca="false">X28*(1+Assumptions!$N$52)</f>
        <v>452.683719857542</v>
      </c>
      <c r="Z28" s="115" t="n">
        <f aca="false">Y28*(1+Assumptions!$N$52)</f>
        <v>466.264231453268</v>
      </c>
    </row>
    <row r="29" customFormat="false" ht="12.75" hidden="false" customHeight="false" outlineLevel="0" collapsed="false">
      <c r="A29" s="327" t="s">
        <v>226</v>
      </c>
      <c r="D29" s="0"/>
      <c r="E29" s="115" t="n">
        <f aca="false">Assumptions!$N63*Assumptions!N53/12</f>
        <v>0</v>
      </c>
      <c r="F29" s="115" t="n">
        <f aca="false">(Assumptions!$N63)*(1+Assumptions!$N$52)*$F$1/12</f>
        <v>344.12815</v>
      </c>
      <c r="G29" s="115" t="n">
        <f aca="false">F29*(1+Assumptions!$N$52)</f>
        <v>354.4519945</v>
      </c>
      <c r="H29" s="115" t="n">
        <f aca="false">G29*(1+Assumptions!$N$52)</f>
        <v>365.085554335</v>
      </c>
      <c r="I29" s="115" t="n">
        <f aca="false">H29*(1+Assumptions!$N$52)</f>
        <v>376.03812096505</v>
      </c>
      <c r="J29" s="115" t="n">
        <f aca="false">I29*(1+Assumptions!$N$52)</f>
        <v>387.319264594002</v>
      </c>
      <c r="K29" s="115" t="n">
        <f aca="false">J29*(1+Assumptions!$N$52)</f>
        <v>398.938842531822</v>
      </c>
      <c r="L29" s="115" t="n">
        <f aca="false">K29*(1+Assumptions!$N$52)</f>
        <v>410.907007807776</v>
      </c>
      <c r="M29" s="115" t="n">
        <f aca="false">L29*(1+Assumptions!$N$52)</f>
        <v>423.23421804201</v>
      </c>
      <c r="N29" s="115" t="n">
        <f aca="false">M29*(1+Assumptions!$N$52)</f>
        <v>435.93124458327</v>
      </c>
      <c r="O29" s="115" t="n">
        <f aca="false">N29*(1+Assumptions!$N$52)</f>
        <v>449.009181920768</v>
      </c>
      <c r="P29" s="115" t="n">
        <f aca="false">O29*(1+Assumptions!$N$52)</f>
        <v>462.479457378391</v>
      </c>
      <c r="Q29" s="115" t="n">
        <f aca="false">P29*(1+Assumptions!$N$52)</f>
        <v>476.353841099743</v>
      </c>
      <c r="R29" s="115" t="n">
        <f aca="false">Q29*(1+Assumptions!$N$52)</f>
        <v>490.644456332735</v>
      </c>
      <c r="S29" s="115" t="n">
        <f aca="false">R29*(1+Assumptions!$N$52)</f>
        <v>505.363790022717</v>
      </c>
      <c r="T29" s="115" t="n">
        <f aca="false">S29*(1+Assumptions!$N$52)</f>
        <v>520.524703723399</v>
      </c>
      <c r="U29" s="115" t="n">
        <f aca="false">T29*(1+Assumptions!$N$52)</f>
        <v>536.140444835101</v>
      </c>
      <c r="V29" s="115" t="n">
        <f aca="false">U29*(1+Assumptions!$N$52)</f>
        <v>552.224658180154</v>
      </c>
      <c r="W29" s="115" t="n">
        <f aca="false">V29*(1+Assumptions!$N$52)</f>
        <v>568.791397925558</v>
      </c>
      <c r="X29" s="115" t="n">
        <f aca="false">W29*(1+Assumptions!$N$52)</f>
        <v>585.855139863325</v>
      </c>
      <c r="Y29" s="115" t="n">
        <f aca="false">X29*(1+Assumptions!$N$52)</f>
        <v>603.430794059225</v>
      </c>
      <c r="Z29" s="115" t="n">
        <f aca="false">Y29*(1+Assumptions!$N$52)</f>
        <v>621.533717881002</v>
      </c>
    </row>
    <row r="30" customFormat="false" ht="12.75" hidden="false" customHeight="false" outlineLevel="0" collapsed="false">
      <c r="A30" s="327" t="s">
        <v>454</v>
      </c>
      <c r="D30" s="0"/>
      <c r="E30" s="115" t="n">
        <f aca="false">+Assumptions!N64*Assumptions!N53/12</f>
        <v>0</v>
      </c>
      <c r="F30" s="115" t="n">
        <f aca="false">+Assumptions!N64*(1+Assumptions!$L$52)*$F$1/12</f>
        <v>79.36356</v>
      </c>
      <c r="G30" s="115" t="n">
        <f aca="false">F30*(1+Assumptions!$N$52)</f>
        <v>81.7444668</v>
      </c>
      <c r="H30" s="115" t="n">
        <f aca="false">G30*(1+Assumptions!$N$52)</f>
        <v>84.196800804</v>
      </c>
      <c r="I30" s="115" t="n">
        <f aca="false">H30*(1+Assumptions!$N$52)</f>
        <v>86.72270482812</v>
      </c>
      <c r="J30" s="115" t="n">
        <f aca="false">I30*(1+Assumptions!$N$52)</f>
        <v>89.3243859729636</v>
      </c>
      <c r="K30" s="115" t="n">
        <f aca="false">J30*(1+Assumptions!$N$52)</f>
        <v>92.0041175521526</v>
      </c>
      <c r="L30" s="115" t="n">
        <f aca="false">K30*(1+Assumptions!$N$52)</f>
        <v>94.7642410787171</v>
      </c>
      <c r="M30" s="115" t="n">
        <f aca="false">L30*(1+Assumptions!$N$52)</f>
        <v>97.6071683110787</v>
      </c>
      <c r="N30" s="115" t="n">
        <f aca="false">M30*(1+Assumptions!$N$52)</f>
        <v>100.535383360411</v>
      </c>
      <c r="O30" s="115" t="n">
        <f aca="false">N30*(1+Assumptions!$N$52)</f>
        <v>103.551444861223</v>
      </c>
      <c r="P30" s="115" t="n">
        <f aca="false">O30*(1+Assumptions!$N$52)</f>
        <v>106.65798820706</v>
      </c>
      <c r="Q30" s="115" t="n">
        <f aca="false">P30*(1+Assumptions!$N$52)</f>
        <v>109.857727853272</v>
      </c>
      <c r="R30" s="115" t="n">
        <f aca="false">Q30*(1+Assumptions!$N$52)</f>
        <v>113.15345968887</v>
      </c>
      <c r="S30" s="115" t="n">
        <f aca="false">R30*(1+Assumptions!$N$52)</f>
        <v>116.548063479536</v>
      </c>
      <c r="T30" s="115" t="n">
        <f aca="false">S30*(1+Assumptions!$N$52)</f>
        <v>120.044505383922</v>
      </c>
      <c r="U30" s="115" t="n">
        <f aca="false">T30*(1+Assumptions!$N$52)</f>
        <v>123.64584054544</v>
      </c>
      <c r="V30" s="115" t="n">
        <f aca="false">U30*(1+Assumptions!$N$52)</f>
        <v>127.355215761803</v>
      </c>
      <c r="W30" s="115" t="n">
        <f aca="false">V30*(1+Assumptions!$N$52)</f>
        <v>131.175872234657</v>
      </c>
      <c r="X30" s="115" t="n">
        <f aca="false">W30*(1+Assumptions!$N$52)</f>
        <v>135.111148401697</v>
      </c>
      <c r="Y30" s="115" t="n">
        <f aca="false">X30*(1+Assumptions!$N$52)</f>
        <v>139.164482853748</v>
      </c>
      <c r="Z30" s="115" t="n">
        <f aca="false">Y30*(1+Assumptions!$N$52)</f>
        <v>143.33941733936</v>
      </c>
    </row>
    <row r="31" customFormat="false" ht="12.75" hidden="false" customHeight="false" outlineLevel="0" collapsed="false">
      <c r="A31" s="327" t="s">
        <v>455</v>
      </c>
      <c r="D31" s="0"/>
      <c r="E31" s="115" t="n">
        <v>0</v>
      </c>
      <c r="F31" s="115" t="n">
        <v>659.85480443025</v>
      </c>
      <c r="G31" s="115" t="n">
        <v>646.52440434075</v>
      </c>
      <c r="H31" s="417" t="n">
        <v>633.19400425125</v>
      </c>
      <c r="I31" s="115" t="n">
        <v>619.86360416175</v>
      </c>
      <c r="J31" s="115" t="n">
        <v>606.53320407225</v>
      </c>
      <c r="K31" s="115" t="n">
        <v>593.20280398275</v>
      </c>
      <c r="L31" s="115" t="n">
        <v>573.2072038485</v>
      </c>
      <c r="M31" s="115" t="n">
        <v>553.21160371425</v>
      </c>
      <c r="N31" s="115" t="n">
        <v>533.21600358</v>
      </c>
      <c r="O31" s="115" t="n">
        <v>506.555203401</v>
      </c>
      <c r="P31" s="115" t="n">
        <v>1115.6297748084</v>
      </c>
      <c r="Q31" s="115" t="n">
        <v>1038.15548489115</v>
      </c>
      <c r="R31" s="115" t="n">
        <v>945.18633699045</v>
      </c>
      <c r="S31" s="115" t="n">
        <v>852.21718908975</v>
      </c>
      <c r="T31" s="115" t="n">
        <v>759.24804118905</v>
      </c>
      <c r="U31" s="115" t="n">
        <v>635.28917732145</v>
      </c>
      <c r="V31" s="115" t="n">
        <v>495.8354554704</v>
      </c>
      <c r="W31" s="115" t="n">
        <v>356.38173361935</v>
      </c>
      <c r="X31" s="115" t="n">
        <v>309.897159669</v>
      </c>
      <c r="Y31" s="115" t="n">
        <v>309.897159669</v>
      </c>
      <c r="Z31" s="115" t="n">
        <v>0</v>
      </c>
    </row>
    <row r="32" customFormat="false" ht="12.75" hidden="false" customHeight="false" outlineLevel="0" collapsed="false">
      <c r="A32" s="327" t="s">
        <v>456</v>
      </c>
      <c r="D32" s="0"/>
      <c r="E32" s="115" t="n">
        <v>0</v>
      </c>
      <c r="F32" s="115" t="n">
        <f aca="false">Allocation!$I$9*IS!E31*7/12+Allocation!$K$9*IS!E31*5/12</f>
        <v>379.291492388658</v>
      </c>
      <c r="G32" s="115" t="n">
        <f aca="false">Allocation!$I$9*IS!F31</f>
        <v>250.280546759578</v>
      </c>
      <c r="H32" s="115" t="n">
        <f aca="false">Allocation!$I$9*IS!G31</f>
        <v>248.794839571813</v>
      </c>
      <c r="I32" s="115" t="n">
        <f aca="false">Allocation!$I$9*IS!H31</f>
        <v>242.349676539517</v>
      </c>
      <c r="J32" s="115" t="n">
        <f aca="false">Allocation!$I$9*IS!I31</f>
        <v>242.349676539517</v>
      </c>
      <c r="K32" s="115" t="n">
        <f aca="false">Allocation!$I$9*IS!J31</f>
        <v>242.349676539517</v>
      </c>
      <c r="L32" s="115" t="n">
        <f aca="false">Allocation!$I$9*IS!K31</f>
        <v>242.349676539517</v>
      </c>
      <c r="M32" s="115" t="n">
        <f aca="false">Allocation!$I$9*IS!L31</f>
        <v>242.349676539517</v>
      </c>
      <c r="N32" s="115" t="n">
        <f aca="false">Allocation!$I$9*IS!M31</f>
        <v>242.349676539517</v>
      </c>
      <c r="O32" s="115" t="n">
        <f aca="false">Allocation!$I$9*IS!N31</f>
        <v>242.349676539517</v>
      </c>
      <c r="P32" s="115" t="n">
        <f aca="false">Allocation!$I$9*IS!O31</f>
        <v>211.286269732927</v>
      </c>
      <c r="Q32" s="115" t="n">
        <f aca="false">Allocation!$I$9*IS!P31</f>
        <v>201.856623337666</v>
      </c>
      <c r="R32" s="115" t="n">
        <f aca="false">Allocation!$I$9*IS!Q31</f>
        <v>201.34365480297</v>
      </c>
      <c r="S32" s="115" t="n">
        <f aca="false">Allocation!$I$9*IS!R31</f>
        <v>197.161380125336</v>
      </c>
      <c r="T32" s="115" t="n">
        <f aca="false">Allocation!$I$9*IS!S31</f>
        <v>192.947311225284</v>
      </c>
      <c r="U32" s="115" t="n">
        <f aca="false">Allocation!$I$9*IS!T31</f>
        <v>190.92148856471</v>
      </c>
      <c r="V32" s="115" t="n">
        <f aca="false">Allocation!$I$9*IS!U31</f>
        <v>179.752625881876</v>
      </c>
      <c r="W32" s="115" t="n">
        <f aca="false">Allocation!$I$9*IS!V31</f>
        <v>162.812953809396</v>
      </c>
      <c r="X32" s="115" t="n">
        <f aca="false">Allocation!$I$9*IS!W31</f>
        <v>134.188478091309</v>
      </c>
      <c r="Y32" s="115" t="n">
        <f aca="false">Allocation!$I$9*IS!X31</f>
        <v>106.3088751257</v>
      </c>
      <c r="Z32" s="115" t="n">
        <f aca="false">Allocation!$I$9*IS!Y31</f>
        <v>106.3088751257</v>
      </c>
    </row>
    <row r="33" customFormat="false" ht="12.75" hidden="false" customHeight="false" outlineLevel="0" collapsed="false">
      <c r="A33" s="327" t="s">
        <v>114</v>
      </c>
      <c r="D33" s="0"/>
      <c r="E33" s="115" t="n">
        <v>0</v>
      </c>
      <c r="F33" s="115" t="n">
        <v>0</v>
      </c>
      <c r="G33" s="115" t="n">
        <v>0</v>
      </c>
      <c r="H33" s="115" t="n">
        <v>0</v>
      </c>
      <c r="I33" s="102" t="n">
        <f aca="false">Assumptions!$N$50*Assumptions!$N$33*12</f>
        <v>354.14064</v>
      </c>
      <c r="J33" s="102" t="n">
        <f aca="false">Assumptions!$N$50*Assumptions!$N$33*12*(1+Assumptions!N52)</f>
        <v>364.7648592</v>
      </c>
      <c r="K33" s="102" t="n">
        <f aca="false">J33*(1+Assumptions!$N$52)</f>
        <v>375.707804976</v>
      </c>
      <c r="L33" s="102" t="n">
        <f aca="false">K33*(1+Assumptions!$N$52)</f>
        <v>386.97903912528</v>
      </c>
      <c r="M33" s="102" t="n">
        <f aca="false">L33*(1+Assumptions!$N$52)</f>
        <v>398.588410299039</v>
      </c>
      <c r="N33" s="102" t="n">
        <f aca="false">M33*(1+Assumptions!$N$52)</f>
        <v>410.54606260801</v>
      </c>
      <c r="O33" s="102" t="n">
        <f aca="false">N33*(1+Assumptions!$N$52)</f>
        <v>422.86244448625</v>
      </c>
      <c r="P33" s="102" t="n">
        <f aca="false">O33*(1+Assumptions!$N$52)</f>
        <v>435.548317820837</v>
      </c>
      <c r="Q33" s="102" t="n">
        <f aca="false">P33*(1+Assumptions!$N$52)</f>
        <v>448.614767355463</v>
      </c>
      <c r="R33" s="102" t="n">
        <f aca="false">Q33*(1+Assumptions!$N$52)</f>
        <v>462.073210376126</v>
      </c>
      <c r="S33" s="102" t="n">
        <f aca="false">R33*(1+Assumptions!$N$52)</f>
        <v>475.93540668741</v>
      </c>
      <c r="T33" s="102" t="n">
        <f aca="false">S33*(1+Assumptions!$N$52)</f>
        <v>490.213468888033</v>
      </c>
      <c r="U33" s="102" t="n">
        <f aca="false">T33*(1+Assumptions!$N$52)</f>
        <v>504.919872954674</v>
      </c>
      <c r="V33" s="102" t="n">
        <f aca="false">U33*(1+Assumptions!$N$52)</f>
        <v>520.067469143314</v>
      </c>
      <c r="W33" s="102" t="n">
        <f aca="false">V33*(1+Assumptions!$N$52)</f>
        <v>535.669493217613</v>
      </c>
      <c r="X33" s="102" t="n">
        <f aca="false">W33*(1+Assumptions!$N$52)</f>
        <v>551.739578014142</v>
      </c>
      <c r="Y33" s="102" t="n">
        <f aca="false">X33*(1+Assumptions!$N$52)</f>
        <v>568.291765354566</v>
      </c>
      <c r="Z33" s="102" t="n">
        <f aca="false">Y33*(1+Assumptions!$N$52)</f>
        <v>585.340518315203</v>
      </c>
    </row>
    <row r="34" customFormat="false" ht="12.75" hidden="false" customHeight="false" outlineLevel="0" collapsed="false">
      <c r="A34" s="327" t="s">
        <v>286</v>
      </c>
      <c r="D34" s="0"/>
      <c r="E34" s="115" t="n">
        <f aca="false">Assumptions!$N65*Assumptions!N53/12</f>
        <v>0</v>
      </c>
      <c r="F34" s="115" t="n">
        <f aca="false">Assumptions!$N65*(1+Assumptions!$N$52)*$F$1/12</f>
        <v>130.81</v>
      </c>
      <c r="G34" s="115" t="n">
        <f aca="false">F34*(1+Assumptions!$N$52)</f>
        <v>134.7343</v>
      </c>
      <c r="H34" s="115" t="n">
        <f aca="false">G34*(1+Assumptions!$N$52)</f>
        <v>138.776329</v>
      </c>
      <c r="I34" s="115" t="n">
        <f aca="false">H34*(1+Assumptions!$N$52)</f>
        <v>142.93961887</v>
      </c>
      <c r="J34" s="115" t="n">
        <f aca="false">I34*(1+Assumptions!$N$52)</f>
        <v>147.2278074361</v>
      </c>
      <c r="K34" s="115" t="n">
        <f aca="false">J34*(1+Assumptions!$N$52)</f>
        <v>151.644641659183</v>
      </c>
      <c r="L34" s="115" t="n">
        <f aca="false">K34*(1+Assumptions!$N$52)</f>
        <v>156.193980908959</v>
      </c>
      <c r="M34" s="115" t="n">
        <f aca="false">L34*(1+Assumptions!$N$52)</f>
        <v>160.879800336227</v>
      </c>
      <c r="N34" s="115" t="n">
        <f aca="false">M34*(1+Assumptions!$N$52)</f>
        <v>165.706194346314</v>
      </c>
      <c r="O34" s="115" t="n">
        <f aca="false">N34*(1+Assumptions!$N$52)</f>
        <v>170.677380176704</v>
      </c>
      <c r="P34" s="115" t="n">
        <f aca="false">O34*(1+Assumptions!$N$52)</f>
        <v>175.797701582005</v>
      </c>
      <c r="Q34" s="115" t="n">
        <f aca="false">P34*(1+Assumptions!$N$52)</f>
        <v>181.071632629465</v>
      </c>
      <c r="R34" s="115" t="n">
        <f aca="false">Q34*(1+Assumptions!$N$52)</f>
        <v>186.503781608349</v>
      </c>
      <c r="S34" s="115" t="n">
        <f aca="false">R34*(1+Assumptions!$N$52)</f>
        <v>192.098895056599</v>
      </c>
      <c r="T34" s="115" t="n">
        <f aca="false">S34*(1+Assumptions!$N$52)</f>
        <v>197.861861908297</v>
      </c>
      <c r="U34" s="115" t="n">
        <f aca="false">T34*(1+Assumptions!$N$52)</f>
        <v>203.797717765546</v>
      </c>
      <c r="V34" s="115" t="n">
        <f aca="false">U34*(1+Assumptions!$N$52)</f>
        <v>209.911649298513</v>
      </c>
      <c r="W34" s="115" t="n">
        <f aca="false">V34*(1+Assumptions!$N$52)</f>
        <v>216.208998777468</v>
      </c>
      <c r="X34" s="115" t="n">
        <f aca="false">W34*(1+Assumptions!$N$52)</f>
        <v>222.695268740792</v>
      </c>
      <c r="Y34" s="115" t="n">
        <f aca="false">X34*(1+Assumptions!$N$52)</f>
        <v>229.376126803016</v>
      </c>
      <c r="Z34" s="115" t="n">
        <f aca="false">Y34*(1+Assumptions!$N$52)</f>
        <v>236.257410607106</v>
      </c>
    </row>
    <row r="35" customFormat="false" ht="12.75" hidden="false" customHeight="false" outlineLevel="0" collapsed="false">
      <c r="A35" s="327" t="s">
        <v>287</v>
      </c>
      <c r="B35" s="70"/>
      <c r="C35" s="70"/>
      <c r="D35" s="0"/>
      <c r="E35" s="375" t="n">
        <f aca="false">Assumptions!$N66*Assumptions!N53/12</f>
        <v>0</v>
      </c>
      <c r="F35" s="375" t="n">
        <f aca="false">Assumptions!$N66*(1+Assumptions!$L$52)*$F$1/12</f>
        <v>206</v>
      </c>
      <c r="G35" s="375" t="n">
        <f aca="false">F35*(1+Assumptions!$N$52)</f>
        <v>212.18</v>
      </c>
      <c r="H35" s="375" t="n">
        <f aca="false">G35*(1+Assumptions!$N$52)</f>
        <v>218.5454</v>
      </c>
      <c r="I35" s="375" t="n">
        <f aca="false">H35*(1+Assumptions!$N$52)</f>
        <v>225.101762</v>
      </c>
      <c r="J35" s="375" t="n">
        <f aca="false">I35*(1+Assumptions!$N$52)</f>
        <v>231.85481486</v>
      </c>
      <c r="K35" s="375" t="n">
        <f aca="false">J35*(1+Assumptions!$N$52)</f>
        <v>238.8104593058</v>
      </c>
      <c r="L35" s="375" t="n">
        <f aca="false">K35*(1+Assumptions!$N$52)</f>
        <v>245.974773084974</v>
      </c>
      <c r="M35" s="375" t="n">
        <f aca="false">L35*(1+Assumptions!$N$52)</f>
        <v>253.354016277523</v>
      </c>
      <c r="N35" s="375" t="n">
        <f aca="false">M35*(1+Assumptions!$N$52)</f>
        <v>260.954636765849</v>
      </c>
      <c r="O35" s="375" t="n">
        <f aca="false">N35*(1+Assumptions!$N$52)</f>
        <v>268.783275868824</v>
      </c>
      <c r="P35" s="375" t="n">
        <f aca="false">O35*(1+Assumptions!$N$52)</f>
        <v>276.846774144889</v>
      </c>
      <c r="Q35" s="375" t="n">
        <f aca="false">P35*(1+Assumptions!$N$52)</f>
        <v>285.152177369236</v>
      </c>
      <c r="R35" s="375" t="n">
        <f aca="false">Q35*(1+Assumptions!$N$52)</f>
        <v>293.706742690313</v>
      </c>
      <c r="S35" s="375" t="n">
        <f aca="false">R35*(1+Assumptions!$N$52)</f>
        <v>302.517944971022</v>
      </c>
      <c r="T35" s="375" t="n">
        <f aca="false">S35*(1+Assumptions!$N$52)</f>
        <v>311.593483320153</v>
      </c>
      <c r="U35" s="375" t="n">
        <f aca="false">T35*(1+Assumptions!$N$52)</f>
        <v>320.941287819758</v>
      </c>
      <c r="V35" s="375" t="n">
        <f aca="false">U35*(1+Assumptions!$N$52)</f>
        <v>330.56952645435</v>
      </c>
      <c r="W35" s="375" t="n">
        <f aca="false">V35*(1+Assumptions!$N$52)</f>
        <v>340.486612247981</v>
      </c>
      <c r="X35" s="375" t="n">
        <f aca="false">W35*(1+Assumptions!$N$52)</f>
        <v>350.70121061542</v>
      </c>
      <c r="Y35" s="375" t="n">
        <f aca="false">X35*(1+Assumptions!$N$52)</f>
        <v>361.222246933883</v>
      </c>
      <c r="Z35" s="375" t="n">
        <f aca="false">Y35*(1+Assumptions!$N$52)</f>
        <v>372.058914341899</v>
      </c>
    </row>
    <row r="36" customFormat="false" ht="12.75" hidden="false" customHeight="false" outlineLevel="0" collapsed="false">
      <c r="A36" s="327" t="s">
        <v>288</v>
      </c>
      <c r="B36" s="70"/>
      <c r="C36" s="70"/>
      <c r="D36" s="0"/>
      <c r="E36" s="115" t="n">
        <f aca="false">SUM(E24:E35)</f>
        <v>0</v>
      </c>
      <c r="F36" s="115" t="n">
        <f aca="false">SUM(F24:F35)</f>
        <v>4929.64495400664</v>
      </c>
      <c r="G36" s="115" t="n">
        <f aca="false">SUM(G24:G35)</f>
        <v>4912.9952551548</v>
      </c>
      <c r="H36" s="417" t="n">
        <f aca="false">SUM(H24:H35)</f>
        <v>5018.66485699917</v>
      </c>
      <c r="I36" s="115" t="n">
        <f aca="false">SUM(I24:I35)</f>
        <v>5530.40744709288</v>
      </c>
      <c r="J36" s="115" t="n">
        <f aca="false">SUM(J24:J35)</f>
        <v>5657.12287199513</v>
      </c>
      <c r="K36" s="115" t="n">
        <f aca="false">SUM(K24:K35)</f>
        <v>5788.03967164713</v>
      </c>
      <c r="L36" s="115" t="n">
        <f aca="false">SUM(L24:L35)</f>
        <v>5916.61868724663</v>
      </c>
      <c r="M36" s="115" t="n">
        <f aca="false">SUM(M24:M35)</f>
        <v>6049.65494131814</v>
      </c>
      <c r="N36" s="115" t="n">
        <f aca="false">SUM(N24:N35)</f>
        <v>6187.28215101582</v>
      </c>
      <c r="O36" s="115" t="n">
        <f aca="false">SUM(O24:O35)</f>
        <v>6322.97284496371</v>
      </c>
      <c r="P36" s="115" t="n">
        <f aca="false">SUM(P24:P35)</f>
        <v>7068.20604851521</v>
      </c>
      <c r="Q36" s="115" t="n">
        <f aca="false">SUM(Q24:Q35)</f>
        <v>7153.54081232192</v>
      </c>
      <c r="R36" s="115" t="n">
        <f aca="false">SUM(R24:R35)</f>
        <v>7237.46455700932</v>
      </c>
      <c r="S36" s="115" t="n">
        <f aca="false">SUM(S24:S35)</f>
        <v>7323.04117138746</v>
      </c>
      <c r="T36" s="115" t="n">
        <f aca="false">SUM(T24:T35)</f>
        <v>7414.06783265188</v>
      </c>
      <c r="U36" s="115" t="n">
        <f aca="false">SUM(U24:U35)</f>
        <v>7481.93932053083</v>
      </c>
      <c r="V36" s="115" t="n">
        <f aca="false">SUM(V24:V35)</f>
        <v>7530.98859563629</v>
      </c>
      <c r="W36" s="115" t="n">
        <f aca="false">SUM(W24:W35)</f>
        <v>7580.25721714128</v>
      </c>
      <c r="X36" s="115" t="n">
        <f aca="false">SUM(X24:X35)</f>
        <v>7716.98004336422</v>
      </c>
      <c r="Y36" s="115" t="n">
        <f aca="false">SUM(Y24:Y35)</f>
        <v>7907.28727256672</v>
      </c>
      <c r="Z36" s="115" t="n">
        <f aca="false">SUM(Z24:Z35)</f>
        <v>7822.12255003089</v>
      </c>
    </row>
    <row r="37" customFormat="false" ht="9" hidden="false" customHeight="false" outlineLevel="1" collapsed="false">
      <c r="A37" s="337"/>
      <c r="B37" s="654"/>
      <c r="C37" s="654"/>
      <c r="D37" s="655"/>
      <c r="E37" s="655"/>
      <c r="F37" s="656"/>
      <c r="G37" s="656"/>
      <c r="H37" s="656"/>
      <c r="I37" s="656"/>
      <c r="J37" s="656"/>
      <c r="K37" s="656"/>
      <c r="L37" s="656"/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3"/>
      <c r="AB37" s="653"/>
      <c r="AC37" s="653"/>
      <c r="AD37" s="653"/>
      <c r="AE37" s="653"/>
      <c r="AF37" s="653"/>
      <c r="AG37" s="653"/>
      <c r="AH37" s="653"/>
      <c r="AI37" s="653"/>
      <c r="AJ37" s="653"/>
      <c r="AK37" s="653"/>
      <c r="AL37" s="653"/>
      <c r="AM37" s="653"/>
      <c r="AN37" s="653"/>
      <c r="AO37" s="653"/>
      <c r="AP37" s="653"/>
      <c r="AQ37" s="653"/>
      <c r="AR37" s="653"/>
      <c r="AS37" s="653"/>
      <c r="AT37" s="653"/>
      <c r="AU37" s="653"/>
      <c r="AV37" s="653"/>
      <c r="AW37" s="653"/>
      <c r="AX37" s="653"/>
      <c r="AY37" s="653"/>
      <c r="AZ37" s="653"/>
      <c r="BA37" s="653"/>
      <c r="BB37" s="653"/>
      <c r="BC37" s="653"/>
      <c r="BD37" s="653"/>
      <c r="BE37" s="653"/>
      <c r="BF37" s="653"/>
      <c r="BG37" s="653"/>
      <c r="BH37" s="653"/>
      <c r="BI37" s="653"/>
      <c r="BJ37" s="653"/>
      <c r="BK37" s="653"/>
      <c r="BL37" s="653"/>
      <c r="BM37" s="653"/>
      <c r="BN37" s="653"/>
      <c r="BO37" s="653"/>
      <c r="BP37" s="653"/>
      <c r="BQ37" s="653"/>
      <c r="BR37" s="653"/>
      <c r="BS37" s="653"/>
      <c r="BT37" s="653"/>
      <c r="BU37" s="653"/>
      <c r="BV37" s="653"/>
      <c r="BW37" s="653"/>
      <c r="BX37" s="653"/>
      <c r="BY37" s="653"/>
      <c r="BZ37" s="653"/>
      <c r="CA37" s="653"/>
      <c r="CB37" s="653"/>
      <c r="CC37" s="653"/>
      <c r="CD37" s="653"/>
      <c r="CE37" s="653"/>
      <c r="CF37" s="653"/>
      <c r="CG37" s="653"/>
      <c r="CH37" s="653"/>
      <c r="CI37" s="653"/>
      <c r="CJ37" s="653"/>
      <c r="CK37" s="653"/>
      <c r="CL37" s="653"/>
      <c r="CM37" s="653"/>
      <c r="CN37" s="653"/>
      <c r="CO37" s="653"/>
      <c r="CP37" s="653"/>
      <c r="CQ37" s="653"/>
      <c r="CR37" s="653"/>
      <c r="CS37" s="653"/>
      <c r="CT37" s="653"/>
      <c r="CU37" s="653"/>
      <c r="CV37" s="653"/>
      <c r="CW37" s="653"/>
      <c r="CX37" s="653"/>
      <c r="CY37" s="653"/>
      <c r="CZ37" s="653"/>
      <c r="DA37" s="653"/>
      <c r="DB37" s="653"/>
      <c r="DC37" s="653"/>
      <c r="DD37" s="653"/>
      <c r="DE37" s="653"/>
      <c r="DF37" s="653"/>
      <c r="DG37" s="653"/>
      <c r="DH37" s="653"/>
      <c r="DI37" s="653"/>
      <c r="DJ37" s="653"/>
      <c r="DK37" s="653"/>
      <c r="DL37" s="653"/>
      <c r="DM37" s="653"/>
      <c r="DN37" s="653"/>
      <c r="DO37" s="653"/>
      <c r="DP37" s="653"/>
      <c r="DQ37" s="653"/>
      <c r="DR37" s="653"/>
      <c r="DS37" s="653"/>
      <c r="DT37" s="653"/>
      <c r="DU37" s="653"/>
      <c r="DV37" s="653"/>
      <c r="DW37" s="653"/>
      <c r="DX37" s="653"/>
      <c r="DY37" s="653"/>
      <c r="DZ37" s="653"/>
      <c r="EA37" s="653"/>
      <c r="EB37" s="653"/>
      <c r="EC37" s="653"/>
      <c r="ED37" s="653"/>
      <c r="EE37" s="653"/>
      <c r="EF37" s="653"/>
      <c r="EG37" s="653"/>
      <c r="EH37" s="653"/>
      <c r="EI37" s="653"/>
      <c r="EJ37" s="653"/>
      <c r="EK37" s="653"/>
      <c r="EL37" s="653"/>
      <c r="EM37" s="653"/>
      <c r="EN37" s="653"/>
      <c r="EO37" s="653"/>
      <c r="EP37" s="653"/>
      <c r="EQ37" s="653"/>
      <c r="ER37" s="653"/>
      <c r="ES37" s="653"/>
      <c r="ET37" s="653"/>
      <c r="EU37" s="653"/>
      <c r="EV37" s="653"/>
      <c r="EW37" s="653"/>
      <c r="EX37" s="653"/>
      <c r="EY37" s="653"/>
      <c r="EZ37" s="653"/>
      <c r="FA37" s="653"/>
      <c r="FB37" s="653"/>
      <c r="FC37" s="653"/>
      <c r="FD37" s="653"/>
      <c r="FE37" s="653"/>
      <c r="FF37" s="653"/>
      <c r="FG37" s="653"/>
      <c r="FH37" s="653"/>
      <c r="FI37" s="653"/>
      <c r="FJ37" s="653"/>
      <c r="FK37" s="653"/>
      <c r="FL37" s="653"/>
      <c r="FM37" s="653"/>
      <c r="FN37" s="653"/>
      <c r="FO37" s="653"/>
      <c r="FP37" s="653"/>
      <c r="FQ37" s="653"/>
      <c r="FR37" s="653"/>
      <c r="FS37" s="653"/>
      <c r="FT37" s="653"/>
      <c r="FU37" s="653"/>
      <c r="FV37" s="653"/>
      <c r="FW37" s="653"/>
      <c r="FX37" s="653"/>
      <c r="FY37" s="653"/>
      <c r="FZ37" s="653"/>
      <c r="GA37" s="653"/>
      <c r="GB37" s="653"/>
      <c r="GC37" s="653"/>
      <c r="GD37" s="653"/>
      <c r="GE37" s="653"/>
      <c r="GF37" s="653"/>
      <c r="GG37" s="653"/>
      <c r="GH37" s="653"/>
      <c r="GI37" s="653"/>
      <c r="GJ37" s="653"/>
      <c r="GK37" s="653"/>
      <c r="GL37" s="653"/>
      <c r="GM37" s="653"/>
      <c r="GN37" s="653"/>
      <c r="GO37" s="653"/>
      <c r="GP37" s="653"/>
      <c r="GQ37" s="653"/>
      <c r="GR37" s="653"/>
      <c r="GS37" s="653"/>
      <c r="GT37" s="653"/>
      <c r="GU37" s="653"/>
      <c r="GV37" s="653"/>
      <c r="GW37" s="653"/>
      <c r="GX37" s="653"/>
      <c r="GY37" s="653"/>
      <c r="GZ37" s="653"/>
      <c r="HA37" s="653"/>
      <c r="HB37" s="653"/>
      <c r="HC37" s="653"/>
      <c r="HD37" s="653"/>
      <c r="HE37" s="653"/>
      <c r="HF37" s="653"/>
      <c r="HG37" s="653"/>
      <c r="HH37" s="653"/>
      <c r="HI37" s="653"/>
      <c r="HJ37" s="653"/>
      <c r="HK37" s="653"/>
      <c r="HL37" s="653"/>
      <c r="HM37" s="653"/>
      <c r="HN37" s="653"/>
      <c r="HO37" s="653"/>
      <c r="HP37" s="653"/>
      <c r="HQ37" s="653"/>
      <c r="HR37" s="653"/>
      <c r="HS37" s="653"/>
      <c r="HT37" s="653"/>
      <c r="HU37" s="653"/>
      <c r="HV37" s="653"/>
      <c r="HW37" s="653"/>
      <c r="HX37" s="653"/>
      <c r="HY37" s="653"/>
      <c r="HZ37" s="653"/>
      <c r="IA37" s="653"/>
      <c r="IB37" s="653"/>
      <c r="IC37" s="653"/>
      <c r="ID37" s="653"/>
      <c r="IE37" s="653"/>
      <c r="IF37" s="653"/>
      <c r="IG37" s="653"/>
      <c r="IH37" s="653"/>
      <c r="II37" s="653"/>
      <c r="IJ37" s="653"/>
      <c r="IK37" s="653"/>
      <c r="IL37" s="653"/>
      <c r="IM37" s="653"/>
      <c r="IN37" s="653"/>
      <c r="IO37" s="653"/>
      <c r="IP37" s="653"/>
      <c r="IQ37" s="653"/>
      <c r="IR37" s="653"/>
      <c r="IS37" s="653"/>
      <c r="IT37" s="653"/>
      <c r="IU37" s="653"/>
      <c r="IV37" s="653"/>
      <c r="IW37" s="653"/>
    </row>
    <row r="38" customFormat="false" ht="6.75" hidden="false" customHeight="true" outlineLevel="0" collapsed="false">
      <c r="A38" s="337"/>
      <c r="B38" s="331"/>
      <c r="C38" s="331"/>
      <c r="D38" s="655"/>
      <c r="E38" s="655"/>
      <c r="F38" s="656"/>
      <c r="G38" s="656"/>
      <c r="H38" s="656"/>
      <c r="I38" s="656"/>
      <c r="J38" s="656"/>
      <c r="K38" s="656"/>
      <c r="L38" s="656"/>
      <c r="M38" s="656"/>
      <c r="N38" s="656"/>
      <c r="O38" s="656"/>
      <c r="P38" s="656"/>
      <c r="Q38" s="656"/>
      <c r="R38" s="656"/>
      <c r="S38" s="656"/>
      <c r="T38" s="656"/>
      <c r="U38" s="656"/>
      <c r="V38" s="656"/>
      <c r="W38" s="656"/>
      <c r="X38" s="656"/>
      <c r="Y38" s="656"/>
      <c r="Z38" s="656"/>
      <c r="AA38" s="653"/>
      <c r="AB38" s="653"/>
      <c r="AC38" s="653"/>
      <c r="AD38" s="653"/>
      <c r="AE38" s="653"/>
      <c r="AF38" s="653"/>
      <c r="AG38" s="653"/>
      <c r="AH38" s="653"/>
      <c r="AI38" s="653"/>
      <c r="AJ38" s="653"/>
      <c r="AK38" s="653"/>
      <c r="AL38" s="653"/>
      <c r="AM38" s="653"/>
      <c r="AN38" s="653"/>
      <c r="AO38" s="653"/>
      <c r="AP38" s="653"/>
      <c r="AQ38" s="653"/>
      <c r="AR38" s="653"/>
      <c r="AS38" s="653"/>
      <c r="AT38" s="653"/>
      <c r="AU38" s="653"/>
      <c r="AV38" s="653"/>
      <c r="AW38" s="653"/>
      <c r="AX38" s="653"/>
      <c r="AY38" s="653"/>
      <c r="AZ38" s="653"/>
      <c r="BA38" s="653"/>
      <c r="BB38" s="653"/>
      <c r="BC38" s="653"/>
      <c r="BD38" s="653"/>
      <c r="BE38" s="653"/>
      <c r="BF38" s="653"/>
      <c r="BG38" s="653"/>
      <c r="BH38" s="653"/>
      <c r="BI38" s="653"/>
      <c r="BJ38" s="653"/>
      <c r="BK38" s="653"/>
      <c r="BL38" s="653"/>
      <c r="BM38" s="653"/>
      <c r="BN38" s="653"/>
      <c r="BO38" s="653"/>
      <c r="BP38" s="653"/>
      <c r="BQ38" s="653"/>
      <c r="BR38" s="653"/>
      <c r="BS38" s="653"/>
      <c r="BT38" s="653"/>
      <c r="BU38" s="653"/>
      <c r="BV38" s="653"/>
      <c r="BW38" s="653"/>
      <c r="BX38" s="653"/>
      <c r="BY38" s="653"/>
      <c r="BZ38" s="653"/>
      <c r="CA38" s="653"/>
      <c r="CB38" s="653"/>
      <c r="CC38" s="653"/>
      <c r="CD38" s="653"/>
      <c r="CE38" s="653"/>
      <c r="CF38" s="653"/>
      <c r="CG38" s="653"/>
      <c r="CH38" s="653"/>
      <c r="CI38" s="653"/>
      <c r="CJ38" s="653"/>
      <c r="CK38" s="653"/>
      <c r="CL38" s="653"/>
      <c r="CM38" s="653"/>
      <c r="CN38" s="653"/>
      <c r="CO38" s="653"/>
      <c r="CP38" s="653"/>
      <c r="CQ38" s="653"/>
      <c r="CR38" s="653"/>
      <c r="CS38" s="653"/>
      <c r="CT38" s="653"/>
      <c r="CU38" s="653"/>
      <c r="CV38" s="653"/>
      <c r="CW38" s="653"/>
      <c r="CX38" s="653"/>
      <c r="CY38" s="653"/>
      <c r="CZ38" s="653"/>
      <c r="DA38" s="653"/>
      <c r="DB38" s="653"/>
      <c r="DC38" s="653"/>
      <c r="DD38" s="653"/>
      <c r="DE38" s="653"/>
      <c r="DF38" s="653"/>
      <c r="DG38" s="653"/>
      <c r="DH38" s="653"/>
      <c r="DI38" s="653"/>
      <c r="DJ38" s="653"/>
      <c r="DK38" s="653"/>
      <c r="DL38" s="653"/>
      <c r="DM38" s="653"/>
      <c r="DN38" s="653"/>
      <c r="DO38" s="653"/>
      <c r="DP38" s="653"/>
      <c r="DQ38" s="653"/>
      <c r="DR38" s="653"/>
      <c r="DS38" s="653"/>
      <c r="DT38" s="653"/>
      <c r="DU38" s="653"/>
      <c r="DV38" s="653"/>
      <c r="DW38" s="653"/>
      <c r="DX38" s="653"/>
      <c r="DY38" s="653"/>
      <c r="DZ38" s="653"/>
      <c r="EA38" s="653"/>
      <c r="EB38" s="653"/>
      <c r="EC38" s="653"/>
      <c r="ED38" s="653"/>
      <c r="EE38" s="653"/>
      <c r="EF38" s="653"/>
      <c r="EG38" s="653"/>
      <c r="EH38" s="653"/>
      <c r="EI38" s="653"/>
      <c r="EJ38" s="653"/>
      <c r="EK38" s="653"/>
      <c r="EL38" s="653"/>
      <c r="EM38" s="653"/>
      <c r="EN38" s="653"/>
      <c r="EO38" s="653"/>
      <c r="EP38" s="653"/>
      <c r="EQ38" s="653"/>
      <c r="ER38" s="653"/>
      <c r="ES38" s="653"/>
      <c r="ET38" s="653"/>
      <c r="EU38" s="653"/>
      <c r="EV38" s="653"/>
      <c r="EW38" s="653"/>
      <c r="EX38" s="653"/>
      <c r="EY38" s="653"/>
      <c r="EZ38" s="653"/>
      <c r="FA38" s="653"/>
      <c r="FB38" s="653"/>
      <c r="FC38" s="653"/>
      <c r="FD38" s="653"/>
      <c r="FE38" s="653"/>
      <c r="FF38" s="653"/>
      <c r="FG38" s="653"/>
      <c r="FH38" s="653"/>
      <c r="FI38" s="653"/>
      <c r="FJ38" s="653"/>
      <c r="FK38" s="653"/>
      <c r="FL38" s="653"/>
      <c r="FM38" s="653"/>
      <c r="FN38" s="653"/>
      <c r="FO38" s="653"/>
      <c r="FP38" s="653"/>
      <c r="FQ38" s="653"/>
      <c r="FR38" s="653"/>
      <c r="FS38" s="653"/>
      <c r="FT38" s="653"/>
      <c r="FU38" s="653"/>
      <c r="FV38" s="653"/>
      <c r="FW38" s="653"/>
      <c r="FX38" s="653"/>
      <c r="FY38" s="653"/>
      <c r="FZ38" s="653"/>
      <c r="GA38" s="653"/>
      <c r="GB38" s="653"/>
      <c r="GC38" s="653"/>
      <c r="GD38" s="653"/>
      <c r="GE38" s="653"/>
      <c r="GF38" s="653"/>
      <c r="GG38" s="653"/>
      <c r="GH38" s="653"/>
      <c r="GI38" s="653"/>
      <c r="GJ38" s="653"/>
      <c r="GK38" s="653"/>
      <c r="GL38" s="653"/>
      <c r="GM38" s="653"/>
      <c r="GN38" s="653"/>
      <c r="GO38" s="653"/>
      <c r="GP38" s="653"/>
      <c r="GQ38" s="653"/>
      <c r="GR38" s="653"/>
      <c r="GS38" s="653"/>
      <c r="GT38" s="653"/>
      <c r="GU38" s="653"/>
      <c r="GV38" s="653"/>
      <c r="GW38" s="653"/>
      <c r="GX38" s="653"/>
      <c r="GY38" s="653"/>
      <c r="GZ38" s="653"/>
      <c r="HA38" s="653"/>
      <c r="HB38" s="653"/>
      <c r="HC38" s="653"/>
      <c r="HD38" s="653"/>
      <c r="HE38" s="653"/>
      <c r="HF38" s="653"/>
      <c r="HG38" s="653"/>
      <c r="HH38" s="653"/>
      <c r="HI38" s="653"/>
      <c r="HJ38" s="653"/>
      <c r="HK38" s="653"/>
      <c r="HL38" s="653"/>
      <c r="HM38" s="653"/>
      <c r="HN38" s="653"/>
      <c r="HO38" s="653"/>
      <c r="HP38" s="653"/>
      <c r="HQ38" s="653"/>
      <c r="HR38" s="653"/>
      <c r="HS38" s="653"/>
      <c r="HT38" s="653"/>
      <c r="HU38" s="653"/>
      <c r="HV38" s="653"/>
      <c r="HW38" s="653"/>
      <c r="HX38" s="653"/>
      <c r="HY38" s="653"/>
      <c r="HZ38" s="653"/>
      <c r="IA38" s="653"/>
      <c r="IB38" s="653"/>
      <c r="IC38" s="653"/>
      <c r="ID38" s="653"/>
      <c r="IE38" s="653"/>
      <c r="IF38" s="653"/>
      <c r="IG38" s="653"/>
      <c r="IH38" s="653"/>
      <c r="II38" s="653"/>
      <c r="IJ38" s="653"/>
      <c r="IK38" s="653"/>
      <c r="IL38" s="653"/>
      <c r="IM38" s="653"/>
      <c r="IN38" s="653"/>
      <c r="IO38" s="653"/>
      <c r="IP38" s="653"/>
      <c r="IQ38" s="653"/>
      <c r="IR38" s="653"/>
      <c r="IS38" s="653"/>
      <c r="IT38" s="653"/>
      <c r="IU38" s="653"/>
      <c r="IV38" s="653"/>
      <c r="IW38" s="653"/>
    </row>
    <row r="39" customFormat="false" ht="12.75" hidden="false" customHeight="false" outlineLevel="0" collapsed="false">
      <c r="A39" s="323" t="s">
        <v>289</v>
      </c>
      <c r="B39" s="323"/>
      <c r="C39" s="323"/>
      <c r="D39" s="422"/>
      <c r="E39" s="422" t="n">
        <f aca="false">E20-E36</f>
        <v>0</v>
      </c>
      <c r="F39" s="422" t="n">
        <f aca="false">F20-F36</f>
        <v>15022.6741460959</v>
      </c>
      <c r="G39" s="422" t="n">
        <f aca="false">G20-G36</f>
        <v>15346.7470517847</v>
      </c>
      <c r="H39" s="657" t="n">
        <f aca="false">H20-H36</f>
        <v>15296.8092223461</v>
      </c>
      <c r="I39" s="422" t="n">
        <f aca="false">I20-I36</f>
        <v>24068.5168715566</v>
      </c>
      <c r="J39" s="422" t="n">
        <f aca="false">J20-J36</f>
        <v>24330.479337945</v>
      </c>
      <c r="K39" s="422" t="n">
        <f aca="false">K20-K36</f>
        <v>24584.910579546</v>
      </c>
      <c r="L39" s="422" t="n">
        <f aca="false">L20-L36</f>
        <v>24837.8836190247</v>
      </c>
      <c r="M39" s="422" t="n">
        <f aca="false">M20-M36</f>
        <v>25627.7646772724</v>
      </c>
      <c r="N39" s="422" t="n">
        <f aca="false">N20-N36</f>
        <v>25878.536101764</v>
      </c>
      <c r="O39" s="422" t="n">
        <f aca="false">O20-O36</f>
        <v>26705.170516831</v>
      </c>
      <c r="P39" s="422" t="n">
        <f aca="false">P20-P36</f>
        <v>26347.1271782774</v>
      </c>
      <c r="Q39" s="422" t="n">
        <f aca="false">Q20-Q36</f>
        <v>27265.5627682943</v>
      </c>
      <c r="R39" s="422" t="n">
        <f aca="false">R20-R36</f>
        <v>27582.8125374573</v>
      </c>
      <c r="S39" s="422" t="n">
        <f aca="false">S20-S36</f>
        <v>27891.4726652124</v>
      </c>
      <c r="T39" s="422" t="n">
        <f aca="false">T20-T36</f>
        <v>28186.9215426936</v>
      </c>
      <c r="U39" s="422" t="n">
        <f aca="false">U20-U36</f>
        <v>28497.3045949531</v>
      </c>
      <c r="V39" s="422" t="n">
        <f aca="false">V20-V36</f>
        <v>28817.3752210402</v>
      </c>
      <c r="W39" s="422" t="n">
        <f aca="false">W20-W36</f>
        <v>29126.9504546553</v>
      </c>
      <c r="X39" s="422" t="n">
        <f aca="false">X20-X36</f>
        <v>29336.7558437812</v>
      </c>
      <c r="Y39" s="422" t="n">
        <f aca="false">Y20-Y36</f>
        <v>29480.0877012036</v>
      </c>
      <c r="Z39" s="422" t="n">
        <f aca="false">Z20-Z36</f>
        <v>29889.0690131275</v>
      </c>
      <c r="AA39" s="395"/>
      <c r="AB39" s="395"/>
      <c r="AC39" s="395"/>
      <c r="AD39" s="395"/>
      <c r="AE39" s="395"/>
      <c r="AF39" s="395"/>
      <c r="AG39" s="395"/>
      <c r="AH39" s="395"/>
      <c r="AI39" s="395"/>
      <c r="AJ39" s="395"/>
      <c r="AK39" s="395"/>
      <c r="AL39" s="395"/>
      <c r="AM39" s="395"/>
      <c r="AN39" s="395"/>
      <c r="AO39" s="395"/>
      <c r="AP39" s="395"/>
      <c r="AQ39" s="395"/>
      <c r="AR39" s="395"/>
      <c r="AS39" s="395"/>
      <c r="AT39" s="395"/>
      <c r="AU39" s="395"/>
      <c r="AV39" s="395"/>
      <c r="AW39" s="395"/>
      <c r="AX39" s="395"/>
      <c r="AY39" s="395"/>
      <c r="AZ39" s="395"/>
      <c r="BA39" s="395"/>
      <c r="BB39" s="395"/>
      <c r="BC39" s="395"/>
      <c r="BD39" s="395"/>
      <c r="BE39" s="395"/>
      <c r="BF39" s="395"/>
      <c r="BG39" s="395"/>
      <c r="BH39" s="395"/>
      <c r="BI39" s="395"/>
      <c r="BJ39" s="395"/>
      <c r="BK39" s="395"/>
      <c r="BL39" s="395"/>
      <c r="BM39" s="395"/>
      <c r="BN39" s="395"/>
      <c r="BO39" s="395"/>
      <c r="BP39" s="395"/>
      <c r="BQ39" s="395"/>
      <c r="BR39" s="395"/>
      <c r="BS39" s="395"/>
      <c r="BT39" s="395"/>
      <c r="BU39" s="395"/>
      <c r="BV39" s="395"/>
      <c r="BW39" s="395"/>
      <c r="BX39" s="395"/>
      <c r="BY39" s="395"/>
      <c r="BZ39" s="395"/>
      <c r="CA39" s="395"/>
      <c r="CB39" s="395"/>
      <c r="CC39" s="395"/>
      <c r="CD39" s="395"/>
      <c r="CE39" s="395"/>
      <c r="CF39" s="395"/>
      <c r="CG39" s="395"/>
      <c r="CH39" s="395"/>
      <c r="CI39" s="395"/>
      <c r="CJ39" s="395"/>
      <c r="CK39" s="395"/>
      <c r="CL39" s="395"/>
      <c r="CM39" s="395"/>
      <c r="CN39" s="395"/>
      <c r="CO39" s="395"/>
      <c r="CP39" s="395"/>
      <c r="CQ39" s="395"/>
      <c r="CR39" s="395"/>
      <c r="CS39" s="395"/>
      <c r="CT39" s="395"/>
      <c r="CU39" s="395"/>
      <c r="CV39" s="395"/>
      <c r="CW39" s="395"/>
      <c r="CX39" s="395"/>
      <c r="CY39" s="395"/>
      <c r="CZ39" s="395"/>
      <c r="DA39" s="395"/>
      <c r="DB39" s="395"/>
      <c r="DC39" s="395"/>
      <c r="DD39" s="395"/>
      <c r="DE39" s="395"/>
      <c r="DF39" s="395"/>
      <c r="DG39" s="395"/>
      <c r="DH39" s="395"/>
      <c r="DI39" s="395"/>
      <c r="DJ39" s="395"/>
      <c r="DK39" s="395"/>
      <c r="DL39" s="395"/>
      <c r="DM39" s="395"/>
      <c r="DN39" s="395"/>
      <c r="DO39" s="395"/>
      <c r="DP39" s="395"/>
      <c r="DQ39" s="395"/>
      <c r="DR39" s="395"/>
      <c r="DS39" s="395"/>
      <c r="DT39" s="395"/>
      <c r="DU39" s="395"/>
      <c r="DV39" s="395"/>
      <c r="DW39" s="395"/>
      <c r="DX39" s="395"/>
      <c r="DY39" s="395"/>
      <c r="DZ39" s="395"/>
      <c r="EA39" s="395"/>
      <c r="EB39" s="395"/>
      <c r="EC39" s="395"/>
      <c r="ED39" s="395"/>
      <c r="EE39" s="395"/>
      <c r="EF39" s="395"/>
      <c r="EG39" s="395"/>
      <c r="EH39" s="395"/>
      <c r="EI39" s="395"/>
      <c r="EJ39" s="395"/>
      <c r="EK39" s="395"/>
      <c r="EL39" s="395"/>
      <c r="EM39" s="395"/>
      <c r="EN39" s="395"/>
      <c r="EO39" s="395"/>
      <c r="EP39" s="395"/>
      <c r="EQ39" s="395"/>
      <c r="ER39" s="395"/>
      <c r="ES39" s="395"/>
      <c r="ET39" s="395"/>
      <c r="EU39" s="395"/>
      <c r="EV39" s="395"/>
      <c r="EW39" s="395"/>
      <c r="EX39" s="395"/>
      <c r="EY39" s="395"/>
      <c r="EZ39" s="395"/>
      <c r="FA39" s="395"/>
      <c r="FB39" s="395"/>
      <c r="FC39" s="395"/>
      <c r="FD39" s="395"/>
      <c r="FE39" s="395"/>
      <c r="FF39" s="395"/>
      <c r="FG39" s="395"/>
      <c r="FH39" s="395"/>
      <c r="FI39" s="395"/>
      <c r="FJ39" s="395"/>
      <c r="FK39" s="395"/>
      <c r="FL39" s="395"/>
      <c r="FM39" s="395"/>
      <c r="FN39" s="395"/>
      <c r="FO39" s="395"/>
      <c r="FP39" s="395"/>
      <c r="FQ39" s="395"/>
      <c r="FR39" s="395"/>
      <c r="FS39" s="395"/>
      <c r="FT39" s="395"/>
      <c r="FU39" s="395"/>
      <c r="FV39" s="395"/>
      <c r="FW39" s="395"/>
      <c r="FX39" s="395"/>
      <c r="FY39" s="395"/>
      <c r="FZ39" s="395"/>
      <c r="GA39" s="395"/>
      <c r="GB39" s="395"/>
      <c r="GC39" s="395"/>
      <c r="GD39" s="395"/>
      <c r="GE39" s="395"/>
      <c r="GF39" s="395"/>
      <c r="GG39" s="395"/>
      <c r="GH39" s="395"/>
      <c r="GI39" s="395"/>
      <c r="GJ39" s="395"/>
      <c r="GK39" s="395"/>
      <c r="GL39" s="395"/>
      <c r="GM39" s="395"/>
      <c r="GN39" s="395"/>
      <c r="GO39" s="395"/>
      <c r="GP39" s="395"/>
      <c r="GQ39" s="395"/>
      <c r="GR39" s="395"/>
      <c r="GS39" s="395"/>
      <c r="GT39" s="395"/>
      <c r="GU39" s="395"/>
      <c r="GV39" s="395"/>
      <c r="GW39" s="395"/>
      <c r="GX39" s="395"/>
      <c r="GY39" s="395"/>
      <c r="GZ39" s="395"/>
      <c r="HA39" s="395"/>
      <c r="HB39" s="395"/>
      <c r="HC39" s="395"/>
      <c r="HD39" s="395"/>
      <c r="HE39" s="395"/>
      <c r="HF39" s="395"/>
      <c r="HG39" s="395"/>
      <c r="HH39" s="395"/>
      <c r="HI39" s="395"/>
      <c r="HJ39" s="395"/>
      <c r="HK39" s="395"/>
      <c r="HL39" s="395"/>
      <c r="HM39" s="395"/>
      <c r="HN39" s="395"/>
      <c r="HO39" s="395"/>
      <c r="HP39" s="395"/>
      <c r="HQ39" s="395"/>
      <c r="HR39" s="395"/>
      <c r="HS39" s="395"/>
      <c r="HT39" s="395"/>
      <c r="HU39" s="395"/>
      <c r="HV39" s="395"/>
      <c r="HW39" s="395"/>
      <c r="HX39" s="395"/>
      <c r="HY39" s="395"/>
      <c r="HZ39" s="395"/>
      <c r="IA39" s="395"/>
      <c r="IB39" s="395"/>
      <c r="IC39" s="395"/>
      <c r="ID39" s="395"/>
      <c r="IE39" s="395"/>
      <c r="IF39" s="395"/>
      <c r="IG39" s="395"/>
      <c r="IH39" s="395"/>
      <c r="II39" s="395"/>
      <c r="IJ39" s="395"/>
      <c r="IK39" s="395"/>
      <c r="IL39" s="395"/>
      <c r="IM39" s="395"/>
      <c r="IN39" s="395"/>
      <c r="IO39" s="395"/>
      <c r="IP39" s="395"/>
      <c r="IQ39" s="395"/>
      <c r="IR39" s="395"/>
      <c r="IS39" s="395"/>
      <c r="IT39" s="395"/>
      <c r="IU39" s="395"/>
      <c r="IV39" s="395"/>
      <c r="IW39" s="395"/>
    </row>
    <row r="40" customFormat="false" ht="12.75" hidden="false" customHeight="false" outlineLevel="0" collapsed="false">
      <c r="A40" s="323"/>
      <c r="B40" s="323"/>
      <c r="C40" s="323"/>
      <c r="D40" s="422"/>
      <c r="E40" s="422"/>
      <c r="F40" s="422"/>
      <c r="G40" s="422"/>
      <c r="H40" s="657"/>
      <c r="I40" s="422"/>
      <c r="J40" s="422"/>
      <c r="K40" s="422"/>
      <c r="L40" s="422"/>
      <c r="M40" s="422"/>
      <c r="N40" s="422"/>
      <c r="O40" s="422"/>
      <c r="P40" s="422"/>
      <c r="Q40" s="422"/>
      <c r="R40" s="422"/>
      <c r="S40" s="422"/>
      <c r="T40" s="422"/>
      <c r="U40" s="422"/>
      <c r="V40" s="422"/>
      <c r="W40" s="422"/>
      <c r="X40" s="422"/>
      <c r="Y40" s="422"/>
      <c r="Z40" s="422"/>
      <c r="AA40" s="395"/>
      <c r="AB40" s="395"/>
      <c r="AC40" s="395"/>
      <c r="AD40" s="395"/>
      <c r="AE40" s="395"/>
      <c r="AF40" s="395"/>
      <c r="AG40" s="395"/>
      <c r="AH40" s="395"/>
      <c r="AI40" s="395"/>
      <c r="AJ40" s="395"/>
      <c r="AK40" s="395"/>
      <c r="AL40" s="395"/>
      <c r="AM40" s="395"/>
      <c r="AN40" s="395"/>
      <c r="AO40" s="395"/>
      <c r="AP40" s="395"/>
      <c r="AQ40" s="395"/>
      <c r="AR40" s="395"/>
      <c r="AS40" s="395"/>
      <c r="AT40" s="395"/>
      <c r="AU40" s="395"/>
      <c r="AV40" s="395"/>
      <c r="AW40" s="395"/>
      <c r="AX40" s="395"/>
      <c r="AY40" s="395"/>
      <c r="AZ40" s="395"/>
      <c r="BA40" s="395"/>
      <c r="BB40" s="395"/>
      <c r="BC40" s="395"/>
      <c r="BD40" s="395"/>
      <c r="BE40" s="395"/>
      <c r="BF40" s="395"/>
      <c r="BG40" s="395"/>
      <c r="BH40" s="395"/>
      <c r="BI40" s="395"/>
      <c r="BJ40" s="395"/>
      <c r="BK40" s="395"/>
      <c r="BL40" s="395"/>
      <c r="BM40" s="395"/>
      <c r="BN40" s="395"/>
      <c r="BO40" s="395"/>
      <c r="BP40" s="395"/>
      <c r="BQ40" s="395"/>
      <c r="BR40" s="395"/>
      <c r="BS40" s="395"/>
      <c r="BT40" s="395"/>
      <c r="BU40" s="395"/>
      <c r="BV40" s="395"/>
      <c r="BW40" s="395"/>
      <c r="BX40" s="395"/>
      <c r="BY40" s="395"/>
      <c r="BZ40" s="395"/>
      <c r="CA40" s="395"/>
      <c r="CB40" s="395"/>
      <c r="CC40" s="395"/>
      <c r="CD40" s="395"/>
      <c r="CE40" s="395"/>
      <c r="CF40" s="395"/>
      <c r="CG40" s="395"/>
      <c r="CH40" s="395"/>
      <c r="CI40" s="395"/>
      <c r="CJ40" s="395"/>
      <c r="CK40" s="395"/>
      <c r="CL40" s="395"/>
      <c r="CM40" s="395"/>
      <c r="CN40" s="395"/>
      <c r="CO40" s="395"/>
      <c r="CP40" s="395"/>
      <c r="CQ40" s="395"/>
      <c r="CR40" s="395"/>
      <c r="CS40" s="395"/>
      <c r="CT40" s="395"/>
      <c r="CU40" s="395"/>
      <c r="CV40" s="395"/>
      <c r="CW40" s="395"/>
      <c r="CX40" s="395"/>
      <c r="CY40" s="395"/>
      <c r="CZ40" s="395"/>
      <c r="DA40" s="395"/>
      <c r="DB40" s="395"/>
      <c r="DC40" s="395"/>
      <c r="DD40" s="395"/>
      <c r="DE40" s="395"/>
      <c r="DF40" s="395"/>
      <c r="DG40" s="395"/>
      <c r="DH40" s="395"/>
      <c r="DI40" s="395"/>
      <c r="DJ40" s="395"/>
      <c r="DK40" s="395"/>
      <c r="DL40" s="395"/>
      <c r="DM40" s="395"/>
      <c r="DN40" s="395"/>
      <c r="DO40" s="395"/>
      <c r="DP40" s="395"/>
      <c r="DQ40" s="395"/>
      <c r="DR40" s="395"/>
      <c r="DS40" s="395"/>
      <c r="DT40" s="395"/>
      <c r="DU40" s="395"/>
      <c r="DV40" s="395"/>
      <c r="DW40" s="395"/>
      <c r="DX40" s="395"/>
      <c r="DY40" s="395"/>
      <c r="DZ40" s="395"/>
      <c r="EA40" s="395"/>
      <c r="EB40" s="395"/>
      <c r="EC40" s="395"/>
      <c r="ED40" s="395"/>
      <c r="EE40" s="395"/>
      <c r="EF40" s="395"/>
      <c r="EG40" s="395"/>
      <c r="EH40" s="395"/>
      <c r="EI40" s="395"/>
      <c r="EJ40" s="395"/>
      <c r="EK40" s="395"/>
      <c r="EL40" s="395"/>
      <c r="EM40" s="395"/>
      <c r="EN40" s="395"/>
      <c r="EO40" s="395"/>
      <c r="EP40" s="395"/>
      <c r="EQ40" s="395"/>
      <c r="ER40" s="395"/>
      <c r="ES40" s="395"/>
      <c r="ET40" s="395"/>
      <c r="EU40" s="395"/>
      <c r="EV40" s="395"/>
      <c r="EW40" s="395"/>
      <c r="EX40" s="395"/>
      <c r="EY40" s="395"/>
      <c r="EZ40" s="395"/>
      <c r="FA40" s="395"/>
      <c r="FB40" s="395"/>
      <c r="FC40" s="395"/>
      <c r="FD40" s="395"/>
      <c r="FE40" s="395"/>
      <c r="FF40" s="395"/>
      <c r="FG40" s="395"/>
      <c r="FH40" s="395"/>
      <c r="FI40" s="395"/>
      <c r="FJ40" s="395"/>
      <c r="FK40" s="395"/>
      <c r="FL40" s="395"/>
      <c r="FM40" s="395"/>
      <c r="FN40" s="395"/>
      <c r="FO40" s="395"/>
      <c r="FP40" s="395"/>
      <c r="FQ40" s="395"/>
      <c r="FR40" s="395"/>
      <c r="FS40" s="395"/>
      <c r="FT40" s="395"/>
      <c r="FU40" s="395"/>
      <c r="FV40" s="395"/>
      <c r="FW40" s="395"/>
      <c r="FX40" s="395"/>
      <c r="FY40" s="395"/>
      <c r="FZ40" s="395"/>
      <c r="GA40" s="395"/>
      <c r="GB40" s="395"/>
      <c r="GC40" s="395"/>
      <c r="GD40" s="395"/>
      <c r="GE40" s="395"/>
      <c r="GF40" s="395"/>
      <c r="GG40" s="395"/>
      <c r="GH40" s="395"/>
      <c r="GI40" s="395"/>
      <c r="GJ40" s="395"/>
      <c r="GK40" s="395"/>
      <c r="GL40" s="395"/>
      <c r="GM40" s="395"/>
      <c r="GN40" s="395"/>
      <c r="GO40" s="395"/>
      <c r="GP40" s="395"/>
      <c r="GQ40" s="395"/>
      <c r="GR40" s="395"/>
      <c r="GS40" s="395"/>
      <c r="GT40" s="395"/>
      <c r="GU40" s="395"/>
      <c r="GV40" s="395"/>
      <c r="GW40" s="395"/>
      <c r="GX40" s="395"/>
      <c r="GY40" s="395"/>
      <c r="GZ40" s="395"/>
      <c r="HA40" s="395"/>
      <c r="HB40" s="395"/>
      <c r="HC40" s="395"/>
      <c r="HD40" s="395"/>
      <c r="HE40" s="395"/>
      <c r="HF40" s="395"/>
      <c r="HG40" s="395"/>
      <c r="HH40" s="395"/>
      <c r="HI40" s="395"/>
      <c r="HJ40" s="395"/>
      <c r="HK40" s="395"/>
      <c r="HL40" s="395"/>
      <c r="HM40" s="395"/>
      <c r="HN40" s="395"/>
      <c r="HO40" s="395"/>
      <c r="HP40" s="395"/>
      <c r="HQ40" s="395"/>
      <c r="HR40" s="395"/>
      <c r="HS40" s="395"/>
      <c r="HT40" s="395"/>
      <c r="HU40" s="395"/>
      <c r="HV40" s="395"/>
      <c r="HW40" s="395"/>
      <c r="HX40" s="395"/>
      <c r="HY40" s="395"/>
      <c r="HZ40" s="395"/>
      <c r="IA40" s="395"/>
      <c r="IB40" s="395"/>
      <c r="IC40" s="395"/>
      <c r="ID40" s="395"/>
      <c r="IE40" s="395"/>
      <c r="IF40" s="395"/>
      <c r="IG40" s="395"/>
      <c r="IH40" s="395"/>
      <c r="II40" s="395"/>
      <c r="IJ40" s="395"/>
      <c r="IK40" s="395"/>
      <c r="IL40" s="395"/>
      <c r="IM40" s="395"/>
      <c r="IN40" s="395"/>
      <c r="IO40" s="395"/>
      <c r="IP40" s="395"/>
      <c r="IQ40" s="395"/>
      <c r="IR40" s="395"/>
      <c r="IS40" s="395"/>
      <c r="IT40" s="395"/>
      <c r="IU40" s="395"/>
      <c r="IV40" s="395"/>
      <c r="IW40" s="395"/>
    </row>
    <row r="41" customFormat="false" ht="12.75" hidden="false" customHeight="false" outlineLevel="0" collapsed="false">
      <c r="A41" s="327" t="s">
        <v>290</v>
      </c>
      <c r="D41" s="115"/>
      <c r="E41" s="115" t="n">
        <f aca="false">Allocation!$G$9/Allocation!$G$10*IS!D40</f>
        <v>0</v>
      </c>
      <c r="F41" s="115" t="n">
        <f aca="false">Allocation!$G$9*IS!E40</f>
        <v>3224.72969827435</v>
      </c>
      <c r="G41" s="115" t="n">
        <f aca="false">Allocation!$G$9*IS!F40</f>
        <v>4432.33988855946</v>
      </c>
      <c r="H41" s="115" t="n">
        <f aca="false">Allocation!$G$9*IS!G40</f>
        <v>4432.33988855946</v>
      </c>
      <c r="I41" s="115" t="n">
        <f aca="false">Allocation!$G$9*IS!H40</f>
        <v>4432.33988855946</v>
      </c>
      <c r="J41" s="115" t="n">
        <f aca="false">Allocation!$G$9*IS!I40</f>
        <v>4432.33988855946</v>
      </c>
      <c r="K41" s="115" t="n">
        <f aca="false">Allocation!$G$9*IS!J40</f>
        <v>4432.33988855946</v>
      </c>
      <c r="L41" s="115" t="n">
        <f aca="false">Allocation!$G$9*IS!K40</f>
        <v>4432.33988855946</v>
      </c>
      <c r="M41" s="115" t="n">
        <f aca="false">Allocation!$G$9*IS!L40</f>
        <v>4432.33988855946</v>
      </c>
      <c r="N41" s="115" t="n">
        <f aca="false">Allocation!$G$9*IS!M40</f>
        <v>4432.33988855946</v>
      </c>
      <c r="O41" s="115" t="n">
        <f aca="false">Allocation!$G$9*IS!N40</f>
        <v>4432.33988855946</v>
      </c>
      <c r="P41" s="115" t="n">
        <f aca="false">Allocation!$G$9*IS!O40</f>
        <v>4432.33988855946</v>
      </c>
      <c r="Q41" s="115" t="n">
        <f aca="false">Allocation!$G$9*IS!P40</f>
        <v>4432.33988855946</v>
      </c>
      <c r="R41" s="115" t="n">
        <f aca="false">Allocation!$G$9*IS!Q40</f>
        <v>4432.33988855946</v>
      </c>
      <c r="S41" s="115" t="n">
        <f aca="false">Allocation!$G$9*IS!R40</f>
        <v>4432.33988855946</v>
      </c>
      <c r="T41" s="115" t="n">
        <f aca="false">Allocation!$G$9*IS!S40</f>
        <v>4432.33988855946</v>
      </c>
      <c r="U41" s="115" t="n">
        <f aca="false">Allocation!$G$9*IS!T40</f>
        <v>4432.33988855946</v>
      </c>
      <c r="V41" s="115" t="n">
        <f aca="false">Allocation!$G$9*IS!U40</f>
        <v>4432.33988855946</v>
      </c>
      <c r="W41" s="115" t="n">
        <f aca="false">Allocation!$G$9*IS!V40</f>
        <v>4432.33988855946</v>
      </c>
      <c r="X41" s="115" t="n">
        <f aca="false">Allocation!$G$9*IS!W40</f>
        <v>4432.33988855946</v>
      </c>
      <c r="Y41" s="115" t="n">
        <f aca="false">Allocation!$G$9*IS!X40</f>
        <v>4432.33988855946</v>
      </c>
      <c r="Z41" s="115" t="n">
        <f aca="false">Allocation!$G$9*IS!Y40</f>
        <v>4316.34968562034</v>
      </c>
    </row>
    <row r="42" customFormat="false" ht="12.75" hidden="false" customHeight="false" outlineLevel="0" collapsed="false">
      <c r="A42" s="327"/>
      <c r="D42" s="115"/>
      <c r="E42" s="115"/>
      <c r="F42" s="115"/>
      <c r="G42" s="115"/>
      <c r="H42" s="417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</row>
    <row r="43" customFormat="false" ht="7.5" hidden="false" customHeight="true" outlineLevel="0" collapsed="false">
      <c r="A43" s="327"/>
      <c r="D43" s="115"/>
      <c r="E43" s="115"/>
      <c r="F43" s="115"/>
      <c r="G43" s="115"/>
      <c r="H43" s="417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</row>
    <row r="44" customFormat="false" ht="12.75" hidden="false" customHeight="false" outlineLevel="0" collapsed="false">
      <c r="A44" s="323" t="s">
        <v>291</v>
      </c>
      <c r="B44" s="323"/>
      <c r="C44" s="323"/>
      <c r="D44" s="422"/>
      <c r="E44" s="422" t="n">
        <f aca="false">E39-E41</f>
        <v>0</v>
      </c>
      <c r="F44" s="422" t="n">
        <f aca="false">F39-F41</f>
        <v>11797.9444478215</v>
      </c>
      <c r="G44" s="422" t="n">
        <f aca="false">G39-G41</f>
        <v>10914.4071632252</v>
      </c>
      <c r="H44" s="422" t="n">
        <f aca="false">H39-H41</f>
        <v>10864.4693337866</v>
      </c>
      <c r="I44" s="422" t="n">
        <f aca="false">I39-I41</f>
        <v>19636.1769829971</v>
      </c>
      <c r="J44" s="422" t="n">
        <f aca="false">J39-J41</f>
        <v>19898.1394493856</v>
      </c>
      <c r="K44" s="422" t="n">
        <f aca="false">K39-K41</f>
        <v>20152.5706909865</v>
      </c>
      <c r="L44" s="422" t="n">
        <f aca="false">L39-L41</f>
        <v>20405.5437304653</v>
      </c>
      <c r="M44" s="422" t="n">
        <f aca="false">M39-M41</f>
        <v>21195.424788713</v>
      </c>
      <c r="N44" s="422" t="n">
        <f aca="false">N39-N41</f>
        <v>21446.1962132045</v>
      </c>
      <c r="O44" s="422" t="n">
        <f aca="false">O39-O41</f>
        <v>22272.8306282716</v>
      </c>
      <c r="P44" s="422" t="n">
        <f aca="false">P39-P41</f>
        <v>21914.7872897179</v>
      </c>
      <c r="Q44" s="422" t="n">
        <f aca="false">Q39-Q41</f>
        <v>22833.2228797348</v>
      </c>
      <c r="R44" s="422" t="n">
        <f aca="false">R39-R41</f>
        <v>23150.4726488979</v>
      </c>
      <c r="S44" s="422" t="n">
        <f aca="false">S39-S41</f>
        <v>23459.1327766529</v>
      </c>
      <c r="T44" s="422" t="n">
        <f aca="false">T39-T41</f>
        <v>23754.5816541341</v>
      </c>
      <c r="U44" s="422" t="n">
        <f aca="false">U39-U41</f>
        <v>24064.9647063937</v>
      </c>
      <c r="V44" s="422" t="n">
        <f aca="false">V39-V41</f>
        <v>24385.0353324807</v>
      </c>
      <c r="W44" s="422" t="n">
        <f aca="false">W39-W41</f>
        <v>24694.6105660959</v>
      </c>
      <c r="X44" s="422" t="n">
        <f aca="false">X39-X41</f>
        <v>24904.4159552217</v>
      </c>
      <c r="Y44" s="422" t="n">
        <f aca="false">Y39-Y41</f>
        <v>25047.7478126441</v>
      </c>
      <c r="Z44" s="422" t="n">
        <f aca="false">Z39-Z41</f>
        <v>25572.7193275072</v>
      </c>
      <c r="AA44" s="395"/>
      <c r="AB44" s="395"/>
      <c r="AC44" s="395"/>
      <c r="AD44" s="395"/>
      <c r="AE44" s="395"/>
      <c r="AF44" s="395"/>
      <c r="AG44" s="395"/>
      <c r="AH44" s="395"/>
      <c r="AI44" s="395"/>
      <c r="AJ44" s="395"/>
      <c r="AK44" s="395"/>
      <c r="AL44" s="395"/>
      <c r="AM44" s="395"/>
      <c r="AN44" s="395"/>
      <c r="AO44" s="395"/>
      <c r="AP44" s="395"/>
      <c r="AQ44" s="395"/>
      <c r="AR44" s="395"/>
      <c r="AS44" s="395"/>
      <c r="AT44" s="395"/>
      <c r="AU44" s="395"/>
      <c r="AV44" s="395"/>
      <c r="AW44" s="395"/>
      <c r="AX44" s="395"/>
      <c r="AY44" s="395"/>
      <c r="AZ44" s="395"/>
      <c r="BA44" s="395"/>
      <c r="BB44" s="395"/>
      <c r="BC44" s="395"/>
      <c r="BD44" s="395"/>
      <c r="BE44" s="395"/>
      <c r="BF44" s="395"/>
      <c r="BG44" s="395"/>
      <c r="BH44" s="395"/>
      <c r="BI44" s="395"/>
      <c r="BJ44" s="395"/>
      <c r="BK44" s="395"/>
      <c r="BL44" s="395"/>
      <c r="BM44" s="395"/>
      <c r="BN44" s="395"/>
      <c r="BO44" s="395"/>
      <c r="BP44" s="395"/>
      <c r="BQ44" s="395"/>
      <c r="BR44" s="395"/>
      <c r="BS44" s="395"/>
      <c r="BT44" s="395"/>
      <c r="BU44" s="395"/>
      <c r="BV44" s="395"/>
      <c r="BW44" s="395"/>
      <c r="BX44" s="395"/>
      <c r="BY44" s="395"/>
      <c r="BZ44" s="395"/>
      <c r="CA44" s="395"/>
      <c r="CB44" s="395"/>
      <c r="CC44" s="395"/>
      <c r="CD44" s="395"/>
      <c r="CE44" s="395"/>
      <c r="CF44" s="395"/>
      <c r="CG44" s="395"/>
      <c r="CH44" s="395"/>
      <c r="CI44" s="395"/>
      <c r="CJ44" s="395"/>
      <c r="CK44" s="395"/>
      <c r="CL44" s="395"/>
      <c r="CM44" s="395"/>
      <c r="CN44" s="395"/>
      <c r="CO44" s="395"/>
      <c r="CP44" s="395"/>
      <c r="CQ44" s="395"/>
      <c r="CR44" s="395"/>
      <c r="CS44" s="395"/>
      <c r="CT44" s="395"/>
      <c r="CU44" s="395"/>
      <c r="CV44" s="395"/>
      <c r="CW44" s="395"/>
      <c r="CX44" s="395"/>
      <c r="CY44" s="395"/>
      <c r="CZ44" s="395"/>
      <c r="DA44" s="395"/>
      <c r="DB44" s="395"/>
      <c r="DC44" s="395"/>
      <c r="DD44" s="395"/>
      <c r="DE44" s="395"/>
      <c r="DF44" s="395"/>
      <c r="DG44" s="395"/>
      <c r="DH44" s="395"/>
      <c r="DI44" s="395"/>
      <c r="DJ44" s="395"/>
      <c r="DK44" s="395"/>
      <c r="DL44" s="395"/>
      <c r="DM44" s="395"/>
      <c r="DN44" s="395"/>
      <c r="DO44" s="395"/>
      <c r="DP44" s="395"/>
      <c r="DQ44" s="395"/>
      <c r="DR44" s="395"/>
      <c r="DS44" s="395"/>
      <c r="DT44" s="395"/>
      <c r="DU44" s="395"/>
      <c r="DV44" s="395"/>
      <c r="DW44" s="395"/>
      <c r="DX44" s="395"/>
      <c r="DY44" s="395"/>
      <c r="DZ44" s="395"/>
      <c r="EA44" s="395"/>
      <c r="EB44" s="395"/>
      <c r="EC44" s="395"/>
      <c r="ED44" s="395"/>
      <c r="EE44" s="395"/>
      <c r="EF44" s="395"/>
      <c r="EG44" s="395"/>
      <c r="EH44" s="395"/>
      <c r="EI44" s="395"/>
      <c r="EJ44" s="395"/>
      <c r="EK44" s="395"/>
      <c r="EL44" s="395"/>
      <c r="EM44" s="395"/>
      <c r="EN44" s="395"/>
      <c r="EO44" s="395"/>
      <c r="EP44" s="395"/>
      <c r="EQ44" s="395"/>
      <c r="ER44" s="395"/>
      <c r="ES44" s="395"/>
      <c r="ET44" s="395"/>
      <c r="EU44" s="395"/>
      <c r="EV44" s="395"/>
      <c r="EW44" s="395"/>
      <c r="EX44" s="395"/>
      <c r="EY44" s="395"/>
      <c r="EZ44" s="395"/>
      <c r="FA44" s="395"/>
      <c r="FB44" s="395"/>
      <c r="FC44" s="395"/>
      <c r="FD44" s="395"/>
      <c r="FE44" s="395"/>
      <c r="FF44" s="395"/>
      <c r="FG44" s="395"/>
      <c r="FH44" s="395"/>
      <c r="FI44" s="395"/>
      <c r="FJ44" s="395"/>
      <c r="FK44" s="395"/>
      <c r="FL44" s="395"/>
      <c r="FM44" s="395"/>
      <c r="FN44" s="395"/>
      <c r="FO44" s="395"/>
      <c r="FP44" s="395"/>
      <c r="FQ44" s="395"/>
      <c r="FR44" s="395"/>
      <c r="FS44" s="395"/>
      <c r="FT44" s="395"/>
      <c r="FU44" s="395"/>
      <c r="FV44" s="395"/>
      <c r="FW44" s="395"/>
      <c r="FX44" s="395"/>
      <c r="FY44" s="395"/>
      <c r="FZ44" s="395"/>
      <c r="GA44" s="395"/>
      <c r="GB44" s="395"/>
      <c r="GC44" s="395"/>
      <c r="GD44" s="395"/>
      <c r="GE44" s="395"/>
      <c r="GF44" s="395"/>
      <c r="GG44" s="395"/>
      <c r="GH44" s="395"/>
      <c r="GI44" s="395"/>
      <c r="GJ44" s="395"/>
      <c r="GK44" s="395"/>
      <c r="GL44" s="395"/>
      <c r="GM44" s="395"/>
      <c r="GN44" s="395"/>
      <c r="GO44" s="395"/>
      <c r="GP44" s="395"/>
      <c r="GQ44" s="395"/>
      <c r="GR44" s="395"/>
      <c r="GS44" s="395"/>
      <c r="GT44" s="395"/>
      <c r="GU44" s="395"/>
      <c r="GV44" s="395"/>
      <c r="GW44" s="395"/>
      <c r="GX44" s="395"/>
      <c r="GY44" s="395"/>
      <c r="GZ44" s="395"/>
      <c r="HA44" s="395"/>
      <c r="HB44" s="395"/>
      <c r="HC44" s="395"/>
      <c r="HD44" s="395"/>
      <c r="HE44" s="395"/>
      <c r="HF44" s="395"/>
      <c r="HG44" s="395"/>
      <c r="HH44" s="395"/>
      <c r="HI44" s="395"/>
      <c r="HJ44" s="395"/>
      <c r="HK44" s="395"/>
      <c r="HL44" s="395"/>
      <c r="HM44" s="395"/>
      <c r="HN44" s="395"/>
      <c r="HO44" s="395"/>
      <c r="HP44" s="395"/>
      <c r="HQ44" s="395"/>
      <c r="HR44" s="395"/>
      <c r="HS44" s="395"/>
      <c r="HT44" s="395"/>
      <c r="HU44" s="395"/>
      <c r="HV44" s="395"/>
      <c r="HW44" s="395"/>
      <c r="HX44" s="395"/>
      <c r="HY44" s="395"/>
      <c r="HZ44" s="395"/>
      <c r="IA44" s="395"/>
      <c r="IB44" s="395"/>
      <c r="IC44" s="395"/>
      <c r="ID44" s="395"/>
      <c r="IE44" s="395"/>
      <c r="IF44" s="395"/>
      <c r="IG44" s="395"/>
      <c r="IH44" s="395"/>
      <c r="II44" s="395"/>
      <c r="IJ44" s="395"/>
      <c r="IK44" s="395"/>
      <c r="IL44" s="395"/>
      <c r="IM44" s="395"/>
      <c r="IN44" s="395"/>
      <c r="IO44" s="395"/>
      <c r="IP44" s="395"/>
      <c r="IQ44" s="395"/>
      <c r="IR44" s="395"/>
      <c r="IS44" s="395"/>
      <c r="IT44" s="395"/>
      <c r="IU44" s="395"/>
      <c r="IV44" s="395"/>
      <c r="IW44" s="395"/>
    </row>
    <row r="45" customFormat="false" ht="12.75" hidden="false" customHeight="false" outlineLevel="0" collapsed="false">
      <c r="A45" s="323"/>
      <c r="B45" s="323"/>
      <c r="C45" s="323"/>
      <c r="D45" s="422"/>
      <c r="E45" s="422"/>
      <c r="F45" s="422"/>
      <c r="G45" s="422"/>
      <c r="H45" s="422"/>
      <c r="I45" s="422"/>
      <c r="J45" s="422"/>
      <c r="K45" s="422"/>
      <c r="L45" s="422"/>
      <c r="M45" s="422"/>
      <c r="N45" s="422"/>
      <c r="O45" s="422"/>
      <c r="P45" s="422"/>
      <c r="Q45" s="422"/>
      <c r="R45" s="422"/>
      <c r="S45" s="422"/>
      <c r="T45" s="422"/>
      <c r="U45" s="422"/>
      <c r="V45" s="422"/>
      <c r="W45" s="422"/>
      <c r="X45" s="422"/>
      <c r="Y45" s="422"/>
      <c r="Z45" s="422"/>
      <c r="AA45" s="395"/>
      <c r="AB45" s="395"/>
      <c r="AC45" s="395"/>
      <c r="AD45" s="395"/>
      <c r="AE45" s="395"/>
      <c r="AF45" s="395"/>
      <c r="AG45" s="395"/>
      <c r="AH45" s="395"/>
      <c r="AI45" s="395"/>
      <c r="AJ45" s="395"/>
      <c r="AK45" s="395"/>
      <c r="AL45" s="395"/>
      <c r="AM45" s="395"/>
      <c r="AN45" s="395"/>
      <c r="AO45" s="395"/>
      <c r="AP45" s="395"/>
      <c r="AQ45" s="395"/>
      <c r="AR45" s="395"/>
      <c r="AS45" s="395"/>
      <c r="AT45" s="395"/>
      <c r="AU45" s="395"/>
      <c r="AV45" s="395"/>
      <c r="AW45" s="395"/>
      <c r="AX45" s="395"/>
      <c r="AY45" s="395"/>
      <c r="AZ45" s="395"/>
      <c r="BA45" s="395"/>
      <c r="BB45" s="395"/>
      <c r="BC45" s="395"/>
      <c r="BD45" s="395"/>
      <c r="BE45" s="395"/>
      <c r="BF45" s="395"/>
      <c r="BG45" s="395"/>
      <c r="BH45" s="395"/>
      <c r="BI45" s="395"/>
      <c r="BJ45" s="395"/>
      <c r="BK45" s="395"/>
      <c r="BL45" s="395"/>
      <c r="BM45" s="395"/>
      <c r="BN45" s="395"/>
      <c r="BO45" s="395"/>
      <c r="BP45" s="395"/>
      <c r="BQ45" s="395"/>
      <c r="BR45" s="395"/>
      <c r="BS45" s="395"/>
      <c r="BT45" s="395"/>
      <c r="BU45" s="395"/>
      <c r="BV45" s="395"/>
      <c r="BW45" s="395"/>
      <c r="BX45" s="395"/>
      <c r="BY45" s="395"/>
      <c r="BZ45" s="395"/>
      <c r="CA45" s="395"/>
      <c r="CB45" s="395"/>
      <c r="CC45" s="395"/>
      <c r="CD45" s="395"/>
      <c r="CE45" s="395"/>
      <c r="CF45" s="395"/>
      <c r="CG45" s="395"/>
      <c r="CH45" s="395"/>
      <c r="CI45" s="395"/>
      <c r="CJ45" s="395"/>
      <c r="CK45" s="395"/>
      <c r="CL45" s="395"/>
      <c r="CM45" s="395"/>
      <c r="CN45" s="395"/>
      <c r="CO45" s="395"/>
      <c r="CP45" s="395"/>
      <c r="CQ45" s="395"/>
      <c r="CR45" s="395"/>
      <c r="CS45" s="395"/>
      <c r="CT45" s="395"/>
      <c r="CU45" s="395"/>
      <c r="CV45" s="395"/>
      <c r="CW45" s="395"/>
      <c r="CX45" s="395"/>
      <c r="CY45" s="395"/>
      <c r="CZ45" s="395"/>
      <c r="DA45" s="395"/>
      <c r="DB45" s="395"/>
      <c r="DC45" s="395"/>
      <c r="DD45" s="395"/>
      <c r="DE45" s="395"/>
      <c r="DF45" s="395"/>
      <c r="DG45" s="395"/>
      <c r="DH45" s="395"/>
      <c r="DI45" s="395"/>
      <c r="DJ45" s="395"/>
      <c r="DK45" s="395"/>
      <c r="DL45" s="395"/>
      <c r="DM45" s="395"/>
      <c r="DN45" s="395"/>
      <c r="DO45" s="395"/>
      <c r="DP45" s="395"/>
      <c r="DQ45" s="395"/>
      <c r="DR45" s="395"/>
      <c r="DS45" s="395"/>
      <c r="DT45" s="395"/>
      <c r="DU45" s="395"/>
      <c r="DV45" s="395"/>
      <c r="DW45" s="395"/>
      <c r="DX45" s="395"/>
      <c r="DY45" s="395"/>
      <c r="DZ45" s="395"/>
      <c r="EA45" s="395"/>
      <c r="EB45" s="395"/>
      <c r="EC45" s="395"/>
      <c r="ED45" s="395"/>
      <c r="EE45" s="395"/>
      <c r="EF45" s="395"/>
      <c r="EG45" s="395"/>
      <c r="EH45" s="395"/>
      <c r="EI45" s="395"/>
      <c r="EJ45" s="395"/>
      <c r="EK45" s="395"/>
      <c r="EL45" s="395"/>
      <c r="EM45" s="395"/>
      <c r="EN45" s="395"/>
      <c r="EO45" s="395"/>
      <c r="EP45" s="395"/>
      <c r="EQ45" s="395"/>
      <c r="ER45" s="395"/>
      <c r="ES45" s="395"/>
      <c r="ET45" s="395"/>
      <c r="EU45" s="395"/>
      <c r="EV45" s="395"/>
      <c r="EW45" s="395"/>
      <c r="EX45" s="395"/>
      <c r="EY45" s="395"/>
      <c r="EZ45" s="395"/>
      <c r="FA45" s="395"/>
      <c r="FB45" s="395"/>
      <c r="FC45" s="395"/>
      <c r="FD45" s="395"/>
      <c r="FE45" s="395"/>
      <c r="FF45" s="395"/>
      <c r="FG45" s="395"/>
      <c r="FH45" s="395"/>
      <c r="FI45" s="395"/>
      <c r="FJ45" s="395"/>
      <c r="FK45" s="395"/>
      <c r="FL45" s="395"/>
      <c r="FM45" s="395"/>
      <c r="FN45" s="395"/>
      <c r="FO45" s="395"/>
      <c r="FP45" s="395"/>
      <c r="FQ45" s="395"/>
      <c r="FR45" s="395"/>
      <c r="FS45" s="395"/>
      <c r="FT45" s="395"/>
      <c r="FU45" s="395"/>
      <c r="FV45" s="395"/>
      <c r="FW45" s="395"/>
      <c r="FX45" s="395"/>
      <c r="FY45" s="395"/>
      <c r="FZ45" s="395"/>
      <c r="GA45" s="395"/>
      <c r="GB45" s="395"/>
      <c r="GC45" s="395"/>
      <c r="GD45" s="395"/>
      <c r="GE45" s="395"/>
      <c r="GF45" s="395"/>
      <c r="GG45" s="395"/>
      <c r="GH45" s="395"/>
      <c r="GI45" s="395"/>
      <c r="GJ45" s="395"/>
      <c r="GK45" s="395"/>
      <c r="GL45" s="395"/>
      <c r="GM45" s="395"/>
      <c r="GN45" s="395"/>
      <c r="GO45" s="395"/>
      <c r="GP45" s="395"/>
      <c r="GQ45" s="395"/>
      <c r="GR45" s="395"/>
      <c r="GS45" s="395"/>
      <c r="GT45" s="395"/>
      <c r="GU45" s="395"/>
      <c r="GV45" s="395"/>
      <c r="GW45" s="395"/>
      <c r="GX45" s="395"/>
      <c r="GY45" s="395"/>
      <c r="GZ45" s="395"/>
      <c r="HA45" s="395"/>
      <c r="HB45" s="395"/>
      <c r="HC45" s="395"/>
      <c r="HD45" s="395"/>
      <c r="HE45" s="395"/>
      <c r="HF45" s="395"/>
      <c r="HG45" s="395"/>
      <c r="HH45" s="395"/>
      <c r="HI45" s="395"/>
      <c r="HJ45" s="395"/>
      <c r="HK45" s="395"/>
      <c r="HL45" s="395"/>
      <c r="HM45" s="395"/>
      <c r="HN45" s="395"/>
      <c r="HO45" s="395"/>
      <c r="HP45" s="395"/>
      <c r="HQ45" s="395"/>
      <c r="HR45" s="395"/>
      <c r="HS45" s="395"/>
      <c r="HT45" s="395"/>
      <c r="HU45" s="395"/>
      <c r="HV45" s="395"/>
      <c r="HW45" s="395"/>
      <c r="HX45" s="395"/>
      <c r="HY45" s="395"/>
      <c r="HZ45" s="395"/>
      <c r="IA45" s="395"/>
      <c r="IB45" s="395"/>
      <c r="IC45" s="395"/>
      <c r="ID45" s="395"/>
      <c r="IE45" s="395"/>
      <c r="IF45" s="395"/>
      <c r="IG45" s="395"/>
      <c r="IH45" s="395"/>
      <c r="II45" s="395"/>
      <c r="IJ45" s="395"/>
      <c r="IK45" s="395"/>
      <c r="IL45" s="395"/>
      <c r="IM45" s="395"/>
      <c r="IN45" s="395"/>
      <c r="IO45" s="395"/>
      <c r="IP45" s="395"/>
      <c r="IQ45" s="395"/>
      <c r="IR45" s="395"/>
      <c r="IS45" s="395"/>
      <c r="IT45" s="395"/>
      <c r="IU45" s="395"/>
      <c r="IV45" s="395"/>
      <c r="IW45" s="395"/>
    </row>
    <row r="46" customFormat="false" ht="12.75" hidden="false" customHeight="false" outlineLevel="0" collapsed="false">
      <c r="A46" s="78" t="s">
        <v>457</v>
      </c>
      <c r="B46" s="474"/>
      <c r="C46" s="474"/>
      <c r="D46" s="115"/>
      <c r="E46" s="115" t="n">
        <f aca="false">Allocation!$K$9*(IS!$D$44)</f>
        <v>0</v>
      </c>
      <c r="F46" s="115" t="n">
        <f aca="false">Allocation!$I$9*(IS!$E$44-Debt!$C$136)</f>
        <v>9222.41498825135</v>
      </c>
      <c r="G46" s="417" t="n">
        <f aca="false">Allocation!$I$9*IS!F44</f>
        <v>8991.21915310442</v>
      </c>
      <c r="H46" s="417" t="n">
        <f aca="false">Allocation!$I$9*IS!G44</f>
        <v>8694.67460224144</v>
      </c>
      <c r="I46" s="417" t="n">
        <f aca="false">Allocation!$I$9*IS!H44</f>
        <v>8402.98903276587</v>
      </c>
      <c r="J46" s="417" t="n">
        <f aca="false">Allocation!$I$9*IS!I44</f>
        <v>8211.12102528388</v>
      </c>
      <c r="K46" s="417" t="n">
        <f aca="false">Allocation!$I$9*IS!J44</f>
        <v>7888.03358756762</v>
      </c>
      <c r="L46" s="417" t="n">
        <f aca="false">Allocation!$I$9*IS!K44</f>
        <v>7533.62246053576</v>
      </c>
      <c r="M46" s="417" t="n">
        <f aca="false">Allocation!$I$9*IS!L44</f>
        <v>7124.17337024718</v>
      </c>
      <c r="N46" s="417" t="n">
        <f aca="false">Allocation!$I$9*IS!M44</f>
        <v>6655.51677403092</v>
      </c>
      <c r="O46" s="417" t="n">
        <f aca="false">Allocation!$I$9*IS!N44</f>
        <v>6086.79115371154</v>
      </c>
      <c r="P46" s="417" t="n">
        <f aca="false">Allocation!$I$9*IS!O44</f>
        <v>5584.42317602917</v>
      </c>
      <c r="Q46" s="417" t="n">
        <f aca="false">Allocation!$I$9*IS!P44</f>
        <v>5102.04160422087</v>
      </c>
      <c r="R46" s="417" t="n">
        <f aca="false">Allocation!$I$9*IS!Q44</f>
        <v>4569.13478219051</v>
      </c>
      <c r="S46" s="417" t="n">
        <f aca="false">Allocation!$I$9*IS!R44</f>
        <v>3994.98262889897</v>
      </c>
      <c r="T46" s="417" t="n">
        <f aca="false">Allocation!$I$9*IS!S44</f>
        <v>3381.83193296446</v>
      </c>
      <c r="U46" s="417" t="n">
        <f aca="false">Allocation!$I$9*IS!T44</f>
        <v>2717.74563401524</v>
      </c>
      <c r="V46" s="417" t="n">
        <f aca="false">Allocation!$I$9*IS!U44</f>
        <v>2026.01297598718</v>
      </c>
      <c r="W46" s="417" t="n">
        <f aca="false">Allocation!$I$9*IS!V44</f>
        <v>1340.60946646349</v>
      </c>
      <c r="X46" s="417" t="n">
        <f aca="false">Allocation!$I$9*IS!W44</f>
        <v>714.25081449461</v>
      </c>
      <c r="Y46" s="417" t="n">
        <f aca="false">Allocation!$I$9*IS!X44</f>
        <v>171.469240550836</v>
      </c>
      <c r="Z46" s="417" t="n">
        <v>0</v>
      </c>
    </row>
    <row r="47" customFormat="false" ht="6" hidden="false" customHeight="true" outlineLevel="0" collapsed="false">
      <c r="D47" s="115"/>
      <c r="E47" s="115"/>
      <c r="F47" s="368"/>
      <c r="G47" s="368"/>
      <c r="H47" s="368"/>
      <c r="I47" s="368"/>
      <c r="J47" s="368"/>
      <c r="K47" s="368"/>
      <c r="L47" s="368"/>
      <c r="M47" s="368"/>
      <c r="N47" s="368"/>
      <c r="O47" s="368"/>
      <c r="P47" s="368"/>
      <c r="Q47" s="368"/>
      <c r="R47" s="368"/>
      <c r="S47" s="368"/>
      <c r="T47" s="368"/>
      <c r="U47" s="368"/>
      <c r="V47" s="368"/>
      <c r="W47" s="368"/>
      <c r="X47" s="368"/>
      <c r="Y47" s="368"/>
      <c r="Z47" s="368"/>
    </row>
    <row r="48" customFormat="false" ht="6" hidden="false" customHeight="true" outlineLevel="0" collapsed="false">
      <c r="D48" s="115"/>
      <c r="E48" s="115"/>
      <c r="F48" s="368"/>
      <c r="G48" s="368"/>
      <c r="H48" s="368"/>
      <c r="I48" s="368"/>
      <c r="J48" s="368"/>
      <c r="K48" s="368"/>
      <c r="L48" s="368"/>
      <c r="M48" s="368"/>
      <c r="N48" s="368"/>
      <c r="O48" s="368"/>
      <c r="P48" s="368"/>
      <c r="Q48" s="368"/>
      <c r="R48" s="368"/>
      <c r="S48" s="368"/>
      <c r="T48" s="368"/>
      <c r="U48" s="368"/>
      <c r="V48" s="368"/>
      <c r="W48" s="368"/>
      <c r="X48" s="368"/>
      <c r="Y48" s="368"/>
      <c r="Z48" s="368"/>
    </row>
    <row r="49" customFormat="false" ht="12.75" hidden="false" customHeight="false" outlineLevel="0" collapsed="false">
      <c r="A49" s="323" t="s">
        <v>293</v>
      </c>
      <c r="B49" s="323"/>
      <c r="C49" s="395"/>
      <c r="D49" s="422"/>
      <c r="E49" s="422" t="n">
        <f aca="false">E44-E46</f>
        <v>0</v>
      </c>
      <c r="F49" s="422" t="n">
        <f aca="false">F44-F46</f>
        <v>2575.52945957016</v>
      </c>
      <c r="G49" s="422" t="n">
        <f aca="false">G44-G46</f>
        <v>1923.18801012079</v>
      </c>
      <c r="H49" s="422" t="n">
        <f aca="false">H44-H46</f>
        <v>2169.79473154521</v>
      </c>
      <c r="I49" s="422" t="n">
        <f aca="false">I44-I46</f>
        <v>11233.1879502312</v>
      </c>
      <c r="J49" s="422" t="n">
        <f aca="false">J44-J46</f>
        <v>11687.0184241017</v>
      </c>
      <c r="K49" s="422" t="n">
        <f aca="false">K44-K46</f>
        <v>12264.5371034189</v>
      </c>
      <c r="L49" s="422" t="n">
        <f aca="false">L44-L46</f>
        <v>12871.9212699295</v>
      </c>
      <c r="M49" s="422" t="n">
        <f aca="false">M44-M46</f>
        <v>14071.2514184658</v>
      </c>
      <c r="N49" s="422" t="n">
        <f aca="false">N44-N46</f>
        <v>14790.6794391736</v>
      </c>
      <c r="O49" s="422" t="n">
        <f aca="false">O44-O46</f>
        <v>16186.03947456</v>
      </c>
      <c r="P49" s="422" t="n">
        <f aca="false">P44-P46</f>
        <v>16330.3641136887</v>
      </c>
      <c r="Q49" s="422" t="n">
        <f aca="false">Q44-Q46</f>
        <v>17731.1812755139</v>
      </c>
      <c r="R49" s="422" t="n">
        <f aca="false">R44-R46</f>
        <v>18581.3378667074</v>
      </c>
      <c r="S49" s="422" t="n">
        <f aca="false">S44-S46</f>
        <v>19464.1501477539</v>
      </c>
      <c r="T49" s="422" t="n">
        <f aca="false">T44-T46</f>
        <v>20372.7497211697</v>
      </c>
      <c r="U49" s="422" t="n">
        <f aca="false">U44-U46</f>
        <v>21347.2190723784</v>
      </c>
      <c r="V49" s="422" t="n">
        <f aca="false">V44-V46</f>
        <v>22359.0223564936</v>
      </c>
      <c r="W49" s="422" t="n">
        <f aca="false">W44-W46</f>
        <v>23354.0010996324</v>
      </c>
      <c r="X49" s="422" t="n">
        <f aca="false">X44-X46</f>
        <v>24190.1651407271</v>
      </c>
      <c r="Y49" s="422" t="n">
        <f aca="false">Y44-Y46</f>
        <v>24876.2785720933</v>
      </c>
      <c r="Z49" s="422" t="n">
        <f aca="false">Z44-Z46</f>
        <v>25572.7193275072</v>
      </c>
      <c r="AA49" s="395"/>
      <c r="AB49" s="395"/>
      <c r="AC49" s="395"/>
      <c r="AD49" s="395"/>
      <c r="AE49" s="395"/>
      <c r="AF49" s="395"/>
      <c r="AG49" s="395"/>
      <c r="AH49" s="395"/>
      <c r="AI49" s="395"/>
      <c r="AJ49" s="395"/>
      <c r="AK49" s="395"/>
      <c r="AL49" s="395"/>
      <c r="AM49" s="395"/>
      <c r="AN49" s="395"/>
      <c r="AO49" s="395"/>
      <c r="AP49" s="395"/>
      <c r="AQ49" s="395"/>
      <c r="AR49" s="395"/>
      <c r="AS49" s="395"/>
      <c r="AT49" s="395"/>
      <c r="AU49" s="395"/>
      <c r="AV49" s="395"/>
      <c r="AW49" s="395"/>
      <c r="AX49" s="395"/>
      <c r="AY49" s="395"/>
      <c r="AZ49" s="395"/>
      <c r="BA49" s="395"/>
      <c r="BB49" s="395"/>
      <c r="BC49" s="395"/>
      <c r="BD49" s="395"/>
      <c r="BE49" s="395"/>
      <c r="BF49" s="395"/>
      <c r="BG49" s="395"/>
      <c r="BH49" s="395"/>
      <c r="BI49" s="395"/>
      <c r="BJ49" s="395"/>
      <c r="BK49" s="395"/>
      <c r="BL49" s="395"/>
      <c r="BM49" s="395"/>
      <c r="BN49" s="395"/>
      <c r="BO49" s="395"/>
      <c r="BP49" s="395"/>
      <c r="BQ49" s="395"/>
      <c r="BR49" s="395"/>
      <c r="BS49" s="395"/>
      <c r="BT49" s="395"/>
      <c r="BU49" s="395"/>
      <c r="BV49" s="395"/>
      <c r="BW49" s="395"/>
      <c r="BX49" s="395"/>
      <c r="BY49" s="395"/>
      <c r="BZ49" s="395"/>
      <c r="CA49" s="395"/>
      <c r="CB49" s="395"/>
      <c r="CC49" s="395"/>
      <c r="CD49" s="395"/>
      <c r="CE49" s="395"/>
      <c r="CF49" s="395"/>
      <c r="CG49" s="395"/>
      <c r="CH49" s="395"/>
      <c r="CI49" s="395"/>
      <c r="CJ49" s="395"/>
      <c r="CK49" s="395"/>
      <c r="CL49" s="395"/>
      <c r="CM49" s="395"/>
      <c r="CN49" s="395"/>
      <c r="CO49" s="395"/>
      <c r="CP49" s="395"/>
      <c r="CQ49" s="395"/>
      <c r="CR49" s="395"/>
      <c r="CS49" s="395"/>
      <c r="CT49" s="395"/>
      <c r="CU49" s="395"/>
      <c r="CV49" s="395"/>
      <c r="CW49" s="395"/>
      <c r="CX49" s="395"/>
      <c r="CY49" s="395"/>
      <c r="CZ49" s="395"/>
      <c r="DA49" s="395"/>
      <c r="DB49" s="395"/>
      <c r="DC49" s="395"/>
      <c r="DD49" s="395"/>
      <c r="DE49" s="395"/>
      <c r="DF49" s="395"/>
      <c r="DG49" s="395"/>
      <c r="DH49" s="395"/>
      <c r="DI49" s="395"/>
      <c r="DJ49" s="395"/>
      <c r="DK49" s="395"/>
      <c r="DL49" s="395"/>
      <c r="DM49" s="395"/>
      <c r="DN49" s="395"/>
      <c r="DO49" s="395"/>
      <c r="DP49" s="395"/>
      <c r="DQ49" s="395"/>
      <c r="DR49" s="395"/>
      <c r="DS49" s="395"/>
      <c r="DT49" s="395"/>
      <c r="DU49" s="395"/>
      <c r="DV49" s="395"/>
      <c r="DW49" s="395"/>
      <c r="DX49" s="395"/>
      <c r="DY49" s="395"/>
      <c r="DZ49" s="395"/>
      <c r="EA49" s="395"/>
      <c r="EB49" s="395"/>
      <c r="EC49" s="395"/>
      <c r="ED49" s="395"/>
      <c r="EE49" s="395"/>
      <c r="EF49" s="395"/>
      <c r="EG49" s="395"/>
      <c r="EH49" s="395"/>
      <c r="EI49" s="395"/>
      <c r="EJ49" s="395"/>
      <c r="EK49" s="395"/>
      <c r="EL49" s="395"/>
      <c r="EM49" s="395"/>
      <c r="EN49" s="395"/>
      <c r="EO49" s="395"/>
      <c r="EP49" s="395"/>
      <c r="EQ49" s="395"/>
      <c r="ER49" s="395"/>
      <c r="ES49" s="395"/>
      <c r="ET49" s="395"/>
      <c r="EU49" s="395"/>
      <c r="EV49" s="395"/>
      <c r="EW49" s="395"/>
      <c r="EX49" s="395"/>
      <c r="EY49" s="395"/>
      <c r="EZ49" s="395"/>
      <c r="FA49" s="395"/>
      <c r="FB49" s="395"/>
      <c r="FC49" s="395"/>
      <c r="FD49" s="395"/>
      <c r="FE49" s="395"/>
      <c r="FF49" s="395"/>
      <c r="FG49" s="395"/>
      <c r="FH49" s="395"/>
      <c r="FI49" s="395"/>
      <c r="FJ49" s="395"/>
      <c r="FK49" s="395"/>
      <c r="FL49" s="395"/>
      <c r="FM49" s="395"/>
      <c r="FN49" s="395"/>
      <c r="FO49" s="395"/>
      <c r="FP49" s="395"/>
      <c r="FQ49" s="395"/>
      <c r="FR49" s="395"/>
      <c r="FS49" s="395"/>
      <c r="FT49" s="395"/>
      <c r="FU49" s="395"/>
      <c r="FV49" s="395"/>
      <c r="FW49" s="395"/>
      <c r="FX49" s="395"/>
      <c r="FY49" s="395"/>
      <c r="FZ49" s="395"/>
      <c r="GA49" s="395"/>
      <c r="GB49" s="395"/>
      <c r="GC49" s="395"/>
      <c r="GD49" s="395"/>
      <c r="GE49" s="395"/>
      <c r="GF49" s="395"/>
      <c r="GG49" s="395"/>
      <c r="GH49" s="395"/>
      <c r="GI49" s="395"/>
      <c r="GJ49" s="395"/>
      <c r="GK49" s="395"/>
      <c r="GL49" s="395"/>
      <c r="GM49" s="395"/>
      <c r="GN49" s="395"/>
      <c r="GO49" s="395"/>
      <c r="GP49" s="395"/>
      <c r="GQ49" s="395"/>
      <c r="GR49" s="395"/>
      <c r="GS49" s="395"/>
      <c r="GT49" s="395"/>
      <c r="GU49" s="395"/>
      <c r="GV49" s="395"/>
      <c r="GW49" s="395"/>
      <c r="GX49" s="395"/>
      <c r="GY49" s="395"/>
      <c r="GZ49" s="395"/>
      <c r="HA49" s="395"/>
      <c r="HB49" s="395"/>
      <c r="HC49" s="395"/>
      <c r="HD49" s="395"/>
      <c r="HE49" s="395"/>
      <c r="HF49" s="395"/>
      <c r="HG49" s="395"/>
      <c r="HH49" s="395"/>
      <c r="HI49" s="395"/>
      <c r="HJ49" s="395"/>
      <c r="HK49" s="395"/>
      <c r="HL49" s="395"/>
      <c r="HM49" s="395"/>
      <c r="HN49" s="395"/>
      <c r="HO49" s="395"/>
      <c r="HP49" s="395"/>
      <c r="HQ49" s="395"/>
      <c r="HR49" s="395"/>
      <c r="HS49" s="395"/>
      <c r="HT49" s="395"/>
      <c r="HU49" s="395"/>
      <c r="HV49" s="395"/>
      <c r="HW49" s="395"/>
      <c r="HX49" s="395"/>
      <c r="HY49" s="395"/>
      <c r="HZ49" s="395"/>
      <c r="IA49" s="395"/>
      <c r="IB49" s="395"/>
      <c r="IC49" s="395"/>
      <c r="ID49" s="395"/>
      <c r="IE49" s="395"/>
      <c r="IF49" s="395"/>
      <c r="IG49" s="395"/>
      <c r="IH49" s="395"/>
      <c r="II49" s="395"/>
      <c r="IJ49" s="395"/>
      <c r="IK49" s="395"/>
      <c r="IL49" s="395"/>
      <c r="IM49" s="395"/>
      <c r="IN49" s="395"/>
      <c r="IO49" s="395"/>
      <c r="IP49" s="395"/>
      <c r="IQ49" s="395"/>
      <c r="IR49" s="395"/>
      <c r="IS49" s="395"/>
      <c r="IT49" s="395"/>
      <c r="IU49" s="395"/>
      <c r="IV49" s="395"/>
      <c r="IW49" s="395"/>
    </row>
    <row r="50" customFormat="false" ht="12.75" hidden="false" customHeight="false" outlineLevel="0" collapsed="false">
      <c r="A50" s="323"/>
      <c r="B50" s="323"/>
      <c r="C50" s="395"/>
      <c r="D50" s="422"/>
      <c r="E50" s="422"/>
      <c r="F50" s="422"/>
      <c r="G50" s="422"/>
      <c r="H50" s="422"/>
      <c r="I50" s="422"/>
      <c r="J50" s="422"/>
      <c r="K50" s="422"/>
      <c r="L50" s="422"/>
      <c r="M50" s="422"/>
      <c r="N50" s="422"/>
      <c r="O50" s="422"/>
      <c r="P50" s="422"/>
      <c r="Q50" s="422"/>
      <c r="R50" s="422"/>
      <c r="S50" s="422"/>
      <c r="T50" s="422"/>
      <c r="U50" s="422"/>
      <c r="V50" s="422"/>
      <c r="W50" s="422"/>
      <c r="X50" s="422"/>
      <c r="Y50" s="422"/>
      <c r="Z50" s="422"/>
      <c r="AA50" s="395"/>
      <c r="AB50" s="395"/>
      <c r="AC50" s="395"/>
      <c r="AD50" s="395"/>
      <c r="AE50" s="395"/>
      <c r="AF50" s="395"/>
      <c r="AG50" s="395"/>
      <c r="AH50" s="395"/>
      <c r="AI50" s="395"/>
      <c r="AJ50" s="395"/>
      <c r="AK50" s="395"/>
      <c r="AL50" s="395"/>
      <c r="AM50" s="395"/>
      <c r="AN50" s="395"/>
      <c r="AO50" s="395"/>
      <c r="AP50" s="395"/>
      <c r="AQ50" s="395"/>
      <c r="AR50" s="395"/>
      <c r="AS50" s="395"/>
      <c r="AT50" s="395"/>
      <c r="AU50" s="395"/>
      <c r="AV50" s="395"/>
      <c r="AW50" s="395"/>
      <c r="AX50" s="395"/>
      <c r="AY50" s="395"/>
      <c r="AZ50" s="395"/>
      <c r="BA50" s="395"/>
      <c r="BB50" s="395"/>
      <c r="BC50" s="395"/>
      <c r="BD50" s="395"/>
      <c r="BE50" s="395"/>
      <c r="BF50" s="395"/>
      <c r="BG50" s="395"/>
      <c r="BH50" s="395"/>
      <c r="BI50" s="395"/>
      <c r="BJ50" s="395"/>
      <c r="BK50" s="395"/>
      <c r="BL50" s="395"/>
      <c r="BM50" s="395"/>
      <c r="BN50" s="395"/>
      <c r="BO50" s="395"/>
      <c r="BP50" s="395"/>
      <c r="BQ50" s="395"/>
      <c r="BR50" s="395"/>
      <c r="BS50" s="395"/>
      <c r="BT50" s="395"/>
      <c r="BU50" s="395"/>
      <c r="BV50" s="395"/>
      <c r="BW50" s="395"/>
      <c r="BX50" s="395"/>
      <c r="BY50" s="395"/>
      <c r="BZ50" s="395"/>
      <c r="CA50" s="395"/>
      <c r="CB50" s="395"/>
      <c r="CC50" s="395"/>
      <c r="CD50" s="395"/>
      <c r="CE50" s="395"/>
      <c r="CF50" s="395"/>
      <c r="CG50" s="395"/>
      <c r="CH50" s="395"/>
      <c r="CI50" s="395"/>
      <c r="CJ50" s="395"/>
      <c r="CK50" s="395"/>
      <c r="CL50" s="395"/>
      <c r="CM50" s="395"/>
      <c r="CN50" s="395"/>
      <c r="CO50" s="395"/>
      <c r="CP50" s="395"/>
      <c r="CQ50" s="395"/>
      <c r="CR50" s="395"/>
      <c r="CS50" s="395"/>
      <c r="CT50" s="395"/>
      <c r="CU50" s="395"/>
      <c r="CV50" s="395"/>
      <c r="CW50" s="395"/>
      <c r="CX50" s="395"/>
      <c r="CY50" s="395"/>
      <c r="CZ50" s="395"/>
      <c r="DA50" s="395"/>
      <c r="DB50" s="395"/>
      <c r="DC50" s="395"/>
      <c r="DD50" s="395"/>
      <c r="DE50" s="395"/>
      <c r="DF50" s="395"/>
      <c r="DG50" s="395"/>
      <c r="DH50" s="395"/>
      <c r="DI50" s="395"/>
      <c r="DJ50" s="395"/>
      <c r="DK50" s="395"/>
      <c r="DL50" s="395"/>
      <c r="DM50" s="395"/>
      <c r="DN50" s="395"/>
      <c r="DO50" s="395"/>
      <c r="DP50" s="395"/>
      <c r="DQ50" s="395"/>
      <c r="DR50" s="395"/>
      <c r="DS50" s="395"/>
      <c r="DT50" s="395"/>
      <c r="DU50" s="395"/>
      <c r="DV50" s="395"/>
      <c r="DW50" s="395"/>
      <c r="DX50" s="395"/>
      <c r="DY50" s="395"/>
      <c r="DZ50" s="395"/>
      <c r="EA50" s="395"/>
      <c r="EB50" s="395"/>
      <c r="EC50" s="395"/>
      <c r="ED50" s="395"/>
      <c r="EE50" s="395"/>
      <c r="EF50" s="395"/>
      <c r="EG50" s="395"/>
      <c r="EH50" s="395"/>
      <c r="EI50" s="395"/>
      <c r="EJ50" s="395"/>
      <c r="EK50" s="395"/>
      <c r="EL50" s="395"/>
      <c r="EM50" s="395"/>
      <c r="EN50" s="395"/>
      <c r="EO50" s="395"/>
      <c r="EP50" s="395"/>
      <c r="EQ50" s="395"/>
      <c r="ER50" s="395"/>
      <c r="ES50" s="395"/>
      <c r="ET50" s="395"/>
      <c r="EU50" s="395"/>
      <c r="EV50" s="395"/>
      <c r="EW50" s="395"/>
      <c r="EX50" s="395"/>
      <c r="EY50" s="395"/>
      <c r="EZ50" s="395"/>
      <c r="FA50" s="395"/>
      <c r="FB50" s="395"/>
      <c r="FC50" s="395"/>
      <c r="FD50" s="395"/>
      <c r="FE50" s="395"/>
      <c r="FF50" s="395"/>
      <c r="FG50" s="395"/>
      <c r="FH50" s="395"/>
      <c r="FI50" s="395"/>
      <c r="FJ50" s="395"/>
      <c r="FK50" s="395"/>
      <c r="FL50" s="395"/>
      <c r="FM50" s="395"/>
      <c r="FN50" s="395"/>
      <c r="FO50" s="395"/>
      <c r="FP50" s="395"/>
      <c r="FQ50" s="395"/>
      <c r="FR50" s="395"/>
      <c r="FS50" s="395"/>
      <c r="FT50" s="395"/>
      <c r="FU50" s="395"/>
      <c r="FV50" s="395"/>
      <c r="FW50" s="395"/>
      <c r="FX50" s="395"/>
      <c r="FY50" s="395"/>
      <c r="FZ50" s="395"/>
      <c r="GA50" s="395"/>
      <c r="GB50" s="395"/>
      <c r="GC50" s="395"/>
      <c r="GD50" s="395"/>
      <c r="GE50" s="395"/>
      <c r="GF50" s="395"/>
      <c r="GG50" s="395"/>
      <c r="GH50" s="395"/>
      <c r="GI50" s="395"/>
      <c r="GJ50" s="395"/>
      <c r="GK50" s="395"/>
      <c r="GL50" s="395"/>
      <c r="GM50" s="395"/>
      <c r="GN50" s="395"/>
      <c r="GO50" s="395"/>
      <c r="GP50" s="395"/>
      <c r="GQ50" s="395"/>
      <c r="GR50" s="395"/>
      <c r="GS50" s="395"/>
      <c r="GT50" s="395"/>
      <c r="GU50" s="395"/>
      <c r="GV50" s="395"/>
      <c r="GW50" s="395"/>
      <c r="GX50" s="395"/>
      <c r="GY50" s="395"/>
      <c r="GZ50" s="395"/>
      <c r="HA50" s="395"/>
      <c r="HB50" s="395"/>
      <c r="HC50" s="395"/>
      <c r="HD50" s="395"/>
      <c r="HE50" s="395"/>
      <c r="HF50" s="395"/>
      <c r="HG50" s="395"/>
      <c r="HH50" s="395"/>
      <c r="HI50" s="395"/>
      <c r="HJ50" s="395"/>
      <c r="HK50" s="395"/>
      <c r="HL50" s="395"/>
      <c r="HM50" s="395"/>
      <c r="HN50" s="395"/>
      <c r="HO50" s="395"/>
      <c r="HP50" s="395"/>
      <c r="HQ50" s="395"/>
      <c r="HR50" s="395"/>
      <c r="HS50" s="395"/>
      <c r="HT50" s="395"/>
      <c r="HU50" s="395"/>
      <c r="HV50" s="395"/>
      <c r="HW50" s="395"/>
      <c r="HX50" s="395"/>
      <c r="HY50" s="395"/>
      <c r="HZ50" s="395"/>
      <c r="IA50" s="395"/>
      <c r="IB50" s="395"/>
      <c r="IC50" s="395"/>
      <c r="ID50" s="395"/>
      <c r="IE50" s="395"/>
      <c r="IF50" s="395"/>
      <c r="IG50" s="395"/>
      <c r="IH50" s="395"/>
      <c r="II50" s="395"/>
      <c r="IJ50" s="395"/>
      <c r="IK50" s="395"/>
      <c r="IL50" s="395"/>
      <c r="IM50" s="395"/>
      <c r="IN50" s="395"/>
      <c r="IO50" s="395"/>
      <c r="IP50" s="395"/>
      <c r="IQ50" s="395"/>
      <c r="IR50" s="395"/>
      <c r="IS50" s="395"/>
      <c r="IT50" s="395"/>
      <c r="IU50" s="395"/>
      <c r="IV50" s="395"/>
      <c r="IW50" s="395"/>
    </row>
    <row r="51" customFormat="false" ht="12.75" hidden="false" customHeight="false" outlineLevel="0" collapsed="false">
      <c r="A51" s="327" t="s">
        <v>294</v>
      </c>
      <c r="C51" s="659" t="n">
        <f aca="false">Assumptions!$N$44</f>
        <v>0.05</v>
      </c>
      <c r="D51" s="115"/>
      <c r="E51" s="115" t="n">
        <f aca="false">E49*-$C$51</f>
        <v>-0</v>
      </c>
      <c r="F51" s="115" t="n">
        <f aca="false">F49*-$C$51</f>
        <v>-128.776472978508</v>
      </c>
      <c r="G51" s="115" t="n">
        <f aca="false">G49*-$C$51</f>
        <v>-96.1594005060394</v>
      </c>
      <c r="H51" s="417" t="n">
        <f aca="false">H49*-$C$51</f>
        <v>-108.489736577261</v>
      </c>
      <c r="I51" s="115" t="n">
        <f aca="false">I49*-$C$51</f>
        <v>-561.659397511562</v>
      </c>
      <c r="J51" s="115" t="n">
        <f aca="false">J49*-$C$51</f>
        <v>-584.350921205085</v>
      </c>
      <c r="K51" s="115" t="n">
        <f aca="false">K49*-$C$51</f>
        <v>-613.226855170944</v>
      </c>
      <c r="L51" s="115" t="n">
        <f aca="false">L49*-$C$51</f>
        <v>-643.596063496476</v>
      </c>
      <c r="M51" s="115" t="n">
        <f aca="false">M49*-$C$51</f>
        <v>-703.56257092329</v>
      </c>
      <c r="N51" s="115" t="n">
        <f aca="false">N49*-$C$51</f>
        <v>-739.53397195868</v>
      </c>
      <c r="O51" s="115" t="n">
        <f aca="false">O49*-$C$51</f>
        <v>-809.301973728001</v>
      </c>
      <c r="P51" s="115" t="n">
        <f aca="false">P49*-$C$51</f>
        <v>-816.518205684437</v>
      </c>
      <c r="Q51" s="115" t="n">
        <f aca="false">Q49*-$C$51</f>
        <v>-886.559063775697</v>
      </c>
      <c r="R51" s="115" t="n">
        <f aca="false">R49*-$C$51</f>
        <v>-929.066893335368</v>
      </c>
      <c r="S51" s="115" t="n">
        <f aca="false">S49*-$C$51</f>
        <v>-973.207507387697</v>
      </c>
      <c r="T51" s="115" t="n">
        <f aca="false">T49*-$C$51</f>
        <v>-1018.63748605848</v>
      </c>
      <c r="U51" s="115" t="n">
        <f aca="false">U49*-$C$51</f>
        <v>-1067.36095361892</v>
      </c>
      <c r="V51" s="115" t="n">
        <f aca="false">V49*-$C$51</f>
        <v>-1117.95111782468</v>
      </c>
      <c r="W51" s="115" t="n">
        <f aca="false">W49*-$C$51</f>
        <v>-1167.70005498162</v>
      </c>
      <c r="X51" s="115" t="n">
        <f aca="false">X49*-$C$51</f>
        <v>-1209.50825703636</v>
      </c>
      <c r="Y51" s="115" t="n">
        <f aca="false">Y49*-$C$51</f>
        <v>-1243.81392860466</v>
      </c>
      <c r="Z51" s="115" t="n">
        <f aca="false">Z49*-$C$51</f>
        <v>-1278.63596637536</v>
      </c>
    </row>
    <row r="52" customFormat="false" ht="12.75" hidden="false" customHeight="false" outlineLevel="0" collapsed="false">
      <c r="A52" s="327" t="s">
        <v>295</v>
      </c>
      <c r="C52" s="659" t="n">
        <f aca="false">Assumptions!$N$43</f>
        <v>0.35</v>
      </c>
      <c r="D52" s="660"/>
      <c r="E52" s="660" t="n">
        <f aca="false">(E49+E51)*-$C$52</f>
        <v>-0</v>
      </c>
      <c r="F52" s="660" t="n">
        <f aca="false">(F49+F51)*-$C$52</f>
        <v>-856.363545307077</v>
      </c>
      <c r="G52" s="660" t="n">
        <f aca="false">(G49+G51)*-$C$52</f>
        <v>-639.460013365162</v>
      </c>
      <c r="H52" s="660" t="n">
        <f aca="false">(H49+H51)*-$C$52</f>
        <v>-721.456748238783</v>
      </c>
      <c r="I52" s="660" t="n">
        <f aca="false">(I49+I51)*-$C$52</f>
        <v>-3735.03499345188</v>
      </c>
      <c r="J52" s="660" t="n">
        <f aca="false">(J49+J51)*-$C$52</f>
        <v>-3885.93362601382</v>
      </c>
      <c r="K52" s="660" t="n">
        <f aca="false">(K49+K51)*-$C$52</f>
        <v>-4077.95858688678</v>
      </c>
      <c r="L52" s="660" t="n">
        <f aca="false">(L49+L51)*-$C$52</f>
        <v>-4279.91382225157</v>
      </c>
      <c r="M52" s="660" t="n">
        <f aca="false">(M49+M51)*-$C$52</f>
        <v>-4678.69109663988</v>
      </c>
      <c r="N52" s="660" t="n">
        <f aca="false">(N49+N51)*-$C$52</f>
        <v>-4917.90091352522</v>
      </c>
      <c r="O52" s="660" t="n">
        <f aca="false">(O49+O51)*-$C$52</f>
        <v>-5381.85812529121</v>
      </c>
      <c r="P52" s="660" t="n">
        <f aca="false">(P49+P51)*-$C$52</f>
        <v>-5429.8460678015</v>
      </c>
      <c r="Q52" s="660" t="n">
        <f aca="false">(Q49+Q51)*-$C$52</f>
        <v>-5895.61777410839</v>
      </c>
      <c r="R52" s="660" t="n">
        <f aca="false">(R49+R51)*-$C$52</f>
        <v>-6178.2948406802</v>
      </c>
      <c r="S52" s="660" t="n">
        <f aca="false">(S49+S51)*-$C$52</f>
        <v>-6471.82992412818</v>
      </c>
      <c r="T52" s="660" t="n">
        <f aca="false">(T49+T51)*-$C$52</f>
        <v>-6773.93928228891</v>
      </c>
      <c r="U52" s="660" t="n">
        <f aca="false">(U49+U51)*-$C$52</f>
        <v>-7097.95034156583</v>
      </c>
      <c r="V52" s="660" t="n">
        <f aca="false">(V49+V51)*-$C$52</f>
        <v>-7434.37493353411</v>
      </c>
      <c r="W52" s="660" t="n">
        <f aca="false">(W49+W51)*-$C$52</f>
        <v>-7765.20536562777</v>
      </c>
      <c r="X52" s="660" t="n">
        <f aca="false">(X49+X51)*-$C$52</f>
        <v>-8043.22990929177</v>
      </c>
      <c r="Y52" s="660" t="n">
        <f aca="false">(Y49+Y51)*-$C$52</f>
        <v>-8271.36262522101</v>
      </c>
      <c r="Z52" s="660" t="n">
        <f aca="false">(Z49+Z51)*-$C$52</f>
        <v>-8502.92917639613</v>
      </c>
    </row>
    <row r="53" customFormat="false" ht="6" hidden="false" customHeight="true" outlineLevel="0" collapsed="false"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</row>
    <row r="54" customFormat="false" ht="15.75" hidden="false" customHeight="false" outlineLevel="0" collapsed="false">
      <c r="A54" s="344" t="s">
        <v>471</v>
      </c>
      <c r="B54" s="344"/>
      <c r="C54" s="344"/>
      <c r="D54" s="661"/>
      <c r="E54" s="661" t="n">
        <f aca="false">SUM(E49:E52)</f>
        <v>0</v>
      </c>
      <c r="F54" s="661" t="n">
        <f aca="false">SUM(F49:F52)</f>
        <v>1590.38944128457</v>
      </c>
      <c r="G54" s="661" t="n">
        <f aca="false">SUM(G49:G52)</f>
        <v>1187.56859624959</v>
      </c>
      <c r="H54" s="661" t="n">
        <f aca="false">SUM(H49:H52)</f>
        <v>1339.84824672917</v>
      </c>
      <c r="I54" s="661" t="n">
        <f aca="false">SUM(I49:I52)</f>
        <v>6936.49355926779</v>
      </c>
      <c r="J54" s="661" t="n">
        <f aca="false">SUM(J49:J52)</f>
        <v>7216.7338768828</v>
      </c>
      <c r="K54" s="661" t="n">
        <f aca="false">SUM(K49:K52)</f>
        <v>7573.35166136116</v>
      </c>
      <c r="L54" s="661" t="n">
        <f aca="false">SUM(L49:L52)</f>
        <v>7948.41138418148</v>
      </c>
      <c r="M54" s="661" t="n">
        <f aca="false">SUM(M49:M52)</f>
        <v>8688.99775090263</v>
      </c>
      <c r="N54" s="661" t="n">
        <f aca="false">SUM(N49:N52)</f>
        <v>9133.2445536897</v>
      </c>
      <c r="O54" s="661" t="n">
        <f aca="false">SUM(O49:O52)</f>
        <v>9994.87937554081</v>
      </c>
      <c r="P54" s="661" t="n">
        <f aca="false">SUM(P49:P52)</f>
        <v>10083.9998402028</v>
      </c>
      <c r="Q54" s="661" t="n">
        <f aca="false">SUM(Q49:Q52)</f>
        <v>10949.0044376299</v>
      </c>
      <c r="R54" s="661" t="n">
        <f aca="false">SUM(R49:R52)</f>
        <v>11473.9761326918</v>
      </c>
      <c r="S54" s="661" t="n">
        <f aca="false">SUM(S49:S52)</f>
        <v>12019.1127162381</v>
      </c>
      <c r="T54" s="661" t="n">
        <f aca="false">SUM(T49:T52)</f>
        <v>12580.1729528223</v>
      </c>
      <c r="U54" s="661" t="n">
        <f aca="false">SUM(U49:U52)</f>
        <v>13181.9077771937</v>
      </c>
      <c r="V54" s="661" t="n">
        <f aca="false">SUM(V49:V52)</f>
        <v>13806.6963051348</v>
      </c>
      <c r="W54" s="661" t="n">
        <f aca="false">SUM(W49:W52)</f>
        <v>14421.095679023</v>
      </c>
      <c r="X54" s="661" t="n">
        <f aca="false">SUM(X49:X52)</f>
        <v>14937.426974399</v>
      </c>
      <c r="Y54" s="661" t="n">
        <f aca="false">SUM(Y49:Y52)</f>
        <v>15361.1020182676</v>
      </c>
      <c r="Z54" s="661" t="n">
        <f aca="false">SUM(Z49:Z52)</f>
        <v>15791.1541847357</v>
      </c>
      <c r="AA54" s="662"/>
      <c r="AB54" s="662"/>
      <c r="AC54" s="662"/>
      <c r="AD54" s="662"/>
      <c r="AE54" s="662"/>
      <c r="AF54" s="662"/>
      <c r="AG54" s="662"/>
      <c r="AH54" s="662"/>
      <c r="AI54" s="662"/>
      <c r="AJ54" s="662"/>
      <c r="AK54" s="662"/>
      <c r="AL54" s="662"/>
      <c r="AM54" s="662"/>
      <c r="AN54" s="662"/>
      <c r="AO54" s="662"/>
      <c r="AP54" s="662"/>
      <c r="AQ54" s="662"/>
      <c r="AR54" s="662"/>
      <c r="AS54" s="662"/>
      <c r="AT54" s="662"/>
      <c r="AU54" s="662"/>
      <c r="AV54" s="662"/>
      <c r="AW54" s="662"/>
      <c r="AX54" s="662"/>
      <c r="AY54" s="662"/>
      <c r="AZ54" s="662"/>
      <c r="BA54" s="662"/>
      <c r="BB54" s="662"/>
      <c r="BC54" s="662"/>
      <c r="BD54" s="662"/>
      <c r="BE54" s="662"/>
      <c r="BF54" s="662"/>
      <c r="BG54" s="662"/>
      <c r="BH54" s="662"/>
      <c r="BI54" s="662"/>
      <c r="BJ54" s="662"/>
      <c r="BK54" s="662"/>
      <c r="BL54" s="662"/>
      <c r="BM54" s="662"/>
      <c r="BN54" s="662"/>
      <c r="BO54" s="662"/>
      <c r="BP54" s="662"/>
      <c r="BQ54" s="662"/>
      <c r="BR54" s="662"/>
      <c r="BS54" s="662"/>
      <c r="BT54" s="662"/>
      <c r="BU54" s="662"/>
      <c r="BV54" s="662"/>
      <c r="BW54" s="662"/>
      <c r="BX54" s="662"/>
      <c r="BY54" s="662"/>
      <c r="BZ54" s="662"/>
      <c r="CA54" s="662"/>
      <c r="CB54" s="662"/>
      <c r="CC54" s="662"/>
      <c r="CD54" s="662"/>
      <c r="CE54" s="662"/>
      <c r="CF54" s="662"/>
      <c r="CG54" s="662"/>
      <c r="CH54" s="662"/>
      <c r="CI54" s="662"/>
      <c r="CJ54" s="662"/>
      <c r="CK54" s="662"/>
      <c r="CL54" s="662"/>
      <c r="CM54" s="662"/>
      <c r="CN54" s="662"/>
      <c r="CO54" s="662"/>
      <c r="CP54" s="662"/>
      <c r="CQ54" s="662"/>
      <c r="CR54" s="662"/>
      <c r="CS54" s="662"/>
      <c r="CT54" s="662"/>
      <c r="CU54" s="662"/>
      <c r="CV54" s="662"/>
      <c r="CW54" s="662"/>
      <c r="CX54" s="662"/>
      <c r="CY54" s="662"/>
      <c r="CZ54" s="662"/>
      <c r="DA54" s="662"/>
      <c r="DB54" s="662"/>
      <c r="DC54" s="662"/>
      <c r="DD54" s="662"/>
      <c r="DE54" s="662"/>
      <c r="DF54" s="662"/>
      <c r="DG54" s="662"/>
      <c r="DH54" s="662"/>
      <c r="DI54" s="662"/>
      <c r="DJ54" s="662"/>
      <c r="DK54" s="662"/>
      <c r="DL54" s="662"/>
      <c r="DM54" s="662"/>
      <c r="DN54" s="662"/>
      <c r="DO54" s="662"/>
      <c r="DP54" s="662"/>
      <c r="DQ54" s="662"/>
      <c r="DR54" s="662"/>
      <c r="DS54" s="662"/>
      <c r="DT54" s="662"/>
      <c r="DU54" s="662"/>
      <c r="DV54" s="662"/>
      <c r="DW54" s="662"/>
      <c r="DX54" s="662"/>
      <c r="DY54" s="662"/>
      <c r="DZ54" s="662"/>
      <c r="EA54" s="662"/>
      <c r="EB54" s="662"/>
      <c r="EC54" s="662"/>
      <c r="ED54" s="662"/>
      <c r="EE54" s="662"/>
      <c r="EF54" s="662"/>
      <c r="EG54" s="662"/>
      <c r="EH54" s="662"/>
      <c r="EI54" s="662"/>
      <c r="EJ54" s="662"/>
      <c r="EK54" s="662"/>
      <c r="EL54" s="662"/>
      <c r="EM54" s="662"/>
      <c r="EN54" s="662"/>
      <c r="EO54" s="662"/>
      <c r="EP54" s="662"/>
      <c r="EQ54" s="662"/>
      <c r="ER54" s="662"/>
      <c r="ES54" s="662"/>
      <c r="ET54" s="662"/>
      <c r="EU54" s="662"/>
      <c r="EV54" s="662"/>
      <c r="EW54" s="662"/>
      <c r="EX54" s="662"/>
      <c r="EY54" s="662"/>
      <c r="EZ54" s="662"/>
      <c r="FA54" s="662"/>
      <c r="FB54" s="662"/>
      <c r="FC54" s="662"/>
      <c r="FD54" s="662"/>
      <c r="FE54" s="662"/>
      <c r="FF54" s="662"/>
      <c r="FG54" s="662"/>
      <c r="FH54" s="662"/>
      <c r="FI54" s="662"/>
      <c r="FJ54" s="662"/>
      <c r="FK54" s="662"/>
      <c r="FL54" s="662"/>
      <c r="FM54" s="662"/>
      <c r="FN54" s="662"/>
      <c r="FO54" s="662"/>
      <c r="FP54" s="662"/>
      <c r="FQ54" s="662"/>
      <c r="FR54" s="662"/>
      <c r="FS54" s="662"/>
      <c r="FT54" s="662"/>
      <c r="FU54" s="662"/>
      <c r="FV54" s="662"/>
      <c r="FW54" s="662"/>
      <c r="FX54" s="662"/>
      <c r="FY54" s="662"/>
      <c r="FZ54" s="662"/>
      <c r="GA54" s="662"/>
      <c r="GB54" s="662"/>
      <c r="GC54" s="662"/>
      <c r="GD54" s="662"/>
      <c r="GE54" s="662"/>
      <c r="GF54" s="662"/>
      <c r="GG54" s="662"/>
      <c r="GH54" s="662"/>
      <c r="GI54" s="662"/>
      <c r="GJ54" s="662"/>
      <c r="GK54" s="662"/>
      <c r="GL54" s="662"/>
      <c r="GM54" s="662"/>
      <c r="GN54" s="662"/>
      <c r="GO54" s="662"/>
      <c r="GP54" s="662"/>
      <c r="GQ54" s="662"/>
      <c r="GR54" s="662"/>
      <c r="GS54" s="662"/>
      <c r="GT54" s="662"/>
      <c r="GU54" s="662"/>
      <c r="GV54" s="662"/>
      <c r="GW54" s="662"/>
      <c r="GX54" s="662"/>
      <c r="GY54" s="662"/>
      <c r="GZ54" s="662"/>
      <c r="HA54" s="662"/>
      <c r="HB54" s="662"/>
      <c r="HC54" s="662"/>
      <c r="HD54" s="662"/>
      <c r="HE54" s="662"/>
      <c r="HF54" s="662"/>
      <c r="HG54" s="662"/>
      <c r="HH54" s="662"/>
      <c r="HI54" s="662"/>
      <c r="HJ54" s="662"/>
      <c r="HK54" s="662"/>
      <c r="HL54" s="662"/>
      <c r="HM54" s="662"/>
      <c r="HN54" s="662"/>
      <c r="HO54" s="662"/>
      <c r="HP54" s="662"/>
      <c r="HQ54" s="662"/>
      <c r="HR54" s="662"/>
      <c r="HS54" s="662"/>
      <c r="HT54" s="662"/>
      <c r="HU54" s="662"/>
      <c r="HV54" s="662"/>
      <c r="HW54" s="662"/>
      <c r="HX54" s="662"/>
      <c r="HY54" s="662"/>
      <c r="HZ54" s="662"/>
      <c r="IA54" s="662"/>
      <c r="IB54" s="662"/>
      <c r="IC54" s="662"/>
      <c r="ID54" s="662"/>
      <c r="IE54" s="662"/>
      <c r="IF54" s="662"/>
      <c r="IG54" s="662"/>
      <c r="IH54" s="662"/>
      <c r="II54" s="662"/>
      <c r="IJ54" s="662"/>
      <c r="IK54" s="662"/>
      <c r="IL54" s="662"/>
      <c r="IM54" s="662"/>
      <c r="IN54" s="662"/>
      <c r="IO54" s="662"/>
      <c r="IP54" s="662"/>
      <c r="IQ54" s="662"/>
      <c r="IR54" s="662"/>
      <c r="IS54" s="662"/>
      <c r="IT54" s="662"/>
      <c r="IU54" s="662"/>
      <c r="IV54" s="662"/>
      <c r="IW54" s="662"/>
    </row>
    <row r="55" customFormat="false" ht="9" hidden="false" customHeight="false" outlineLevel="1" collapsed="false">
      <c r="A55" s="331"/>
      <c r="B55" s="654" t="n">
        <f aca="false">SUM(I55:Z55)</f>
        <v>0</v>
      </c>
      <c r="C55" s="654"/>
      <c r="D55" s="331"/>
      <c r="E55" s="331"/>
      <c r="F55" s="663"/>
      <c r="G55" s="663"/>
      <c r="H55" s="663"/>
      <c r="I55" s="663"/>
      <c r="J55" s="663"/>
      <c r="K55" s="663"/>
      <c r="L55" s="663"/>
      <c r="M55" s="663"/>
      <c r="N55" s="663"/>
      <c r="O55" s="663"/>
      <c r="P55" s="663"/>
      <c r="Q55" s="663"/>
      <c r="R55" s="663"/>
      <c r="S55" s="663"/>
      <c r="T55" s="663"/>
      <c r="U55" s="663"/>
      <c r="V55" s="663"/>
      <c r="W55" s="663"/>
      <c r="X55" s="663"/>
      <c r="Y55" s="663"/>
      <c r="Z55" s="663"/>
      <c r="AA55" s="653"/>
      <c r="AB55" s="653"/>
      <c r="AC55" s="653"/>
      <c r="AD55" s="653"/>
      <c r="AE55" s="653"/>
      <c r="AF55" s="653"/>
      <c r="AG55" s="653"/>
      <c r="AH55" s="653"/>
      <c r="AI55" s="653"/>
      <c r="AJ55" s="653"/>
      <c r="AK55" s="653"/>
      <c r="AL55" s="653"/>
      <c r="AM55" s="653"/>
      <c r="AN55" s="653"/>
      <c r="AO55" s="653"/>
      <c r="AP55" s="653"/>
      <c r="AQ55" s="653"/>
      <c r="AR55" s="653"/>
      <c r="AS55" s="653"/>
      <c r="AT55" s="653"/>
      <c r="AU55" s="653"/>
      <c r="AV55" s="653"/>
      <c r="AW55" s="653"/>
      <c r="AX55" s="653"/>
      <c r="AY55" s="653"/>
      <c r="AZ55" s="653"/>
      <c r="BA55" s="653"/>
      <c r="BB55" s="653"/>
      <c r="BC55" s="653"/>
      <c r="BD55" s="653"/>
      <c r="BE55" s="653"/>
      <c r="BF55" s="653"/>
      <c r="BG55" s="653"/>
      <c r="BH55" s="653"/>
      <c r="BI55" s="653"/>
      <c r="BJ55" s="653"/>
      <c r="BK55" s="653"/>
      <c r="BL55" s="653"/>
      <c r="BM55" s="653"/>
      <c r="BN55" s="653"/>
      <c r="BO55" s="653"/>
      <c r="BP55" s="653"/>
      <c r="BQ55" s="653"/>
      <c r="BR55" s="653"/>
      <c r="BS55" s="653"/>
      <c r="BT55" s="653"/>
      <c r="BU55" s="653"/>
      <c r="BV55" s="653"/>
      <c r="BW55" s="653"/>
      <c r="BX55" s="653"/>
      <c r="BY55" s="653"/>
      <c r="BZ55" s="653"/>
      <c r="CA55" s="653"/>
      <c r="CB55" s="653"/>
      <c r="CC55" s="653"/>
      <c r="CD55" s="653"/>
      <c r="CE55" s="653"/>
      <c r="CF55" s="653"/>
      <c r="CG55" s="653"/>
      <c r="CH55" s="653"/>
      <c r="CI55" s="653"/>
      <c r="CJ55" s="653"/>
      <c r="CK55" s="653"/>
      <c r="CL55" s="653"/>
      <c r="CM55" s="653"/>
      <c r="CN55" s="653"/>
      <c r="CO55" s="653"/>
      <c r="CP55" s="653"/>
      <c r="CQ55" s="653"/>
      <c r="CR55" s="653"/>
      <c r="CS55" s="653"/>
      <c r="CT55" s="653"/>
      <c r="CU55" s="653"/>
      <c r="CV55" s="653"/>
      <c r="CW55" s="653"/>
      <c r="CX55" s="653"/>
      <c r="CY55" s="653"/>
      <c r="CZ55" s="653"/>
      <c r="DA55" s="653"/>
      <c r="DB55" s="653"/>
      <c r="DC55" s="653"/>
      <c r="DD55" s="653"/>
      <c r="DE55" s="653"/>
      <c r="DF55" s="653"/>
      <c r="DG55" s="653"/>
      <c r="DH55" s="653"/>
      <c r="DI55" s="653"/>
      <c r="DJ55" s="653"/>
      <c r="DK55" s="653"/>
      <c r="DL55" s="653"/>
      <c r="DM55" s="653"/>
      <c r="DN55" s="653"/>
      <c r="DO55" s="653"/>
      <c r="DP55" s="653"/>
      <c r="DQ55" s="653"/>
      <c r="DR55" s="653"/>
      <c r="DS55" s="653"/>
      <c r="DT55" s="653"/>
      <c r="DU55" s="653"/>
      <c r="DV55" s="653"/>
      <c r="DW55" s="653"/>
      <c r="DX55" s="653"/>
      <c r="DY55" s="653"/>
      <c r="DZ55" s="653"/>
      <c r="EA55" s="653"/>
      <c r="EB55" s="653"/>
      <c r="EC55" s="653"/>
      <c r="ED55" s="653"/>
      <c r="EE55" s="653"/>
      <c r="EF55" s="653"/>
      <c r="EG55" s="653"/>
      <c r="EH55" s="653"/>
      <c r="EI55" s="653"/>
      <c r="EJ55" s="653"/>
      <c r="EK55" s="653"/>
      <c r="EL55" s="653"/>
      <c r="EM55" s="653"/>
      <c r="EN55" s="653"/>
      <c r="EO55" s="653"/>
      <c r="EP55" s="653"/>
      <c r="EQ55" s="653"/>
      <c r="ER55" s="653"/>
      <c r="ES55" s="653"/>
      <c r="ET55" s="653"/>
      <c r="EU55" s="653"/>
      <c r="EV55" s="653"/>
      <c r="EW55" s="653"/>
      <c r="EX55" s="653"/>
      <c r="EY55" s="653"/>
      <c r="EZ55" s="653"/>
      <c r="FA55" s="653"/>
      <c r="FB55" s="653"/>
      <c r="FC55" s="653"/>
      <c r="FD55" s="653"/>
      <c r="FE55" s="653"/>
      <c r="FF55" s="653"/>
      <c r="FG55" s="653"/>
      <c r="FH55" s="653"/>
      <c r="FI55" s="653"/>
      <c r="FJ55" s="653"/>
      <c r="FK55" s="653"/>
      <c r="FL55" s="653"/>
      <c r="FM55" s="653"/>
      <c r="FN55" s="653"/>
      <c r="FO55" s="653"/>
      <c r="FP55" s="653"/>
      <c r="FQ55" s="653"/>
      <c r="FR55" s="653"/>
      <c r="FS55" s="653"/>
      <c r="FT55" s="653"/>
      <c r="FU55" s="653"/>
      <c r="FV55" s="653"/>
      <c r="FW55" s="653"/>
      <c r="FX55" s="653"/>
      <c r="FY55" s="653"/>
      <c r="FZ55" s="653"/>
      <c r="GA55" s="653"/>
      <c r="GB55" s="653"/>
      <c r="GC55" s="653"/>
      <c r="GD55" s="653"/>
      <c r="GE55" s="653"/>
      <c r="GF55" s="653"/>
      <c r="GG55" s="653"/>
      <c r="GH55" s="653"/>
      <c r="GI55" s="653"/>
      <c r="GJ55" s="653"/>
      <c r="GK55" s="653"/>
      <c r="GL55" s="653"/>
      <c r="GM55" s="653"/>
      <c r="GN55" s="653"/>
      <c r="GO55" s="653"/>
      <c r="GP55" s="653"/>
      <c r="GQ55" s="653"/>
      <c r="GR55" s="653"/>
      <c r="GS55" s="653"/>
      <c r="GT55" s="653"/>
      <c r="GU55" s="653"/>
      <c r="GV55" s="653"/>
      <c r="GW55" s="653"/>
      <c r="GX55" s="653"/>
      <c r="GY55" s="653"/>
      <c r="GZ55" s="653"/>
      <c r="HA55" s="653"/>
      <c r="HB55" s="653"/>
      <c r="HC55" s="653"/>
      <c r="HD55" s="653"/>
      <c r="HE55" s="653"/>
      <c r="HF55" s="653"/>
      <c r="HG55" s="653"/>
      <c r="HH55" s="653"/>
      <c r="HI55" s="653"/>
      <c r="HJ55" s="653"/>
      <c r="HK55" s="653"/>
      <c r="HL55" s="653"/>
      <c r="HM55" s="653"/>
      <c r="HN55" s="653"/>
      <c r="HO55" s="653"/>
      <c r="HP55" s="653"/>
      <c r="HQ55" s="653"/>
      <c r="HR55" s="653"/>
      <c r="HS55" s="653"/>
      <c r="HT55" s="653"/>
      <c r="HU55" s="653"/>
      <c r="HV55" s="653"/>
      <c r="HW55" s="653"/>
      <c r="HX55" s="653"/>
      <c r="HY55" s="653"/>
      <c r="HZ55" s="653"/>
      <c r="IA55" s="653"/>
      <c r="IB55" s="653"/>
      <c r="IC55" s="653"/>
      <c r="ID55" s="653"/>
      <c r="IE55" s="653"/>
      <c r="IF55" s="653"/>
      <c r="IG55" s="653"/>
      <c r="IH55" s="653"/>
      <c r="II55" s="653"/>
      <c r="IJ55" s="653"/>
      <c r="IK55" s="653"/>
      <c r="IL55" s="653"/>
      <c r="IM55" s="653"/>
      <c r="IN55" s="653"/>
      <c r="IO55" s="653"/>
      <c r="IP55" s="653"/>
      <c r="IQ55" s="653"/>
      <c r="IR55" s="653"/>
      <c r="IS55" s="653"/>
      <c r="IT55" s="653"/>
      <c r="IU55" s="653"/>
      <c r="IV55" s="653"/>
      <c r="IW55" s="653"/>
    </row>
    <row r="56" customFormat="false" ht="12.75" hidden="false" customHeight="false" outlineLevel="0" collapsed="false">
      <c r="A56" s="323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</row>
    <row r="57" customFormat="false" ht="12.75" hidden="false" customHeight="false" outlineLevel="1" collapsed="false">
      <c r="A57" s="367"/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</row>
    <row r="58" customFormat="false" ht="18.75" hidden="false" customHeight="false" outlineLevel="1" collapsed="false">
      <c r="A58" s="356" t="s">
        <v>472</v>
      </c>
      <c r="D58" s="102"/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</row>
    <row r="59" customFormat="false" ht="12.75" hidden="false" customHeight="false" outlineLevel="1" collapsed="false">
      <c r="A59" s="323"/>
      <c r="D59" s="102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</row>
    <row r="60" customFormat="false" ht="12.75" hidden="false" customHeight="true" outlineLevel="1" collapsed="false">
      <c r="A60" s="323" t="s">
        <v>460</v>
      </c>
      <c r="B60" s="664"/>
      <c r="C60" s="733" t="n">
        <f aca="false">Assumptions!B13</f>
        <v>0.5</v>
      </c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</row>
    <row r="61" customFormat="false" ht="12.75" hidden="false" customHeight="true" outlineLevel="1" collapsed="false">
      <c r="A61" s="323"/>
      <c r="D61" s="102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</row>
    <row r="62" customFormat="false" ht="13.5" hidden="false" customHeight="false" outlineLevel="1" collapsed="false">
      <c r="A62" s="319" t="s">
        <v>269</v>
      </c>
      <c r="B62" s="359"/>
      <c r="C62" s="359"/>
      <c r="D62" s="320"/>
      <c r="E62" s="320" t="n">
        <v>1999</v>
      </c>
      <c r="F62" s="320" t="n">
        <f aca="false">E62+1</f>
        <v>2000</v>
      </c>
      <c r="G62" s="320" t="n">
        <f aca="false">F62+1</f>
        <v>2001</v>
      </c>
      <c r="H62" s="320" t="n">
        <f aca="false">G62+1</f>
        <v>2002</v>
      </c>
      <c r="I62" s="320" t="n">
        <f aca="false">H62+1</f>
        <v>2003</v>
      </c>
      <c r="J62" s="320" t="n">
        <f aca="false">I62+1</f>
        <v>2004</v>
      </c>
      <c r="K62" s="320" t="n">
        <f aca="false">J62+1</f>
        <v>2005</v>
      </c>
      <c r="L62" s="320" t="n">
        <f aca="false">K62+1</f>
        <v>2006</v>
      </c>
      <c r="M62" s="320" t="n">
        <f aca="false">L62+1</f>
        <v>2007</v>
      </c>
      <c r="N62" s="320" t="n">
        <f aca="false">M62+1</f>
        <v>2008</v>
      </c>
      <c r="O62" s="320" t="n">
        <f aca="false">N62+1</f>
        <v>2009</v>
      </c>
      <c r="P62" s="320" t="n">
        <f aca="false">O62+1</f>
        <v>2010</v>
      </c>
      <c r="Q62" s="320" t="n">
        <f aca="false">P62+1</f>
        <v>2011</v>
      </c>
      <c r="R62" s="320" t="n">
        <f aca="false">Q62+1</f>
        <v>2012</v>
      </c>
      <c r="S62" s="320" t="n">
        <f aca="false">R62+1</f>
        <v>2013</v>
      </c>
      <c r="T62" s="320" t="n">
        <f aca="false">S62+1</f>
        <v>2014</v>
      </c>
      <c r="U62" s="320" t="n">
        <f aca="false">T62+1</f>
        <v>2015</v>
      </c>
      <c r="V62" s="320" t="n">
        <f aca="false">U62+1</f>
        <v>2016</v>
      </c>
      <c r="W62" s="320" t="n">
        <f aca="false">V62+1</f>
        <v>2017</v>
      </c>
      <c r="X62" s="320" t="n">
        <f aca="false">W62+1</f>
        <v>2018</v>
      </c>
      <c r="Y62" s="320" t="n">
        <f aca="false">X62+1</f>
        <v>2019</v>
      </c>
      <c r="Z62" s="320" t="n">
        <f aca="false">Y62+1</f>
        <v>2020</v>
      </c>
    </row>
    <row r="63" customFormat="false" ht="12.75" hidden="false" customHeight="false" outlineLevel="1" collapsed="false">
      <c r="A63" s="366"/>
      <c r="D63" s="102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</row>
    <row r="64" customFormat="false" ht="12.75" hidden="false" customHeight="false" outlineLevel="1" collapsed="false">
      <c r="A64" s="367" t="s">
        <v>289</v>
      </c>
      <c r="D64" s="102"/>
      <c r="E64" s="102" t="n">
        <f aca="false">E39</f>
        <v>0</v>
      </c>
      <c r="F64" s="102" t="n">
        <f aca="false">F39</f>
        <v>15022.6741460959</v>
      </c>
      <c r="G64" s="102" t="n">
        <f aca="false">G39</f>
        <v>15346.7470517847</v>
      </c>
      <c r="H64" s="102" t="n">
        <f aca="false">H39</f>
        <v>15296.8092223461</v>
      </c>
      <c r="I64" s="102" t="n">
        <f aca="false">I39</f>
        <v>24068.5168715566</v>
      </c>
      <c r="J64" s="102" t="n">
        <f aca="false">J39</f>
        <v>24330.479337945</v>
      </c>
      <c r="K64" s="102" t="n">
        <f aca="false">K39</f>
        <v>24584.910579546</v>
      </c>
      <c r="L64" s="102" t="n">
        <f aca="false">L39</f>
        <v>24837.8836190247</v>
      </c>
      <c r="M64" s="102" t="n">
        <f aca="false">M39</f>
        <v>25627.7646772724</v>
      </c>
      <c r="N64" s="102" t="n">
        <f aca="false">N39</f>
        <v>25878.536101764</v>
      </c>
      <c r="O64" s="102" t="n">
        <f aca="false">O39</f>
        <v>26705.170516831</v>
      </c>
      <c r="P64" s="102" t="n">
        <f aca="false">P39</f>
        <v>26347.1271782774</v>
      </c>
      <c r="Q64" s="102" t="n">
        <f aca="false">Q39</f>
        <v>27265.5627682943</v>
      </c>
      <c r="R64" s="102" t="n">
        <f aca="false">R39</f>
        <v>27582.8125374573</v>
      </c>
      <c r="S64" s="102" t="n">
        <f aca="false">S39</f>
        <v>27891.4726652124</v>
      </c>
      <c r="T64" s="102" t="n">
        <f aca="false">T39</f>
        <v>28186.9215426936</v>
      </c>
      <c r="U64" s="102" t="n">
        <f aca="false">U39</f>
        <v>28497.3045949531</v>
      </c>
      <c r="V64" s="102" t="n">
        <f aca="false">V39</f>
        <v>28817.3752210402</v>
      </c>
      <c r="W64" s="102" t="n">
        <f aca="false">W39</f>
        <v>29126.9504546553</v>
      </c>
      <c r="X64" s="102" t="n">
        <f aca="false">X39</f>
        <v>29336.7558437812</v>
      </c>
      <c r="Y64" s="102" t="n">
        <f aca="false">Y39</f>
        <v>29480.0877012036</v>
      </c>
      <c r="Z64" s="102" t="n">
        <f aca="false">Z39</f>
        <v>29889.0690131275</v>
      </c>
    </row>
    <row r="65" customFormat="false" ht="12.75" hidden="false" customHeight="false" outlineLevel="1" collapsed="false">
      <c r="A65" s="367" t="s">
        <v>461</v>
      </c>
      <c r="D65" s="652"/>
      <c r="E65" s="652" t="n">
        <v>0</v>
      </c>
      <c r="F65" s="652" t="n">
        <v>0</v>
      </c>
      <c r="G65" s="652" t="n">
        <v>0</v>
      </c>
      <c r="H65" s="652" t="n">
        <v>0</v>
      </c>
      <c r="I65" s="652" t="n">
        <v>0</v>
      </c>
      <c r="J65" s="652" t="n">
        <v>0</v>
      </c>
      <c r="K65" s="652" t="n">
        <v>0</v>
      </c>
      <c r="L65" s="652" t="n">
        <v>0</v>
      </c>
      <c r="M65" s="652" t="n">
        <v>0</v>
      </c>
      <c r="N65" s="652" t="n">
        <v>0</v>
      </c>
      <c r="O65" s="652" t="n">
        <v>0</v>
      </c>
      <c r="P65" s="652" t="n">
        <v>0</v>
      </c>
      <c r="Q65" s="652" t="n">
        <v>0</v>
      </c>
      <c r="R65" s="652" t="n">
        <v>0</v>
      </c>
      <c r="S65" s="652" t="n">
        <v>0</v>
      </c>
      <c r="T65" s="652" t="n">
        <v>0</v>
      </c>
      <c r="U65" s="652" t="n">
        <v>0</v>
      </c>
      <c r="V65" s="652" t="n">
        <v>0</v>
      </c>
      <c r="W65" s="652" t="n">
        <v>0</v>
      </c>
      <c r="X65" s="652" t="n">
        <v>0</v>
      </c>
      <c r="Y65" s="652" t="n">
        <v>0</v>
      </c>
      <c r="Z65" s="652" t="n">
        <v>0</v>
      </c>
    </row>
    <row r="66" customFormat="false" ht="15" hidden="false" customHeight="false" outlineLevel="1" collapsed="false">
      <c r="A66" s="367" t="s">
        <v>338</v>
      </c>
      <c r="D66" s="666"/>
      <c r="E66" s="666" t="n">
        <f aca="false">Allocation!$I$9*CF!D15</f>
        <v>0</v>
      </c>
      <c r="F66" s="666" t="n">
        <f aca="false">Allocation!$K$9*(CF!E16+CF!E15)+Allocation!$I$9*(CF!G16+CF!G15-CF!G14)</f>
        <v>-9587.60740393528</v>
      </c>
      <c r="G66" s="666" t="n">
        <f aca="false">Allocation!$I$9*(CF!H16+CF!H15)</f>
        <v>-12514.0273379789</v>
      </c>
      <c r="H66" s="666" t="n">
        <f aca="false">Allocation!$I$9*(CF!I16+CF!I15)</f>
        <v>-12439.7419785906</v>
      </c>
      <c r="I66" s="666" t="n">
        <f aca="false">Allocation!$I$9*(CF!J16+CF!J15)</f>
        <v>-11058.9863708889</v>
      </c>
      <c r="J66" s="666" t="n">
        <f aca="false">Allocation!$I$9*(CF!K16+CF!K15)</f>
        <v>-11197.1248532394</v>
      </c>
      <c r="K66" s="666" t="n">
        <f aca="false">Allocation!$I$9*(CF!L16+CF!L15)</f>
        <v>-11396.253331623</v>
      </c>
      <c r="L66" s="666" t="n">
        <f aca="false">Allocation!$I$9*(CF!M16+CF!M15)</f>
        <v>-11470.3270588269</v>
      </c>
      <c r="M66" s="666" t="n">
        <f aca="false">Allocation!$I$9*(CF!N16+CF!N15)</f>
        <v>-11730.3855532817</v>
      </c>
      <c r="N66" s="666" t="n">
        <f aca="false">Allocation!$I$9*(CF!O16+CF!O15)</f>
        <v>-11877.6759350293</v>
      </c>
      <c r="O66" s="666" t="n">
        <f aca="false">Allocation!$I$9*(CF!P16+CF!P15)</f>
        <v>-12117.4838269758</v>
      </c>
      <c r="P66" s="666" t="n">
        <f aca="false">Allocation!$I$9*(CF!Q16+CF!Q15)</f>
        <v>-10564.3134866464</v>
      </c>
      <c r="Q66" s="666" t="n">
        <f aca="false">Allocation!$I$9*(CF!R16+CF!R15)</f>
        <v>-10092.8311668833</v>
      </c>
      <c r="R66" s="666" t="n">
        <f aca="false">Allocation!$I$9*(CF!S16+CF!S15)</f>
        <v>-10067.1827401485</v>
      </c>
      <c r="S66" s="666" t="n">
        <f aca="false">Allocation!$I$9*(CF!T16+CF!T15)</f>
        <v>-9858.06900626679</v>
      </c>
      <c r="T66" s="666" t="n">
        <f aca="false">Allocation!$I$9*(CF!U16+CF!U15)</f>
        <v>-9647.36556126421</v>
      </c>
      <c r="U66" s="666" t="n">
        <f aca="false">Allocation!$I$9*(CF!V16+CF!V15)</f>
        <v>-9546.0744282355</v>
      </c>
      <c r="V66" s="666" t="n">
        <f aca="false">Allocation!$I$9*(CF!W16+CF!W15)</f>
        <v>-8987.63129409382</v>
      </c>
      <c r="W66" s="666" t="n">
        <f aca="false">Allocation!$I$9*(CF!X16+CF!X15)</f>
        <v>-8140.64769046979</v>
      </c>
      <c r="X66" s="666" t="n">
        <f aca="false">Allocation!$I$9*(CF!Y16+CF!Y15)</f>
        <v>-6709.42390456545</v>
      </c>
      <c r="Y66" s="666" t="n">
        <f aca="false">Allocation!$I$9*(CF!Z16+CF!Z15)</f>
        <v>-5315.443756285</v>
      </c>
      <c r="Z66" s="666" t="n">
        <f aca="false">Allocation!$I$9*(CF!AA16+CF!AA15)</f>
        <v>-0</v>
      </c>
    </row>
    <row r="67" customFormat="false" ht="12.75" hidden="false" customHeight="false" outlineLevel="1" collapsed="false">
      <c r="A67" s="366" t="s">
        <v>308</v>
      </c>
      <c r="D67" s="372"/>
      <c r="E67" s="372" t="n">
        <f aca="false">SUM(E64:E66)</f>
        <v>0</v>
      </c>
      <c r="F67" s="372" t="n">
        <f aca="false">SUM(F64:F66)</f>
        <v>5435.06674216057</v>
      </c>
      <c r="G67" s="372" t="n">
        <f aca="false">SUM(G64:G66)</f>
        <v>2832.71971380578</v>
      </c>
      <c r="H67" s="372" t="n">
        <f aca="false">SUM(H64:H66)</f>
        <v>2857.06724375547</v>
      </c>
      <c r="I67" s="372" t="n">
        <f aca="false">SUM(I64:I66)</f>
        <v>13009.5305006677</v>
      </c>
      <c r="J67" s="372" t="n">
        <f aca="false">SUM(J64:J66)</f>
        <v>13133.3544847057</v>
      </c>
      <c r="K67" s="372" t="n">
        <f aca="false">SUM(K64:K66)</f>
        <v>13188.657247923</v>
      </c>
      <c r="L67" s="372" t="n">
        <f aca="false">SUM(L64:L66)</f>
        <v>13367.5565601979</v>
      </c>
      <c r="M67" s="372" t="n">
        <f aca="false">SUM(M64:M66)</f>
        <v>13897.3791239908</v>
      </c>
      <c r="N67" s="372" t="n">
        <f aca="false">SUM(N64:N66)</f>
        <v>14000.8601667346</v>
      </c>
      <c r="O67" s="372" t="n">
        <f aca="false">SUM(O64:O66)</f>
        <v>14587.6866898552</v>
      </c>
      <c r="P67" s="372" t="n">
        <f aca="false">SUM(P64:P66)</f>
        <v>15782.813691631</v>
      </c>
      <c r="Q67" s="372" t="n">
        <f aca="false">SUM(Q64:Q66)</f>
        <v>17172.731601411</v>
      </c>
      <c r="R67" s="372" t="n">
        <f aca="false">SUM(R64:R66)</f>
        <v>17515.6297973088</v>
      </c>
      <c r="S67" s="372" t="n">
        <f aca="false">SUM(S64:S66)</f>
        <v>18033.4036589456</v>
      </c>
      <c r="T67" s="372" t="n">
        <f aca="false">SUM(T64:T66)</f>
        <v>18539.5559814294</v>
      </c>
      <c r="U67" s="372" t="n">
        <f aca="false">SUM(U64:U66)</f>
        <v>18951.2301667176</v>
      </c>
      <c r="V67" s="372" t="n">
        <f aca="false">SUM(V64:V66)</f>
        <v>19829.7439269464</v>
      </c>
      <c r="W67" s="372" t="n">
        <f aca="false">SUM(W64:W66)</f>
        <v>20986.3027641856</v>
      </c>
      <c r="X67" s="372" t="n">
        <f aca="false">SUM(X64:X66)</f>
        <v>22627.3319392158</v>
      </c>
      <c r="Y67" s="372" t="n">
        <f aca="false">SUM(Y64:Y66)</f>
        <v>24164.6439449186</v>
      </c>
      <c r="Z67" s="372" t="n">
        <f aca="false">SUM(Z64:Z66)</f>
        <v>29889.0690131275</v>
      </c>
    </row>
    <row r="68" customFormat="false" ht="12.75" hidden="false" customHeight="false" outlineLevel="1" collapsed="false">
      <c r="A68" s="366"/>
      <c r="D68" s="102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2"/>
      <c r="Z68" s="102"/>
    </row>
    <row r="69" customFormat="false" ht="15" hidden="false" customHeight="false" outlineLevel="1" collapsed="false">
      <c r="A69" s="367" t="s">
        <v>462</v>
      </c>
      <c r="D69" s="666"/>
      <c r="E69" s="666" t="n">
        <v>0</v>
      </c>
      <c r="F69" s="368" t="n">
        <f aca="false">Allocation!$I$9*CF!G24*7/12+Allocation!$K$9*CF!G24*5/12</f>
        <v>-0</v>
      </c>
      <c r="G69" s="666" t="n">
        <f aca="false">Allocation!$I$9*CF!H24</f>
        <v>-0</v>
      </c>
      <c r="H69" s="666" t="n">
        <f aca="false">Allocation!$I$9*CF!I24</f>
        <v>-0</v>
      </c>
      <c r="I69" s="666" t="n">
        <f aca="false">Allocation!$I$9*CF!J24</f>
        <v>-0</v>
      </c>
      <c r="J69" s="666" t="n">
        <f aca="false">Allocation!$I$9*CF!K24</f>
        <v>-0</v>
      </c>
      <c r="K69" s="666" t="n">
        <f aca="false">Allocation!$I$9*CF!L24</f>
        <v>-0</v>
      </c>
      <c r="L69" s="666" t="n">
        <f aca="false">Allocation!$I$9*CF!M24</f>
        <v>-522.531580726421</v>
      </c>
      <c r="M69" s="666" t="n">
        <f aca="false">Allocation!$I$9*CF!N24</f>
        <v>-591.151029154053</v>
      </c>
      <c r="N69" s="666" t="n">
        <f aca="false">Allocation!$I$9*CF!O24</f>
        <v>-636.692171162634</v>
      </c>
      <c r="O69" s="666" t="n">
        <f aca="false">Allocation!$I$9*CF!P24</f>
        <v>-708.261383549428</v>
      </c>
      <c r="P69" s="666" t="n">
        <f aca="false">Allocation!$I$9*CF!Q24</f>
        <v>-746.273839853169</v>
      </c>
      <c r="Q69" s="666" t="n">
        <f aca="false">Allocation!$I$9*CF!R24</f>
        <v>-813.306193748553</v>
      </c>
      <c r="R69" s="666" t="n">
        <f aca="false">Allocation!$I$9*CF!S24</f>
        <v>-863.720038920395</v>
      </c>
      <c r="S69" s="666" t="n">
        <f aca="false">Allocation!$I$9*CF!T24</f>
        <v>-908.514021047377</v>
      </c>
      <c r="T69" s="666" t="n">
        <f aca="false">Allocation!$I$9*CF!U24</f>
        <v>-960.104516920328</v>
      </c>
      <c r="U69" s="666" t="n">
        <f aca="false">Allocation!$I$9*CF!V24</f>
        <v>-1304.84878267703</v>
      </c>
      <c r="V69" s="666" t="n">
        <f aca="false">Allocation!$I$9*CF!W24</f>
        <v>-1651.27417798299</v>
      </c>
      <c r="W69" s="666" t="n">
        <f aca="false">Allocation!$I$9*CF!X24</f>
        <v>-1708.34019066999</v>
      </c>
      <c r="X69" s="666" t="n">
        <f aca="false">Allocation!$I$9*CF!Y24</f>
        <v>-1759.63044676959</v>
      </c>
      <c r="Y69" s="666" t="n">
        <f aca="false">Allocation!$I$9*CF!Z24</f>
        <v>-1786.90518026302</v>
      </c>
      <c r="Z69" s="666" t="n">
        <f aca="false">Allocation!$I$9*CF!AA24</f>
        <v>-1829.04550110322</v>
      </c>
    </row>
    <row r="70" customFormat="false" ht="15" hidden="false" customHeight="false" outlineLevel="1" collapsed="false">
      <c r="A70" s="367" t="s">
        <v>463</v>
      </c>
      <c r="D70" s="666"/>
      <c r="E70" s="660" t="n">
        <f aca="false">Allocation!$K$9*CF!D25</f>
        <v>-0</v>
      </c>
      <c r="F70" s="666" t="n">
        <f aca="false">Allocation!$I$9*(-Tax!E39)*7/12+Allocation!$K$9*(-Tax!E39)*5/12</f>
        <v>1634.68029529544</v>
      </c>
      <c r="G70" s="666" t="n">
        <f aca="false">Allocation!$I$9*CF!H25</f>
        <v>2845.01905522377</v>
      </c>
      <c r="H70" s="666" t="n">
        <f aca="false">Allocation!$I$9*CF!I25</f>
        <v>2231.46771273787</v>
      </c>
      <c r="I70" s="666" t="n">
        <f aca="false">Allocation!$I$9*CF!J25</f>
        <v>-1402.93596043539</v>
      </c>
      <c r="J70" s="666" t="n">
        <f aca="false">Allocation!$I$9*CF!K25</f>
        <v>-2016.6238424443</v>
      </c>
      <c r="K70" s="666" t="n">
        <f aca="false">Allocation!$I$9*CF!L25</f>
        <v>-2684.54246939816</v>
      </c>
      <c r="L70" s="666" t="n">
        <f aca="false">Allocation!$I$9*CF!M25</f>
        <v>-2866.56336739687</v>
      </c>
      <c r="M70" s="666" t="n">
        <f aca="false">Allocation!$I$9*CF!N25</f>
        <v>-3185.24973546428</v>
      </c>
      <c r="N70" s="666" t="n">
        <f aca="false">Allocation!$I$9*CF!O25</f>
        <v>-3430.6352687402</v>
      </c>
      <c r="O70" s="666" t="n">
        <f aca="false">Allocation!$I$9*CF!P25</f>
        <v>-3816.26568056346</v>
      </c>
      <c r="P70" s="666" t="n">
        <f aca="false">Allocation!$I$9*CF!Q25</f>
        <v>-4021.08502522248</v>
      </c>
      <c r="Q70" s="666" t="n">
        <f aca="false">Allocation!$I$9*CF!R25</f>
        <v>-4382.26986121669</v>
      </c>
      <c r="R70" s="666" t="n">
        <f aca="false">Allocation!$I$9*CF!S25</f>
        <v>-4653.91057412748</v>
      </c>
      <c r="S70" s="666" t="n">
        <f aca="false">Allocation!$I$9*CF!T25</f>
        <v>-4895.27024819341</v>
      </c>
      <c r="T70" s="666" t="n">
        <f aca="false">Allocation!$I$9*CF!U25</f>
        <v>-5173.25100983894</v>
      </c>
      <c r="U70" s="666" t="n">
        <f aca="false">Allocation!$I$9*CF!V25</f>
        <v>-7030.80775447622</v>
      </c>
      <c r="V70" s="666" t="n">
        <f aca="false">Allocation!$I$9*CF!W25</f>
        <v>-8897.42278910699</v>
      </c>
      <c r="W70" s="666" t="n">
        <f aca="false">Allocation!$I$9*CF!X25</f>
        <v>-9204.9068208533</v>
      </c>
      <c r="X70" s="666" t="n">
        <f aca="false">Allocation!$I$9*CF!Y25</f>
        <v>-9481.26982559494</v>
      </c>
      <c r="Y70" s="666" t="n">
        <f aca="false">Allocation!$I$9*CF!Z25</f>
        <v>-9628.23199492272</v>
      </c>
      <c r="Z70" s="666" t="n">
        <f aca="false">Allocation!$I$9*CF!AA25</f>
        <v>-9855.29316743003</v>
      </c>
    </row>
    <row r="71" customFormat="false" ht="12.75" hidden="false" customHeight="false" outlineLevel="1" collapsed="false">
      <c r="A71" s="367"/>
      <c r="D71" s="734"/>
      <c r="E71" s="734"/>
      <c r="F71" s="734"/>
      <c r="G71" s="734"/>
      <c r="H71" s="734"/>
      <c r="I71" s="734"/>
      <c r="J71" s="734"/>
      <c r="K71" s="734"/>
      <c r="L71" s="734"/>
      <c r="M71" s="734"/>
      <c r="N71" s="734"/>
      <c r="O71" s="734"/>
      <c r="P71" s="734"/>
      <c r="Q71" s="734"/>
      <c r="R71" s="734"/>
      <c r="S71" s="734"/>
      <c r="T71" s="734"/>
      <c r="U71" s="734"/>
      <c r="V71" s="734"/>
      <c r="W71" s="734"/>
      <c r="X71" s="734"/>
      <c r="Y71" s="734"/>
      <c r="Z71" s="734"/>
    </row>
    <row r="72" customFormat="false" ht="15.75" hidden="false" customHeight="false" outlineLevel="1" collapsed="false">
      <c r="A72" s="731" t="s">
        <v>313</v>
      </c>
      <c r="B72" s="37"/>
      <c r="C72" s="37"/>
      <c r="D72" s="669"/>
      <c r="E72" s="669" t="n">
        <f aca="false">E67+E70+E69</f>
        <v>0</v>
      </c>
      <c r="F72" s="669" t="n">
        <f aca="false">F67+F70+F69</f>
        <v>7069.74703745602</v>
      </c>
      <c r="G72" s="669" t="n">
        <f aca="false">G67+G70+G69</f>
        <v>5677.73876902955</v>
      </c>
      <c r="H72" s="669" t="n">
        <f aca="false">H67+H70+H69</f>
        <v>5088.53495649334</v>
      </c>
      <c r="I72" s="669" t="n">
        <f aca="false">I67+I70+I69</f>
        <v>11606.5945402323</v>
      </c>
      <c r="J72" s="669" t="n">
        <f aca="false">J67+J70+J69</f>
        <v>11116.7306422614</v>
      </c>
      <c r="K72" s="669" t="n">
        <f aca="false">K67+K70+K69</f>
        <v>10504.1147785248</v>
      </c>
      <c r="L72" s="669" t="n">
        <f aca="false">L67+L70+L69</f>
        <v>9978.46161207458</v>
      </c>
      <c r="M72" s="669" t="n">
        <f aca="false">M67+M70+M69</f>
        <v>10120.9783593724</v>
      </c>
      <c r="N72" s="669" t="n">
        <f aca="false">N67+N70+N69</f>
        <v>9933.53272683181</v>
      </c>
      <c r="O72" s="669" t="n">
        <f aca="false">O67+O70+O69</f>
        <v>10063.1596257423</v>
      </c>
      <c r="P72" s="669" t="n">
        <f aca="false">P67+P70+P69</f>
        <v>11015.4548265554</v>
      </c>
      <c r="Q72" s="669" t="n">
        <f aca="false">Q67+Q70+Q69</f>
        <v>11977.1555464457</v>
      </c>
      <c r="R72" s="669" t="n">
        <f aca="false">R67+R70+R69</f>
        <v>11997.999184261</v>
      </c>
      <c r="S72" s="669" t="n">
        <f aca="false">S67+S70+S69</f>
        <v>12229.6193897048</v>
      </c>
      <c r="T72" s="669" t="n">
        <f aca="false">T67+T70+T69</f>
        <v>12406.2004546701</v>
      </c>
      <c r="U72" s="669" t="n">
        <f aca="false">U67+U70+U69</f>
        <v>10615.5736295644</v>
      </c>
      <c r="V72" s="669" t="n">
        <f aca="false">V67+V70+V69</f>
        <v>9281.04695985641</v>
      </c>
      <c r="W72" s="669" t="n">
        <f aca="false">W67+W70+W69</f>
        <v>10073.0557526623</v>
      </c>
      <c r="X72" s="669" t="n">
        <f aca="false">X67+X70+X69</f>
        <v>11386.4316668512</v>
      </c>
      <c r="Y72" s="669" t="n">
        <f aca="false">Y67+Y70+Y69</f>
        <v>12749.5067697328</v>
      </c>
      <c r="Z72" s="669" t="n">
        <f aca="false">Z67+Z70+Z69</f>
        <v>18204.7303445943</v>
      </c>
      <c r="AA72" s="208"/>
      <c r="AB72" s="208"/>
      <c r="AC72" s="208"/>
      <c r="AD72" s="208"/>
      <c r="AE72" s="208"/>
      <c r="AF72" s="208"/>
      <c r="AG72" s="208"/>
      <c r="AH72" s="208"/>
      <c r="AI72" s="208"/>
      <c r="AJ72" s="208"/>
      <c r="AK72" s="208"/>
      <c r="AL72" s="208"/>
      <c r="AM72" s="208"/>
      <c r="AN72" s="208"/>
      <c r="AO72" s="208"/>
      <c r="AP72" s="208"/>
      <c r="AQ72" s="208"/>
      <c r="AR72" s="208"/>
      <c r="AS72" s="208"/>
      <c r="AT72" s="208"/>
      <c r="AU72" s="208"/>
      <c r="AV72" s="208"/>
      <c r="AW72" s="208"/>
      <c r="AX72" s="208"/>
      <c r="AY72" s="208"/>
      <c r="AZ72" s="208"/>
      <c r="BA72" s="208"/>
      <c r="BB72" s="208"/>
      <c r="BC72" s="208"/>
      <c r="BD72" s="208"/>
      <c r="BE72" s="208"/>
      <c r="BF72" s="208"/>
      <c r="BG72" s="208"/>
      <c r="BH72" s="208"/>
      <c r="BI72" s="208"/>
      <c r="BJ72" s="208"/>
      <c r="BK72" s="208"/>
      <c r="BL72" s="208"/>
      <c r="BM72" s="208"/>
      <c r="BN72" s="208"/>
      <c r="BO72" s="208"/>
      <c r="BP72" s="208"/>
      <c r="BQ72" s="208"/>
      <c r="BR72" s="208"/>
      <c r="BS72" s="208"/>
      <c r="BT72" s="208"/>
      <c r="BU72" s="208"/>
      <c r="BV72" s="208"/>
      <c r="BW72" s="208"/>
      <c r="BX72" s="208"/>
      <c r="BY72" s="208"/>
      <c r="BZ72" s="208"/>
      <c r="CA72" s="208"/>
      <c r="CB72" s="208"/>
      <c r="CC72" s="208"/>
      <c r="CD72" s="208"/>
      <c r="CE72" s="208"/>
      <c r="CF72" s="208"/>
      <c r="CG72" s="208"/>
      <c r="CH72" s="208"/>
      <c r="CI72" s="208"/>
      <c r="CJ72" s="208"/>
      <c r="CK72" s="208"/>
      <c r="CL72" s="208"/>
      <c r="CM72" s="208"/>
      <c r="CN72" s="208"/>
      <c r="CO72" s="208"/>
      <c r="CP72" s="208"/>
      <c r="CQ72" s="208"/>
      <c r="CR72" s="208"/>
      <c r="CS72" s="208"/>
      <c r="CT72" s="208"/>
      <c r="CU72" s="208"/>
      <c r="CV72" s="208"/>
      <c r="CW72" s="208"/>
      <c r="CX72" s="208"/>
      <c r="CY72" s="208"/>
      <c r="CZ72" s="208"/>
      <c r="DA72" s="208"/>
      <c r="DB72" s="208"/>
      <c r="DC72" s="208"/>
      <c r="DD72" s="208"/>
      <c r="DE72" s="208"/>
      <c r="DF72" s="208"/>
      <c r="DG72" s="208"/>
      <c r="DH72" s="208"/>
      <c r="DI72" s="208"/>
      <c r="DJ72" s="208"/>
      <c r="DK72" s="208"/>
      <c r="DL72" s="208"/>
      <c r="DM72" s="208"/>
      <c r="DN72" s="208"/>
      <c r="DO72" s="208"/>
      <c r="DP72" s="208"/>
      <c r="DQ72" s="208"/>
      <c r="DR72" s="208"/>
      <c r="DS72" s="208"/>
      <c r="DT72" s="208"/>
      <c r="DU72" s="208"/>
      <c r="DV72" s="208"/>
      <c r="DW72" s="208"/>
      <c r="DX72" s="208"/>
      <c r="DY72" s="208"/>
      <c r="DZ72" s="208"/>
      <c r="EA72" s="208"/>
      <c r="EB72" s="208"/>
      <c r="EC72" s="208"/>
      <c r="ED72" s="208"/>
      <c r="EE72" s="208"/>
      <c r="EF72" s="208"/>
      <c r="EG72" s="208"/>
      <c r="EH72" s="208"/>
      <c r="EI72" s="208"/>
      <c r="EJ72" s="208"/>
      <c r="EK72" s="208"/>
      <c r="EL72" s="208"/>
      <c r="EM72" s="208"/>
      <c r="EN72" s="208"/>
      <c r="EO72" s="208"/>
      <c r="EP72" s="208"/>
      <c r="EQ72" s="208"/>
      <c r="ER72" s="208"/>
      <c r="ES72" s="208"/>
      <c r="ET72" s="208"/>
      <c r="EU72" s="208"/>
      <c r="EV72" s="208"/>
      <c r="EW72" s="208"/>
      <c r="EX72" s="208"/>
      <c r="EY72" s="208"/>
      <c r="EZ72" s="208"/>
      <c r="FA72" s="208"/>
      <c r="FB72" s="208"/>
      <c r="FC72" s="208"/>
      <c r="FD72" s="208"/>
      <c r="FE72" s="208"/>
      <c r="FF72" s="208"/>
      <c r="FG72" s="208"/>
      <c r="FH72" s="208"/>
      <c r="FI72" s="208"/>
      <c r="FJ72" s="208"/>
      <c r="FK72" s="208"/>
      <c r="FL72" s="208"/>
      <c r="FM72" s="208"/>
      <c r="FN72" s="208"/>
      <c r="FO72" s="208"/>
      <c r="FP72" s="208"/>
      <c r="FQ72" s="208"/>
      <c r="FR72" s="208"/>
      <c r="FS72" s="208"/>
      <c r="FT72" s="208"/>
      <c r="FU72" s="208"/>
      <c r="FV72" s="208"/>
      <c r="FW72" s="208"/>
      <c r="FX72" s="208"/>
      <c r="FY72" s="208"/>
      <c r="FZ72" s="208"/>
      <c r="GA72" s="208"/>
      <c r="GB72" s="208"/>
      <c r="GC72" s="208"/>
      <c r="GD72" s="208"/>
      <c r="GE72" s="208"/>
      <c r="GF72" s="208"/>
      <c r="GG72" s="208"/>
      <c r="GH72" s="208"/>
      <c r="GI72" s="208"/>
      <c r="GJ72" s="208"/>
      <c r="GK72" s="208"/>
      <c r="GL72" s="208"/>
      <c r="GM72" s="208"/>
      <c r="GN72" s="208"/>
      <c r="GO72" s="208"/>
      <c r="GP72" s="208"/>
      <c r="GQ72" s="208"/>
      <c r="GR72" s="208"/>
      <c r="GS72" s="208"/>
      <c r="GT72" s="208"/>
      <c r="GU72" s="208"/>
      <c r="GV72" s="208"/>
      <c r="GW72" s="208"/>
      <c r="GX72" s="208"/>
      <c r="GY72" s="208"/>
      <c r="GZ72" s="208"/>
      <c r="HA72" s="208"/>
      <c r="HB72" s="208"/>
      <c r="HC72" s="208"/>
      <c r="HD72" s="208"/>
      <c r="HE72" s="208"/>
      <c r="HF72" s="208"/>
      <c r="HG72" s="208"/>
      <c r="HH72" s="208"/>
      <c r="HI72" s="208"/>
      <c r="HJ72" s="208"/>
      <c r="HK72" s="208"/>
      <c r="HL72" s="208"/>
      <c r="HM72" s="208"/>
      <c r="HN72" s="208"/>
      <c r="HO72" s="208"/>
      <c r="HP72" s="208"/>
      <c r="HQ72" s="208"/>
      <c r="HR72" s="208"/>
      <c r="HS72" s="208"/>
      <c r="HT72" s="208"/>
      <c r="HU72" s="208"/>
      <c r="HV72" s="208"/>
      <c r="HW72" s="208"/>
      <c r="HX72" s="208"/>
      <c r="HY72" s="208"/>
      <c r="HZ72" s="208"/>
      <c r="IA72" s="208"/>
      <c r="IB72" s="208"/>
      <c r="IC72" s="208"/>
      <c r="ID72" s="208"/>
      <c r="IE72" s="208"/>
      <c r="IF72" s="208"/>
      <c r="IG72" s="208"/>
      <c r="IH72" s="208"/>
      <c r="II72" s="208"/>
      <c r="IJ72" s="208"/>
      <c r="IK72" s="208"/>
      <c r="IL72" s="208"/>
      <c r="IM72" s="208"/>
      <c r="IN72" s="208"/>
      <c r="IO72" s="208"/>
      <c r="IP72" s="208"/>
      <c r="IQ72" s="208"/>
      <c r="IR72" s="208"/>
      <c r="IS72" s="208"/>
      <c r="IT72" s="208"/>
      <c r="IU72" s="208"/>
      <c r="IV72" s="208"/>
      <c r="IW72" s="208"/>
    </row>
    <row r="73" customFormat="false" ht="12.75" hidden="false" customHeight="false" outlineLevel="1" collapsed="false">
      <c r="A73" s="670"/>
      <c r="D73" s="102"/>
      <c r="E73" s="102"/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2"/>
      <c r="Z73" s="102"/>
    </row>
    <row r="74" customFormat="false" ht="12.75" hidden="false" customHeight="false" outlineLevel="1" collapsed="false">
      <c r="A74" s="388"/>
      <c r="D74" s="102"/>
      <c r="E74" s="102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2"/>
      <c r="Z74" s="102"/>
    </row>
    <row r="75" customFormat="false" ht="12.75" hidden="false" customHeight="true" outlineLevel="1" collapsed="false">
      <c r="A75" s="388" t="s">
        <v>464</v>
      </c>
      <c r="B75" s="664"/>
      <c r="C75" s="665" t="n">
        <f aca="false">C60</f>
        <v>0.5</v>
      </c>
      <c r="D75" s="372"/>
      <c r="E75" s="372" t="n">
        <f aca="false">$C$75*E54</f>
        <v>0</v>
      </c>
      <c r="F75" s="372" t="n">
        <f aca="false">$C$75*F54</f>
        <v>795.194720642286</v>
      </c>
      <c r="G75" s="372" t="n">
        <f aca="false">$C$75*G54</f>
        <v>593.784298124793</v>
      </c>
      <c r="H75" s="372" t="n">
        <f aca="false">$C$75*H54</f>
        <v>669.924123364584</v>
      </c>
      <c r="I75" s="372" t="n">
        <f aca="false">$C$75*I54</f>
        <v>3468.24677963389</v>
      </c>
      <c r="J75" s="372" t="n">
        <f aca="false">$C$75*J54</f>
        <v>3608.3669384414</v>
      </c>
      <c r="K75" s="372" t="n">
        <f aca="false">$C$75*K54</f>
        <v>3786.67583068058</v>
      </c>
      <c r="L75" s="372" t="n">
        <f aca="false">$C$75*L54</f>
        <v>3974.20569209074</v>
      </c>
      <c r="M75" s="372" t="n">
        <f aca="false">$C$75*M54</f>
        <v>4344.49887545132</v>
      </c>
      <c r="N75" s="372" t="n">
        <f aca="false">$C$75*N54</f>
        <v>4566.62227684485</v>
      </c>
      <c r="O75" s="372" t="n">
        <f aca="false">$C$75*O54</f>
        <v>4997.43968777041</v>
      </c>
      <c r="P75" s="372" t="n">
        <f aca="false">$C$75*P54</f>
        <v>5041.9999201014</v>
      </c>
      <c r="Q75" s="372" t="n">
        <f aca="false">$C$75*Q54</f>
        <v>5474.50221881493</v>
      </c>
      <c r="R75" s="372" t="n">
        <f aca="false">$C$75*R54</f>
        <v>5736.9880663459</v>
      </c>
      <c r="S75" s="372" t="n">
        <f aca="false">$C$75*S54</f>
        <v>6009.55635811903</v>
      </c>
      <c r="T75" s="372" t="n">
        <f aca="false">$C$75*T54</f>
        <v>6290.08647641113</v>
      </c>
      <c r="U75" s="372" t="n">
        <f aca="false">$C$75*U54</f>
        <v>6590.95388859684</v>
      </c>
      <c r="V75" s="372" t="n">
        <f aca="false">$C$75*V54</f>
        <v>6903.34815256739</v>
      </c>
      <c r="W75" s="372" t="n">
        <f aca="false">$C$75*W54</f>
        <v>7210.5478395115</v>
      </c>
      <c r="X75" s="372" t="n">
        <f aca="false">$C$75*X54</f>
        <v>7468.7134871995</v>
      </c>
      <c r="Y75" s="372" t="n">
        <f aca="false">$C$75*Y54</f>
        <v>7680.55100913379</v>
      </c>
      <c r="Z75" s="372" t="n">
        <f aca="false">$C$75*Z54</f>
        <v>7895.57709236784</v>
      </c>
    </row>
    <row r="76" customFormat="false" ht="12.75" hidden="false" customHeight="false" outlineLevel="1" collapsed="false">
      <c r="A76" s="388" t="s">
        <v>465</v>
      </c>
      <c r="B76" s="664"/>
      <c r="C76" s="665" t="n">
        <f aca="false">C60</f>
        <v>0.5</v>
      </c>
      <c r="D76" s="372"/>
      <c r="E76" s="372" t="n">
        <f aca="false">$C$76*E72</f>
        <v>0</v>
      </c>
      <c r="F76" s="372" t="n">
        <f aca="false">$C$76*F72</f>
        <v>3534.87351872801</v>
      </c>
      <c r="G76" s="372" t="n">
        <f aca="false">$C$76*G72</f>
        <v>2838.86938451477</v>
      </c>
      <c r="H76" s="372" t="n">
        <f aca="false">$C$76*H72</f>
        <v>2544.26747824667</v>
      </c>
      <c r="I76" s="372" t="n">
        <f aca="false">$C$76*I72</f>
        <v>5803.29727011614</v>
      </c>
      <c r="J76" s="372" t="n">
        <f aca="false">$C$76*J72</f>
        <v>5558.36532113068</v>
      </c>
      <c r="K76" s="372" t="n">
        <f aca="false">$C$76*K72</f>
        <v>5252.05738926242</v>
      </c>
      <c r="L76" s="372" t="n">
        <f aca="false">$C$76*L72</f>
        <v>4989.23080603729</v>
      </c>
      <c r="M76" s="372" t="n">
        <f aca="false">$C$76*M72</f>
        <v>5060.48917968621</v>
      </c>
      <c r="N76" s="372" t="n">
        <f aca="false">$C$76*N72</f>
        <v>4966.7663634159</v>
      </c>
      <c r="O76" s="372" t="n">
        <f aca="false">$C$76*O72</f>
        <v>5031.57981287115</v>
      </c>
      <c r="P76" s="372" t="n">
        <f aca="false">$C$76*P72</f>
        <v>5507.72741327768</v>
      </c>
      <c r="Q76" s="372" t="n">
        <f aca="false">$C$76*Q72</f>
        <v>5988.57777322286</v>
      </c>
      <c r="R76" s="372" t="n">
        <f aca="false">$C$76*R72</f>
        <v>5998.99959213048</v>
      </c>
      <c r="S76" s="372" t="n">
        <f aca="false">$C$76*S72</f>
        <v>6114.8096948524</v>
      </c>
      <c r="T76" s="372" t="n">
        <f aca="false">$C$76*T72</f>
        <v>6203.10022733505</v>
      </c>
      <c r="U76" s="372" t="n">
        <f aca="false">$C$76*U72</f>
        <v>5307.78681478219</v>
      </c>
      <c r="V76" s="372" t="n">
        <f aca="false">$C$76*V72</f>
        <v>4640.5234799282</v>
      </c>
      <c r="W76" s="372" t="n">
        <f aca="false">$C$76*W72</f>
        <v>5036.52787633113</v>
      </c>
      <c r="X76" s="372" t="n">
        <f aca="false">$C$76*X72</f>
        <v>5693.21583342561</v>
      </c>
      <c r="Y76" s="372" t="n">
        <f aca="false">$C$76*Y72</f>
        <v>6374.75338486641</v>
      </c>
      <c r="Z76" s="372" t="n">
        <f aca="false">$C$76*Z72</f>
        <v>9102.36517229713</v>
      </c>
    </row>
    <row r="77" customFormat="false" ht="12.75" hidden="false" customHeight="false" outlineLevel="1" collapsed="false">
      <c r="A77" s="388"/>
      <c r="D77" s="102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</row>
    <row r="78" customFormat="false" ht="12.75" hidden="false" customHeight="false" outlineLevel="1" collapsed="false">
      <c r="A78" s="398"/>
      <c r="D78" s="102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</row>
    <row r="79" customFormat="false" ht="12.75" hidden="false" customHeight="false" outlineLevel="1" collapsed="false">
      <c r="A79" s="398"/>
      <c r="D79" s="102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</row>
    <row r="80" customFormat="false" ht="12.75" hidden="false" customHeight="false" outlineLevel="1" collapsed="false">
      <c r="A80" s="398"/>
      <c r="D80" s="102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</row>
    <row r="81" customFormat="false" ht="12.75" hidden="false" customHeight="false" outlineLevel="1" collapsed="false">
      <c r="A81" s="245"/>
      <c r="B81" s="70"/>
      <c r="C81" s="70"/>
      <c r="D81" s="102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  <c r="Z81" s="102"/>
    </row>
    <row r="82" customFormat="false" ht="13.5" hidden="false" customHeight="false" outlineLevel="1" collapsed="false">
      <c r="A82" s="464"/>
      <c r="B82" s="671"/>
      <c r="C82" s="672"/>
      <c r="D82" s="672"/>
      <c r="E82" s="672"/>
      <c r="F82" s="672"/>
      <c r="G82" s="672"/>
      <c r="H82" s="672"/>
      <c r="I82" s="672"/>
      <c r="J82" s="672"/>
      <c r="K82" s="672"/>
      <c r="L82" s="672"/>
      <c r="M82" s="672"/>
      <c r="N82" s="672"/>
      <c r="O82" s="672"/>
      <c r="P82" s="672"/>
      <c r="Q82" s="102"/>
      <c r="R82" s="102"/>
      <c r="S82" s="102"/>
      <c r="T82" s="102"/>
      <c r="U82" s="102"/>
      <c r="V82" s="102"/>
      <c r="W82" s="102"/>
      <c r="X82" s="102"/>
      <c r="Y82" s="102"/>
      <c r="Z82" s="102"/>
    </row>
    <row r="83" customFormat="false" ht="12.75" hidden="false" customHeight="false" outlineLevel="1" collapsed="false">
      <c r="A83" s="464"/>
      <c r="B83" s="70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102"/>
      <c r="R83" s="102"/>
      <c r="S83" s="102"/>
      <c r="T83" s="102"/>
      <c r="U83" s="102"/>
      <c r="V83" s="102"/>
      <c r="W83" s="102"/>
      <c r="X83" s="102"/>
      <c r="Y83" s="102"/>
      <c r="Z83" s="102"/>
    </row>
    <row r="84" customFormat="false" ht="15.75" hidden="false" customHeight="false" outlineLevel="1" collapsed="false">
      <c r="A84" s="673"/>
      <c r="B84" s="70"/>
      <c r="C84" s="70"/>
      <c r="D84" s="70"/>
      <c r="E84" s="70"/>
      <c r="F84" s="70"/>
      <c r="G84" s="70"/>
      <c r="H84" s="70"/>
      <c r="I84" s="70"/>
      <c r="J84" s="674"/>
      <c r="K84" s="70"/>
      <c r="L84" s="70"/>
      <c r="M84" s="70"/>
      <c r="N84" s="70"/>
      <c r="O84" s="70"/>
      <c r="P84" s="70"/>
      <c r="Q84" s="102"/>
      <c r="R84" s="102"/>
      <c r="S84" s="102"/>
      <c r="T84" s="102"/>
      <c r="U84" s="102"/>
      <c r="V84" s="102"/>
      <c r="W84" s="102"/>
      <c r="X84" s="102"/>
      <c r="Y84" s="102"/>
      <c r="Z84" s="102"/>
    </row>
    <row r="85" customFormat="false" ht="12.75" hidden="false" customHeight="false" outlineLevel="1" collapsed="false">
      <c r="A85" s="395"/>
      <c r="B85" s="70"/>
      <c r="C85" s="674"/>
      <c r="D85" s="674"/>
      <c r="E85" s="674"/>
      <c r="F85" s="674"/>
      <c r="G85" s="674"/>
      <c r="H85" s="674"/>
      <c r="I85" s="674"/>
      <c r="J85" s="674"/>
      <c r="K85" s="674"/>
      <c r="L85" s="674"/>
      <c r="M85" s="674"/>
      <c r="N85" s="674"/>
      <c r="O85" s="674"/>
      <c r="P85" s="674"/>
      <c r="Q85" s="102"/>
      <c r="R85" s="102"/>
      <c r="S85" s="102"/>
      <c r="T85" s="102"/>
      <c r="U85" s="102"/>
      <c r="V85" s="102"/>
      <c r="W85" s="102"/>
      <c r="X85" s="102"/>
      <c r="Y85" s="102"/>
      <c r="Z85" s="102"/>
    </row>
    <row r="86" customFormat="false" ht="12.75" hidden="false" customHeight="false" outlineLevel="1" collapsed="false">
      <c r="A86" s="70"/>
      <c r="B86" s="70"/>
      <c r="C86" s="674"/>
      <c r="D86" s="674"/>
      <c r="E86" s="674"/>
      <c r="F86" s="674"/>
      <c r="G86" s="674"/>
      <c r="H86" s="674"/>
      <c r="I86" s="674"/>
      <c r="J86" s="674"/>
      <c r="K86" s="674"/>
      <c r="L86" s="674"/>
      <c r="M86" s="674"/>
      <c r="N86" s="674"/>
      <c r="O86" s="674"/>
      <c r="P86" s="674"/>
      <c r="Q86" s="102"/>
      <c r="R86" s="102"/>
      <c r="S86" s="102"/>
      <c r="T86" s="102"/>
      <c r="U86" s="102"/>
      <c r="V86" s="102"/>
      <c r="W86" s="102"/>
      <c r="X86" s="102"/>
      <c r="Y86" s="102"/>
      <c r="Z86" s="102"/>
    </row>
    <row r="87" customFormat="false" ht="12.75" hidden="false" customHeight="false" outlineLevel="1" collapsed="false">
      <c r="A87" s="70"/>
      <c r="B87" s="70"/>
      <c r="C87" s="674"/>
      <c r="D87" s="70"/>
      <c r="E87" s="70"/>
      <c r="F87" s="70"/>
      <c r="G87" s="70"/>
      <c r="H87" s="70"/>
      <c r="I87" s="674"/>
      <c r="J87" s="70"/>
      <c r="K87" s="70"/>
      <c r="L87" s="70"/>
      <c r="M87" s="70"/>
      <c r="N87" s="674"/>
      <c r="O87" s="674"/>
      <c r="P87" s="674"/>
      <c r="Q87" s="102"/>
      <c r="R87" s="102"/>
      <c r="S87" s="102"/>
      <c r="T87" s="102"/>
      <c r="U87" s="102"/>
      <c r="V87" s="102"/>
      <c r="W87" s="102"/>
      <c r="X87" s="102"/>
      <c r="Y87" s="102"/>
      <c r="Z87" s="102"/>
    </row>
    <row r="88" customFormat="false" ht="12.75" hidden="false" customHeight="false" outlineLevel="0" collapsed="false">
      <c r="A88" s="70"/>
      <c r="B88" s="70"/>
      <c r="C88" s="674"/>
      <c r="D88" s="674"/>
      <c r="E88" s="674"/>
      <c r="F88" s="674"/>
      <c r="G88" s="674"/>
      <c r="H88" s="674"/>
      <c r="I88" s="674"/>
      <c r="J88" s="674"/>
      <c r="K88" s="674"/>
      <c r="L88" s="674"/>
      <c r="M88" s="674"/>
      <c r="N88" s="674"/>
      <c r="O88" s="674"/>
      <c r="P88" s="674"/>
      <c r="Q88" s="321"/>
      <c r="R88" s="321"/>
      <c r="S88" s="321"/>
      <c r="T88" s="321"/>
      <c r="U88" s="321"/>
      <c r="V88" s="321"/>
      <c r="W88" s="321"/>
      <c r="X88" s="321"/>
      <c r="Y88" s="321"/>
      <c r="Z88" s="321"/>
    </row>
    <row r="89" customFormat="false" ht="12.75" hidden="false" customHeight="false" outlineLevel="1" collapsed="false">
      <c r="A89" s="70"/>
      <c r="B89" s="70"/>
      <c r="C89" s="674"/>
      <c r="D89" s="674"/>
      <c r="E89" s="674"/>
      <c r="F89" s="674"/>
      <c r="G89" s="674"/>
      <c r="H89" s="70"/>
      <c r="I89" s="674"/>
      <c r="J89" s="674"/>
      <c r="K89" s="674"/>
      <c r="L89" s="674"/>
      <c r="M89" s="674"/>
      <c r="N89" s="674"/>
      <c r="O89" s="674"/>
      <c r="P89" s="674"/>
      <c r="Q89" s="102"/>
      <c r="R89" s="102"/>
      <c r="S89" s="102"/>
      <c r="T89" s="102"/>
      <c r="U89" s="102"/>
      <c r="V89" s="102"/>
      <c r="W89" s="102"/>
      <c r="X89" s="102"/>
      <c r="Y89" s="102"/>
      <c r="Z89" s="102"/>
    </row>
    <row r="90" customFormat="false" ht="12.75" hidden="false" customHeight="false" outlineLevel="1" collapsed="false">
      <c r="A90" s="70"/>
      <c r="B90" s="70"/>
      <c r="C90" s="674"/>
      <c r="D90" s="674"/>
      <c r="E90" s="674"/>
      <c r="F90" s="674"/>
      <c r="G90" s="674"/>
      <c r="H90" s="70"/>
      <c r="I90" s="674"/>
      <c r="J90" s="674"/>
      <c r="K90" s="674"/>
      <c r="L90" s="674"/>
      <c r="M90" s="674"/>
      <c r="N90" s="674"/>
      <c r="O90" s="674"/>
      <c r="P90" s="674"/>
      <c r="Q90" s="102"/>
      <c r="R90" s="102"/>
      <c r="S90" s="102"/>
      <c r="T90" s="102"/>
      <c r="U90" s="102"/>
      <c r="V90" s="102"/>
      <c r="W90" s="102"/>
      <c r="X90" s="102"/>
      <c r="Y90" s="102"/>
      <c r="Z90" s="102"/>
    </row>
    <row r="91" customFormat="false" ht="12.75" hidden="false" customHeight="false" outlineLevel="1" collapsed="false">
      <c r="A91" s="70"/>
      <c r="B91" s="70"/>
      <c r="C91" s="674"/>
      <c r="D91" s="674"/>
      <c r="E91" s="674"/>
      <c r="F91" s="674"/>
      <c r="G91" s="674"/>
      <c r="H91" s="674"/>
      <c r="I91" s="674"/>
      <c r="J91" s="674"/>
      <c r="K91" s="674"/>
      <c r="L91" s="674"/>
      <c r="M91" s="674"/>
      <c r="N91" s="674"/>
      <c r="O91" s="674"/>
      <c r="P91" s="674"/>
      <c r="Q91" s="102"/>
      <c r="R91" s="102"/>
      <c r="S91" s="102"/>
      <c r="T91" s="102"/>
      <c r="U91" s="102"/>
      <c r="V91" s="102"/>
      <c r="W91" s="102"/>
      <c r="X91" s="102"/>
      <c r="Y91" s="102"/>
      <c r="Z91" s="102"/>
    </row>
    <row r="92" customFormat="false" ht="12.75" hidden="false" customHeight="false" outlineLevel="1" collapsed="false">
      <c r="A92" s="70"/>
      <c r="B92" s="70"/>
      <c r="C92" s="674"/>
      <c r="D92" s="674"/>
      <c r="E92" s="674"/>
      <c r="F92" s="674"/>
      <c r="G92" s="674"/>
      <c r="H92" s="674"/>
      <c r="I92" s="674"/>
      <c r="J92" s="674"/>
      <c r="K92" s="674"/>
      <c r="L92" s="674"/>
      <c r="M92" s="674"/>
      <c r="N92" s="674"/>
      <c r="O92" s="674"/>
      <c r="P92" s="674"/>
      <c r="Q92" s="102"/>
      <c r="R92" s="102"/>
      <c r="S92" s="102"/>
      <c r="T92" s="102"/>
      <c r="U92" s="102"/>
      <c r="V92" s="102"/>
      <c r="W92" s="102"/>
      <c r="X92" s="102"/>
      <c r="Y92" s="102"/>
      <c r="Z92" s="102"/>
    </row>
    <row r="93" customFormat="false" ht="12.75" hidden="false" customHeight="false" outlineLevel="1" collapsed="false">
      <c r="A93" s="70"/>
      <c r="B93" s="70"/>
      <c r="C93" s="674"/>
      <c r="D93" s="674"/>
      <c r="E93" s="674"/>
      <c r="F93" s="674"/>
      <c r="G93" s="674"/>
      <c r="H93" s="674"/>
      <c r="I93" s="674"/>
      <c r="J93" s="674"/>
      <c r="K93" s="674"/>
      <c r="L93" s="674"/>
      <c r="M93" s="674"/>
      <c r="N93" s="674"/>
      <c r="O93" s="674"/>
      <c r="P93" s="674"/>
      <c r="Q93" s="102"/>
      <c r="R93" s="102"/>
      <c r="S93" s="102"/>
      <c r="T93" s="102"/>
      <c r="U93" s="102"/>
      <c r="V93" s="102"/>
      <c r="W93" s="102"/>
      <c r="X93" s="102"/>
      <c r="Y93" s="102"/>
      <c r="Z93" s="102"/>
    </row>
    <row r="94" customFormat="false" ht="12.75" hidden="false" customHeight="false" outlineLevel="1" collapsed="false">
      <c r="A94" s="395"/>
      <c r="B94" s="70"/>
      <c r="C94" s="674"/>
      <c r="D94" s="674"/>
      <c r="E94" s="674"/>
      <c r="F94" s="674"/>
      <c r="G94" s="674"/>
      <c r="H94" s="674"/>
      <c r="I94" s="674"/>
      <c r="J94" s="674"/>
      <c r="K94" s="674"/>
      <c r="L94" s="674"/>
      <c r="M94" s="674"/>
      <c r="N94" s="674"/>
      <c r="O94" s="674"/>
      <c r="P94" s="674"/>
      <c r="Q94" s="102"/>
      <c r="R94" s="102"/>
      <c r="S94" s="102"/>
      <c r="T94" s="102"/>
      <c r="U94" s="102"/>
      <c r="V94" s="102"/>
      <c r="W94" s="102"/>
      <c r="X94" s="102"/>
      <c r="Y94" s="102"/>
      <c r="Z94" s="102"/>
    </row>
    <row r="95" customFormat="false" ht="12.75" hidden="false" customHeight="false" outlineLevel="1" collapsed="false">
      <c r="A95" s="395"/>
      <c r="B95" s="70"/>
      <c r="C95" s="674"/>
      <c r="D95" s="674"/>
      <c r="E95" s="674"/>
      <c r="F95" s="674"/>
      <c r="G95" s="674"/>
      <c r="H95" s="674"/>
      <c r="I95" s="674"/>
      <c r="J95" s="674"/>
      <c r="K95" s="674"/>
      <c r="L95" s="674"/>
      <c r="M95" s="674"/>
      <c r="N95" s="674"/>
      <c r="O95" s="674"/>
      <c r="P95" s="674"/>
      <c r="Q95" s="102"/>
      <c r="R95" s="102"/>
      <c r="S95" s="102"/>
      <c r="T95" s="102"/>
      <c r="U95" s="102"/>
      <c r="V95" s="102"/>
      <c r="W95" s="102"/>
      <c r="X95" s="102"/>
      <c r="Y95" s="102"/>
      <c r="Z95" s="102"/>
    </row>
    <row r="96" customFormat="false" ht="12.75" hidden="false" customHeight="false" outlineLevel="1" collapsed="false">
      <c r="A96" s="70"/>
      <c r="B96" s="70"/>
      <c r="C96" s="674"/>
      <c r="D96" s="674"/>
      <c r="E96" s="674"/>
      <c r="F96" s="674"/>
      <c r="G96" s="674"/>
      <c r="H96" s="674"/>
      <c r="I96" s="674"/>
      <c r="J96" s="674"/>
      <c r="K96" s="674"/>
      <c r="L96" s="674"/>
      <c r="M96" s="674"/>
      <c r="N96" s="674"/>
      <c r="O96" s="674"/>
      <c r="P96" s="674"/>
      <c r="Q96" s="102"/>
      <c r="R96" s="102"/>
      <c r="S96" s="102"/>
      <c r="T96" s="102"/>
      <c r="U96" s="102"/>
      <c r="V96" s="102"/>
      <c r="W96" s="102"/>
      <c r="X96" s="102"/>
      <c r="Y96" s="102"/>
      <c r="Z96" s="102"/>
    </row>
    <row r="97" customFormat="false" ht="12.75" hidden="false" customHeight="false" outlineLevel="1" collapsed="false">
      <c r="A97" s="395"/>
      <c r="B97" s="70"/>
      <c r="C97" s="674"/>
      <c r="D97" s="674"/>
      <c r="E97" s="674"/>
      <c r="F97" s="674"/>
      <c r="G97" s="674"/>
      <c r="H97" s="674"/>
      <c r="I97" s="674"/>
      <c r="J97" s="674"/>
      <c r="K97" s="674"/>
      <c r="L97" s="674"/>
      <c r="M97" s="674"/>
      <c r="N97" s="674"/>
      <c r="O97" s="674"/>
      <c r="P97" s="674"/>
      <c r="Q97" s="102"/>
      <c r="R97" s="102"/>
      <c r="S97" s="102"/>
      <c r="T97" s="102"/>
      <c r="U97" s="102"/>
      <c r="V97" s="102"/>
      <c r="W97" s="102"/>
      <c r="X97" s="102"/>
      <c r="Y97" s="102"/>
      <c r="Z97" s="102"/>
    </row>
    <row r="98" customFormat="false" ht="12.75" hidden="false" customHeight="false" outlineLevel="1" collapsed="false">
      <c r="A98" s="70"/>
      <c r="B98" s="70"/>
      <c r="C98" s="674"/>
      <c r="D98" s="674"/>
      <c r="E98" s="674"/>
      <c r="F98" s="674"/>
      <c r="G98" s="674"/>
      <c r="H98" s="674"/>
      <c r="I98" s="674"/>
      <c r="J98" s="674"/>
      <c r="K98" s="674"/>
      <c r="L98" s="674"/>
      <c r="M98" s="674"/>
      <c r="N98" s="674"/>
      <c r="O98" s="674"/>
      <c r="P98" s="674"/>
      <c r="Q98" s="102"/>
      <c r="R98" s="102"/>
      <c r="S98" s="102"/>
      <c r="T98" s="102"/>
      <c r="U98" s="102"/>
      <c r="V98" s="102"/>
      <c r="W98" s="102"/>
      <c r="X98" s="102"/>
      <c r="Y98" s="102"/>
      <c r="Z98" s="102"/>
    </row>
    <row r="99" customFormat="false" ht="12.75" hidden="false" customHeight="false" outlineLevel="1" collapsed="false">
      <c r="A99" s="70"/>
      <c r="B99" s="395"/>
      <c r="C99" s="675"/>
      <c r="D99" s="675"/>
      <c r="E99" s="675"/>
      <c r="F99" s="675"/>
      <c r="G99" s="675"/>
      <c r="H99" s="675"/>
      <c r="I99" s="675"/>
      <c r="J99" s="675"/>
      <c r="K99" s="675"/>
      <c r="L99" s="675"/>
      <c r="M99" s="675"/>
      <c r="N99" s="675"/>
      <c r="O99" s="675"/>
      <c r="P99" s="675"/>
      <c r="Q99" s="102"/>
      <c r="R99" s="102"/>
      <c r="S99" s="102"/>
      <c r="T99" s="102"/>
      <c r="U99" s="102"/>
      <c r="V99" s="102"/>
      <c r="W99" s="102"/>
      <c r="X99" s="102"/>
      <c r="Y99" s="102"/>
      <c r="Z99" s="102"/>
    </row>
    <row r="100" customFormat="false" ht="12.75" hidden="false" customHeight="false" outlineLevel="1" collapsed="false">
      <c r="A100" s="70"/>
      <c r="B100" s="395"/>
      <c r="C100" s="675"/>
      <c r="D100" s="675"/>
      <c r="E100" s="675"/>
      <c r="F100" s="675"/>
      <c r="G100" s="675"/>
      <c r="H100" s="675"/>
      <c r="I100" s="675"/>
      <c r="J100" s="675"/>
      <c r="K100" s="675"/>
      <c r="L100" s="675"/>
      <c r="M100" s="675"/>
      <c r="N100" s="675"/>
      <c r="O100" s="675"/>
      <c r="P100" s="675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</row>
    <row r="101" customFormat="false" ht="12.75" hidden="false" customHeight="false" outlineLevel="1" collapsed="false">
      <c r="A101" s="395"/>
      <c r="B101" s="395"/>
      <c r="C101" s="675"/>
      <c r="D101" s="675"/>
      <c r="E101" s="675"/>
      <c r="F101" s="675"/>
      <c r="G101" s="675"/>
      <c r="H101" s="675"/>
      <c r="I101" s="675"/>
      <c r="J101" s="675"/>
      <c r="K101" s="675"/>
      <c r="L101" s="675"/>
      <c r="M101" s="675"/>
      <c r="N101" s="675"/>
      <c r="O101" s="675"/>
      <c r="P101" s="675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</row>
    <row r="102" customFormat="false" ht="12.75" hidden="false" customHeight="false" outlineLevel="1" collapsed="false">
      <c r="A102" s="395"/>
      <c r="B102" s="70"/>
      <c r="C102" s="675"/>
      <c r="D102" s="675"/>
      <c r="E102" s="675"/>
      <c r="F102" s="675"/>
      <c r="G102" s="675"/>
      <c r="H102" s="675"/>
      <c r="I102" s="675"/>
      <c r="J102" s="675"/>
      <c r="K102" s="675"/>
      <c r="L102" s="675"/>
      <c r="M102" s="675"/>
      <c r="N102" s="675"/>
      <c r="O102" s="675"/>
      <c r="P102" s="675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</row>
    <row r="103" customFormat="false" ht="14.25" hidden="false" customHeight="false" outlineLevel="1" collapsed="false">
      <c r="A103" s="676"/>
      <c r="B103" s="70"/>
      <c r="C103" s="675"/>
      <c r="D103" s="675"/>
      <c r="E103" s="675"/>
      <c r="F103" s="675"/>
      <c r="G103" s="675"/>
      <c r="H103" s="675"/>
      <c r="I103" s="675"/>
      <c r="J103" s="675"/>
      <c r="K103" s="675"/>
      <c r="L103" s="675"/>
      <c r="M103" s="675"/>
      <c r="N103" s="675"/>
      <c r="O103" s="675"/>
      <c r="P103" s="675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</row>
    <row r="104" customFormat="false" ht="14.25" hidden="false" customHeight="false" outlineLevel="1" collapsed="false">
      <c r="A104" s="70"/>
      <c r="B104" s="676"/>
      <c r="C104" s="675"/>
      <c r="D104" s="675"/>
      <c r="E104" s="675"/>
      <c r="F104" s="675"/>
      <c r="G104" s="675"/>
      <c r="H104" s="675"/>
      <c r="I104" s="675"/>
      <c r="J104" s="675"/>
      <c r="K104" s="675"/>
      <c r="L104" s="675"/>
      <c r="M104" s="675"/>
      <c r="N104" s="675"/>
      <c r="O104" s="675"/>
      <c r="P104" s="675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</row>
    <row r="105" customFormat="false" ht="15.75" hidden="false" customHeight="false" outlineLevel="1" collapsed="false">
      <c r="A105" s="673"/>
      <c r="B105" s="70"/>
      <c r="C105" s="70"/>
      <c r="D105" s="674"/>
      <c r="E105" s="674"/>
      <c r="F105" s="70"/>
      <c r="G105" s="70"/>
      <c r="H105" s="674"/>
      <c r="I105" s="70"/>
      <c r="J105" s="70"/>
      <c r="K105" s="70"/>
      <c r="L105" s="70"/>
      <c r="M105" s="70"/>
      <c r="N105" s="70"/>
      <c r="O105" s="70"/>
      <c r="P105" s="70"/>
      <c r="Q105" s="102"/>
      <c r="R105" s="102"/>
      <c r="S105" s="102"/>
      <c r="T105" s="102"/>
      <c r="U105" s="102"/>
      <c r="V105" s="102"/>
      <c r="W105" s="102"/>
      <c r="X105" s="102"/>
      <c r="Y105" s="102"/>
      <c r="Z105" s="102"/>
    </row>
    <row r="106" customFormat="false" ht="12.75" hidden="false" customHeight="false" outlineLevel="1" collapsed="false">
      <c r="A106" s="395"/>
      <c r="B106" s="70"/>
      <c r="C106" s="677"/>
      <c r="D106" s="674"/>
      <c r="E106" s="674"/>
      <c r="F106" s="674"/>
      <c r="G106" s="674"/>
      <c r="H106" s="678"/>
      <c r="I106" s="679"/>
      <c r="J106" s="679"/>
      <c r="K106" s="679"/>
      <c r="L106" s="679"/>
      <c r="M106" s="679"/>
      <c r="N106" s="679"/>
      <c r="O106" s="679"/>
      <c r="P106" s="679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</row>
    <row r="107" customFormat="false" ht="12.75" hidden="false" customHeight="false" outlineLevel="1" collapsed="false">
      <c r="A107" s="395"/>
      <c r="B107" s="198"/>
      <c r="C107" s="680"/>
      <c r="D107" s="680"/>
      <c r="E107" s="680"/>
      <c r="F107" s="680"/>
      <c r="G107" s="680"/>
      <c r="H107" s="680"/>
      <c r="I107" s="680"/>
      <c r="J107" s="680"/>
      <c r="K107" s="680"/>
      <c r="L107" s="680"/>
      <c r="M107" s="680"/>
      <c r="N107" s="680"/>
      <c r="O107" s="680"/>
      <c r="P107" s="680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</row>
    <row r="108" customFormat="false" ht="12.75" hidden="false" customHeight="false" outlineLevel="1" collapsed="false">
      <c r="A108" s="198"/>
      <c r="B108" s="198"/>
      <c r="C108" s="680"/>
      <c r="D108" s="680"/>
      <c r="E108" s="680"/>
      <c r="F108" s="680"/>
      <c r="G108" s="680"/>
      <c r="H108" s="680"/>
      <c r="I108" s="680"/>
      <c r="J108" s="680"/>
      <c r="K108" s="680"/>
      <c r="L108" s="680"/>
      <c r="M108" s="680"/>
      <c r="N108" s="680"/>
      <c r="O108" s="680"/>
      <c r="P108" s="680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</row>
    <row r="109" customFormat="false" ht="12.75" hidden="false" customHeight="false" outlineLevel="1" collapsed="false">
      <c r="A109" s="198"/>
      <c r="B109" s="198"/>
      <c r="C109" s="680"/>
      <c r="D109" s="680"/>
      <c r="E109" s="680"/>
      <c r="F109" s="680"/>
      <c r="G109" s="680"/>
      <c r="H109" s="680"/>
      <c r="I109" s="680"/>
      <c r="J109" s="680"/>
      <c r="K109" s="680"/>
      <c r="L109" s="680"/>
      <c r="M109" s="680"/>
      <c r="N109" s="680"/>
      <c r="O109" s="680"/>
      <c r="P109" s="680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</row>
    <row r="110" customFormat="false" ht="12.75" hidden="false" customHeight="false" outlineLevel="1" collapsed="false">
      <c r="A110" s="198"/>
      <c r="B110" s="70"/>
      <c r="C110" s="674"/>
      <c r="D110" s="674"/>
      <c r="E110" s="674"/>
      <c r="F110" s="674"/>
      <c r="G110" s="674"/>
      <c r="H110" s="674"/>
      <c r="I110" s="674"/>
      <c r="J110" s="674"/>
      <c r="K110" s="674"/>
      <c r="L110" s="674"/>
      <c r="M110" s="674"/>
      <c r="N110" s="674"/>
      <c r="O110" s="674"/>
      <c r="P110" s="674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</row>
    <row r="111" customFormat="false" ht="12.75" hidden="false" customHeight="false" outlineLevel="1" collapsed="false">
      <c r="A111" s="70"/>
      <c r="B111" s="395"/>
      <c r="C111" s="675"/>
      <c r="D111" s="675"/>
      <c r="E111" s="675"/>
      <c r="F111" s="675"/>
      <c r="G111" s="675"/>
      <c r="H111" s="675"/>
      <c r="I111" s="675"/>
      <c r="J111" s="675"/>
      <c r="K111" s="675"/>
      <c r="L111" s="675"/>
      <c r="M111" s="675"/>
      <c r="N111" s="675"/>
      <c r="O111" s="675"/>
      <c r="P111" s="675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</row>
    <row r="112" customFormat="false" ht="12.75" hidden="false" customHeight="false" outlineLevel="1" collapsed="false">
      <c r="A112" s="395"/>
      <c r="B112" s="395"/>
      <c r="C112" s="675"/>
      <c r="D112" s="675"/>
      <c r="E112" s="675"/>
      <c r="F112" s="675"/>
      <c r="G112" s="675"/>
      <c r="H112" s="675"/>
      <c r="I112" s="675"/>
      <c r="J112" s="675"/>
      <c r="K112" s="675"/>
      <c r="L112" s="675"/>
      <c r="M112" s="675"/>
      <c r="N112" s="675"/>
      <c r="O112" s="675"/>
      <c r="P112" s="675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</row>
    <row r="113" customFormat="false" ht="12.75" hidden="false" customHeight="false" outlineLevel="1" collapsed="false">
      <c r="A113" s="395"/>
      <c r="B113" s="70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</row>
    <row r="114" customFormat="false" ht="12.75" hidden="false" customHeight="false" outlineLevel="1" collapsed="false">
      <c r="A114" s="70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</row>
    <row r="115" customFormat="false" ht="12.75" hidden="false" customHeight="false" outlineLevel="1" collapsed="false">
      <c r="A115" s="70"/>
      <c r="B115" s="395"/>
      <c r="C115" s="675"/>
      <c r="D115" s="675"/>
      <c r="E115" s="675"/>
      <c r="F115" s="675"/>
      <c r="G115" s="675"/>
      <c r="H115" s="675"/>
      <c r="I115" s="675"/>
      <c r="J115" s="675"/>
      <c r="K115" s="675"/>
      <c r="L115" s="675"/>
      <c r="M115" s="675"/>
      <c r="N115" s="675"/>
      <c r="O115" s="675"/>
      <c r="P115" s="675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</row>
    <row r="116" customFormat="false" ht="14.25" hidden="false" customHeight="false" outlineLevel="1" collapsed="false">
      <c r="A116" s="676"/>
      <c r="B116" s="70"/>
      <c r="C116" s="674"/>
      <c r="D116" s="674"/>
      <c r="E116" s="674"/>
      <c r="F116" s="674"/>
      <c r="G116" s="674"/>
      <c r="H116" s="674"/>
      <c r="I116" s="674"/>
      <c r="J116" s="674"/>
      <c r="K116" s="674"/>
      <c r="L116" s="674"/>
      <c r="M116" s="674"/>
      <c r="N116" s="674"/>
      <c r="O116" s="674"/>
      <c r="P116" s="674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</row>
    <row r="117" customFormat="false" ht="12.75" hidden="false" customHeight="false" outlineLevel="1" collapsed="false">
      <c r="A117" s="366"/>
      <c r="B117" s="70"/>
      <c r="C117" s="70"/>
      <c r="D117" s="102"/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</row>
    <row r="118" customFormat="false" ht="12.75" hidden="false" customHeight="false" outlineLevel="1" collapsed="false">
      <c r="A118" s="367"/>
      <c r="B118" s="70"/>
      <c r="C118" s="70"/>
      <c r="D118" s="102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</row>
    <row r="119" customFormat="false" ht="12.75" hidden="false" customHeight="false" outlineLevel="1" collapsed="false">
      <c r="A119" s="367"/>
      <c r="B119" s="70"/>
      <c r="C119" s="70"/>
      <c r="D119" s="102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</row>
    <row r="120" customFormat="false" ht="12.75" hidden="false" customHeight="false" outlineLevel="1" collapsed="false">
      <c r="A120" s="367"/>
      <c r="B120" s="70"/>
      <c r="C120" s="70"/>
      <c r="D120" s="70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  <c r="Z120" s="102"/>
    </row>
    <row r="121" customFormat="false" ht="12.75" hidden="false" customHeight="false" outlineLevel="1" collapsed="false">
      <c r="A121" s="367"/>
      <c r="B121" s="70"/>
      <c r="C121" s="70"/>
      <c r="D121" s="70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</row>
    <row r="122" customFormat="false" ht="12.75" hidden="false" customHeight="false" outlineLevel="1" collapsed="false">
      <c r="A122" s="367"/>
      <c r="B122" s="70"/>
      <c r="C122" s="70"/>
      <c r="D122" s="70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</row>
    <row r="123" customFormat="false" ht="12.75" hidden="false" customHeight="false" outlineLevel="1" collapsed="false">
      <c r="A123" s="367"/>
      <c r="B123" s="70"/>
      <c r="C123" s="70"/>
      <c r="D123" s="70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</row>
    <row r="124" customFormat="false" ht="12.75" hidden="false" customHeight="false" outlineLevel="1" collapsed="false">
      <c r="A124" s="367"/>
      <c r="B124" s="70"/>
      <c r="C124" s="70"/>
      <c r="D124" s="70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</row>
    <row r="125" customFormat="false" ht="12.75" hidden="false" customHeight="false" outlineLevel="1" collapsed="false">
      <c r="A125" s="388"/>
      <c r="B125" s="70"/>
      <c r="C125" s="70"/>
      <c r="D125" s="70"/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</row>
    <row r="126" customFormat="false" ht="12.75" hidden="false" customHeight="false" outlineLevel="1" collapsed="false">
      <c r="A126" s="670"/>
      <c r="B126" s="70"/>
      <c r="C126" s="70"/>
      <c r="D126" s="70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</row>
    <row r="127" customFormat="false" ht="12.75" hidden="false" customHeight="false" outlineLevel="1" collapsed="false">
      <c r="A127" s="367"/>
      <c r="B127" s="70"/>
      <c r="C127" s="70"/>
      <c r="D127" s="70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</row>
    <row r="128" customFormat="false" ht="12.75" hidden="false" customHeight="false" outlineLevel="1" collapsed="false">
      <c r="A128" s="367"/>
      <c r="B128" s="70"/>
      <c r="C128" s="70"/>
      <c r="D128" s="70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</row>
    <row r="129" customFormat="false" ht="12.75" hidden="false" customHeight="false" outlineLevel="1" collapsed="false">
      <c r="A129" s="681"/>
      <c r="B129" s="70"/>
      <c r="C129" s="70"/>
      <c r="D129" s="70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  <c r="Z129" s="102"/>
    </row>
    <row r="130" customFormat="false" ht="12.75" hidden="false" customHeight="false" outlineLevel="1" collapsed="false">
      <c r="A130" s="681"/>
      <c r="B130" s="70"/>
      <c r="C130" s="70"/>
      <c r="D130" s="70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  <c r="Z130" s="102"/>
    </row>
    <row r="131" customFormat="false" ht="12.75" hidden="false" customHeight="false" outlineLevel="1" collapsed="false">
      <c r="A131" s="367"/>
      <c r="B131" s="70"/>
      <c r="C131" s="70"/>
      <c r="D131" s="70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</row>
    <row r="132" customFormat="false" ht="12.75" hidden="false" customHeight="false" outlineLevel="1" collapsed="false">
      <c r="A132" s="681"/>
      <c r="B132" s="70"/>
      <c r="C132" s="70"/>
      <c r="D132" s="70"/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</row>
    <row r="133" customFormat="false" ht="12.75" hidden="false" customHeight="false" outlineLevel="1" collapsed="false">
      <c r="A133" s="367"/>
      <c r="B133" s="70"/>
      <c r="C133" s="70"/>
      <c r="D133" s="70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</row>
    <row r="134" customFormat="false" ht="12.75" hidden="false" customHeight="false" outlineLevel="1" collapsed="false">
      <c r="A134" s="367"/>
      <c r="B134" s="70"/>
      <c r="C134" s="70"/>
      <c r="D134" s="70"/>
      <c r="E134" s="102"/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</row>
    <row r="135" customFormat="false" ht="12.75" hidden="false" customHeight="false" outlineLevel="1" collapsed="false">
      <c r="A135" s="367"/>
      <c r="B135" s="70"/>
      <c r="C135" s="70"/>
      <c r="D135" s="70"/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102"/>
      <c r="Y135" s="102"/>
      <c r="Z135" s="102"/>
    </row>
    <row r="136" customFormat="false" ht="12.75" hidden="false" customHeight="false" outlineLevel="1" collapsed="false">
      <c r="A136" s="681"/>
      <c r="B136" s="70"/>
      <c r="C136" s="70"/>
      <c r="D136" s="70"/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102"/>
      <c r="Y136" s="102"/>
      <c r="Z136" s="102"/>
    </row>
    <row r="137" customFormat="false" ht="12.75" hidden="false" customHeight="false" outlineLevel="1" collapsed="false">
      <c r="A137" s="366"/>
      <c r="B137" s="70"/>
      <c r="C137" s="70"/>
      <c r="D137" s="70"/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  <c r="Z137" s="102"/>
    </row>
    <row r="138" customFormat="false" ht="12.75" hidden="false" customHeight="false" outlineLevel="1" collapsed="false">
      <c r="A138" s="388"/>
      <c r="B138" s="70"/>
      <c r="C138" s="70"/>
      <c r="D138" s="70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</row>
    <row r="139" customFormat="false" ht="12.75" hidden="false" customHeight="false" outlineLevel="1" collapsed="false">
      <c r="A139" s="388"/>
      <c r="B139" s="70"/>
      <c r="C139" s="70"/>
      <c r="D139" s="70"/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  <c r="Z139" s="102"/>
    </row>
    <row r="140" customFormat="false" ht="15" hidden="false" customHeight="true" outlineLevel="1" collapsed="false">
      <c r="A140" s="388"/>
      <c r="B140" s="70"/>
      <c r="C140" s="70"/>
      <c r="D140" s="70"/>
      <c r="E140" s="70"/>
      <c r="F140" s="245"/>
      <c r="G140" s="245"/>
      <c r="H140" s="245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</row>
    <row r="141" customFormat="false" ht="12.75" hidden="false" customHeight="false" outlineLevel="1" collapsed="false">
      <c r="A141" s="388"/>
      <c r="B141" s="70"/>
      <c r="C141" s="70"/>
      <c r="D141" s="70"/>
      <c r="E141" s="70"/>
      <c r="F141" s="245"/>
      <c r="G141" s="245"/>
      <c r="H141" s="245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102"/>
      <c r="Y141" s="102"/>
      <c r="Z141" s="102"/>
    </row>
    <row r="142" customFormat="false" ht="14.25" hidden="false" customHeight="true" outlineLevel="1" collapsed="false">
      <c r="A142" s="388"/>
      <c r="B142" s="70"/>
      <c r="C142" s="70"/>
      <c r="D142" s="70"/>
      <c r="E142" s="70"/>
      <c r="F142" s="245"/>
      <c r="G142" s="245"/>
      <c r="H142" s="245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  <c r="Z142" s="102"/>
    </row>
    <row r="143" customFormat="false" ht="12.75" hidden="false" customHeight="false" outlineLevel="1" collapsed="false">
      <c r="A143" s="388"/>
      <c r="B143" s="70"/>
      <c r="C143" s="70"/>
      <c r="D143" s="70"/>
      <c r="E143" s="70"/>
      <c r="F143" s="245"/>
      <c r="G143" s="245"/>
      <c r="H143" s="245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</row>
    <row r="144" customFormat="false" ht="12.75" hidden="false" customHeight="false" outlineLevel="1" collapsed="false">
      <c r="A144" s="388"/>
      <c r="B144" s="70"/>
      <c r="C144" s="70"/>
      <c r="D144" s="70"/>
      <c r="E144" s="70"/>
      <c r="F144" s="245"/>
      <c r="G144" s="245"/>
      <c r="H144" s="245"/>
      <c r="I144" s="245"/>
      <c r="J144" s="245"/>
      <c r="K144" s="245"/>
      <c r="L144" s="245"/>
      <c r="M144" s="245"/>
      <c r="N144" s="245"/>
      <c r="O144" s="245"/>
      <c r="P144" s="245"/>
      <c r="Q144" s="245"/>
      <c r="R144" s="245"/>
      <c r="S144" s="245"/>
      <c r="T144" s="245"/>
      <c r="U144" s="245"/>
      <c r="V144" s="245"/>
      <c r="W144" s="245"/>
      <c r="X144" s="245"/>
      <c r="Y144" s="245"/>
      <c r="Z144" s="245"/>
    </row>
    <row r="145" customFormat="false" ht="12.75" hidden="false" customHeight="false" outlineLevel="1" collapsed="false">
      <c r="A145" s="398"/>
      <c r="B145" s="70"/>
      <c r="C145" s="70"/>
      <c r="D145" s="70"/>
      <c r="E145" s="70"/>
      <c r="F145" s="245"/>
      <c r="G145" s="245"/>
      <c r="H145" s="245"/>
      <c r="I145" s="245"/>
      <c r="J145" s="245"/>
      <c r="K145" s="245"/>
      <c r="L145" s="245"/>
      <c r="M145" s="245"/>
      <c r="N145" s="245"/>
      <c r="O145" s="245"/>
      <c r="P145" s="245"/>
      <c r="Q145" s="245"/>
      <c r="R145" s="245"/>
      <c r="S145" s="245"/>
      <c r="T145" s="245"/>
      <c r="U145" s="245"/>
      <c r="V145" s="245"/>
      <c r="W145" s="245"/>
      <c r="X145" s="245"/>
      <c r="Y145" s="245"/>
      <c r="Z145" s="245"/>
    </row>
    <row r="146" customFormat="false" ht="12.75" hidden="false" customHeight="false" outlineLevel="1" collapsed="false">
      <c r="A146" s="398"/>
      <c r="B146" s="70"/>
      <c r="C146" s="70"/>
      <c r="D146" s="70"/>
      <c r="E146" s="70"/>
      <c r="F146" s="245"/>
      <c r="G146" s="245"/>
      <c r="H146" s="245"/>
      <c r="I146" s="245"/>
      <c r="J146" s="245"/>
      <c r="K146" s="245"/>
      <c r="L146" s="245"/>
      <c r="M146" s="245"/>
      <c r="N146" s="245"/>
      <c r="O146" s="245"/>
      <c r="P146" s="245"/>
      <c r="Q146" s="245"/>
      <c r="R146" s="245"/>
      <c r="S146" s="245"/>
      <c r="T146" s="245"/>
      <c r="U146" s="245"/>
      <c r="V146" s="245"/>
      <c r="W146" s="245"/>
      <c r="X146" s="245"/>
      <c r="Y146" s="245"/>
      <c r="Z146" s="245"/>
    </row>
    <row r="147" customFormat="false" ht="12.75" hidden="false" customHeight="false" outlineLevel="1" collapsed="false">
      <c r="A147" s="398"/>
      <c r="B147" s="70"/>
      <c r="C147" s="70"/>
      <c r="D147" s="70"/>
      <c r="E147" s="70"/>
      <c r="F147" s="245"/>
      <c r="G147" s="245"/>
      <c r="H147" s="245"/>
      <c r="I147" s="245"/>
      <c r="J147" s="245"/>
      <c r="K147" s="245"/>
      <c r="L147" s="245"/>
      <c r="M147" s="245"/>
      <c r="N147" s="245"/>
      <c r="O147" s="245"/>
      <c r="P147" s="245"/>
      <c r="Q147" s="245"/>
      <c r="R147" s="245"/>
      <c r="S147" s="245"/>
      <c r="T147" s="245"/>
      <c r="U147" s="245"/>
      <c r="V147" s="245"/>
      <c r="W147" s="245"/>
      <c r="X147" s="245"/>
      <c r="Y147" s="245"/>
      <c r="Z147" s="245"/>
    </row>
    <row r="148" customFormat="false" ht="12.75" hidden="false" customHeight="false" outlineLevel="1" collapsed="false">
      <c r="A148" s="245"/>
      <c r="B148" s="70"/>
      <c r="C148" s="70"/>
      <c r="D148" s="70"/>
      <c r="E148" s="70"/>
      <c r="F148" s="245"/>
      <c r="G148" s="245"/>
      <c r="H148" s="245"/>
      <c r="I148" s="245"/>
      <c r="J148" s="245"/>
      <c r="K148" s="245"/>
      <c r="L148" s="245"/>
      <c r="M148" s="245"/>
      <c r="N148" s="245"/>
      <c r="O148" s="245"/>
      <c r="P148" s="245"/>
      <c r="Q148" s="245"/>
      <c r="R148" s="245"/>
      <c r="S148" s="245"/>
      <c r="T148" s="245"/>
      <c r="U148" s="245"/>
      <c r="V148" s="245"/>
      <c r="W148" s="245"/>
      <c r="X148" s="245"/>
      <c r="Y148" s="245"/>
      <c r="Z148" s="245"/>
    </row>
    <row r="149" customFormat="false" ht="12.75" hidden="false" customHeight="false" outlineLevel="1" collapsed="false">
      <c r="A149" s="70"/>
      <c r="B149" s="70"/>
      <c r="C149" s="70"/>
      <c r="D149" s="70"/>
      <c r="E149" s="70"/>
      <c r="F149" s="245"/>
      <c r="G149" s="245"/>
      <c r="H149" s="245"/>
      <c r="I149" s="245"/>
      <c r="J149" s="245"/>
      <c r="K149" s="245"/>
      <c r="L149" s="245"/>
      <c r="M149" s="245"/>
      <c r="N149" s="245"/>
      <c r="O149" s="245"/>
      <c r="P149" s="245"/>
      <c r="Q149" s="245"/>
      <c r="R149" s="245"/>
      <c r="S149" s="245"/>
      <c r="T149" s="245"/>
      <c r="U149" s="245"/>
      <c r="V149" s="245"/>
      <c r="W149" s="245"/>
      <c r="X149" s="245"/>
      <c r="Y149" s="245"/>
      <c r="Z149" s="245"/>
    </row>
    <row r="150" customFormat="false" ht="12.75" hidden="false" customHeight="false" outlineLevel="1" collapsed="false">
      <c r="A150" s="70"/>
      <c r="B150" s="70"/>
      <c r="C150" s="70"/>
      <c r="D150" s="70"/>
      <c r="E150" s="70"/>
      <c r="F150" s="245"/>
      <c r="G150" s="245"/>
      <c r="H150" s="245"/>
      <c r="I150" s="245"/>
      <c r="J150" s="245"/>
      <c r="K150" s="245"/>
      <c r="L150" s="245"/>
      <c r="M150" s="245"/>
      <c r="N150" s="245"/>
      <c r="O150" s="245"/>
      <c r="P150" s="245"/>
      <c r="Q150" s="245"/>
      <c r="R150" s="245"/>
      <c r="S150" s="245"/>
      <c r="T150" s="245"/>
      <c r="U150" s="245"/>
      <c r="V150" s="245"/>
      <c r="W150" s="245"/>
      <c r="X150" s="245"/>
      <c r="Y150" s="245"/>
      <c r="Z150" s="245"/>
    </row>
    <row r="151" customFormat="false" ht="12.75" hidden="false" customHeight="false" outlineLevel="1" collapsed="false">
      <c r="A151" s="70"/>
      <c r="B151" s="70"/>
      <c r="C151" s="70"/>
      <c r="D151" s="70"/>
      <c r="E151" s="70"/>
      <c r="F151" s="245"/>
      <c r="G151" s="245"/>
      <c r="H151" s="245"/>
      <c r="I151" s="245"/>
      <c r="J151" s="245"/>
      <c r="K151" s="245"/>
      <c r="L151" s="245"/>
      <c r="M151" s="245"/>
      <c r="N151" s="245"/>
      <c r="O151" s="245"/>
      <c r="P151" s="245"/>
      <c r="Q151" s="245"/>
      <c r="R151" s="245"/>
      <c r="S151" s="245"/>
      <c r="T151" s="245"/>
      <c r="U151" s="245"/>
      <c r="V151" s="245"/>
      <c r="W151" s="245"/>
      <c r="X151" s="245"/>
      <c r="Y151" s="245"/>
      <c r="Z151" s="245"/>
    </row>
    <row r="152" customFormat="false" ht="18.75" hidden="false" customHeight="false" outlineLevel="1" collapsed="false">
      <c r="A152" s="682"/>
      <c r="B152" s="70"/>
      <c r="C152" s="70"/>
      <c r="D152" s="70"/>
      <c r="E152" s="70"/>
      <c r="F152" s="245"/>
      <c r="G152" s="245"/>
      <c r="H152" s="245"/>
      <c r="I152" s="245"/>
      <c r="J152" s="245"/>
      <c r="K152" s="245"/>
      <c r="L152" s="245"/>
      <c r="M152" s="245"/>
      <c r="N152" s="245"/>
      <c r="O152" s="245"/>
      <c r="P152" s="245"/>
      <c r="Q152" s="245"/>
      <c r="R152" s="245"/>
      <c r="S152" s="245"/>
      <c r="T152" s="245"/>
      <c r="U152" s="245"/>
      <c r="V152" s="245"/>
      <c r="W152" s="245"/>
      <c r="X152" s="245"/>
      <c r="Y152" s="245"/>
      <c r="Z152" s="245"/>
    </row>
    <row r="153" customFormat="false" ht="12.75" hidden="false" customHeight="false" outlineLevel="1" collapsed="false">
      <c r="A153" s="395"/>
      <c r="B153" s="70"/>
      <c r="C153" s="70"/>
      <c r="D153" s="70"/>
      <c r="E153" s="70"/>
      <c r="F153" s="245"/>
      <c r="G153" s="245"/>
      <c r="H153" s="245"/>
      <c r="I153" s="245"/>
      <c r="J153" s="245"/>
      <c r="K153" s="245"/>
      <c r="L153" s="245"/>
      <c r="M153" s="245"/>
      <c r="N153" s="245"/>
      <c r="O153" s="245"/>
      <c r="P153" s="245"/>
      <c r="Q153" s="245"/>
      <c r="R153" s="245"/>
      <c r="S153" s="245"/>
      <c r="T153" s="245"/>
      <c r="U153" s="245"/>
      <c r="V153" s="245"/>
      <c r="W153" s="245"/>
      <c r="X153" s="245"/>
      <c r="Y153" s="245"/>
      <c r="Z153" s="245"/>
    </row>
    <row r="154" customFormat="false" ht="12.75" hidden="false" customHeight="false" outlineLevel="1" collapsed="false">
      <c r="A154" s="395"/>
      <c r="B154" s="70"/>
      <c r="C154" s="70"/>
      <c r="D154" s="70"/>
      <c r="E154" s="70"/>
      <c r="F154" s="245"/>
      <c r="G154" s="245"/>
      <c r="H154" s="245"/>
      <c r="I154" s="245"/>
      <c r="J154" s="245"/>
      <c r="K154" s="245"/>
      <c r="L154" s="245"/>
      <c r="M154" s="245"/>
      <c r="N154" s="245"/>
      <c r="O154" s="245"/>
      <c r="P154" s="245"/>
      <c r="Q154" s="245"/>
      <c r="R154" s="245"/>
      <c r="S154" s="245"/>
      <c r="T154" s="245"/>
      <c r="U154" s="245"/>
      <c r="V154" s="245"/>
      <c r="W154" s="245"/>
      <c r="X154" s="245"/>
      <c r="Y154" s="245"/>
      <c r="Z154" s="245"/>
    </row>
    <row r="155" customFormat="false" ht="12.75" hidden="false" customHeight="false" outlineLevel="1" collapsed="false">
      <c r="A155" s="70"/>
      <c r="B155" s="70"/>
      <c r="C155" s="70"/>
      <c r="D155" s="70"/>
      <c r="E155" s="70"/>
      <c r="F155" s="245"/>
      <c r="G155" s="245"/>
      <c r="H155" s="245"/>
      <c r="I155" s="245"/>
      <c r="J155" s="245"/>
      <c r="K155" s="245"/>
      <c r="L155" s="245"/>
      <c r="M155" s="245"/>
      <c r="N155" s="245"/>
      <c r="O155" s="245"/>
      <c r="P155" s="245"/>
      <c r="Q155" s="245"/>
      <c r="R155" s="245"/>
      <c r="S155" s="245"/>
      <c r="T155" s="245"/>
      <c r="U155" s="245"/>
      <c r="V155" s="245"/>
      <c r="W155" s="245"/>
      <c r="X155" s="245"/>
      <c r="Y155" s="245"/>
      <c r="Z155" s="245"/>
    </row>
    <row r="156" customFormat="false" ht="12.75" hidden="false" customHeight="false" outlineLevel="1" collapsed="false">
      <c r="A156" s="70"/>
      <c r="B156" s="70"/>
      <c r="C156" s="70"/>
      <c r="D156" s="70"/>
      <c r="E156" s="70"/>
      <c r="F156" s="245"/>
      <c r="G156" s="245"/>
      <c r="H156" s="245"/>
      <c r="I156" s="245"/>
      <c r="J156" s="245"/>
      <c r="K156" s="245"/>
      <c r="L156" s="245"/>
      <c r="M156" s="245"/>
      <c r="N156" s="245"/>
      <c r="O156" s="245"/>
      <c r="P156" s="245"/>
      <c r="Q156" s="245"/>
      <c r="R156" s="245"/>
      <c r="S156" s="245"/>
      <c r="T156" s="245"/>
      <c r="U156" s="245"/>
      <c r="V156" s="245"/>
      <c r="W156" s="245"/>
      <c r="X156" s="245"/>
      <c r="Y156" s="245"/>
      <c r="Z156" s="245"/>
    </row>
    <row r="157" customFormat="false" ht="12.75" hidden="false" customHeight="false" outlineLevel="1" collapsed="false">
      <c r="A157" s="322"/>
      <c r="B157" s="322"/>
      <c r="C157" s="322"/>
      <c r="D157" s="322"/>
      <c r="E157" s="321"/>
      <c r="F157" s="321"/>
      <c r="G157" s="321"/>
      <c r="H157" s="321"/>
      <c r="I157" s="321"/>
      <c r="J157" s="321"/>
      <c r="K157" s="321"/>
      <c r="L157" s="321"/>
      <c r="M157" s="321"/>
      <c r="N157" s="321"/>
      <c r="O157" s="321"/>
      <c r="P157" s="321"/>
      <c r="Q157" s="321"/>
      <c r="R157" s="321"/>
      <c r="S157" s="321"/>
      <c r="T157" s="321"/>
      <c r="U157" s="321"/>
      <c r="V157" s="321"/>
      <c r="W157" s="321"/>
      <c r="X157" s="321"/>
      <c r="Y157" s="321"/>
      <c r="Z157" s="321"/>
    </row>
    <row r="158" customFormat="false" ht="12.75" hidden="false" customHeight="false" outlineLevel="1" collapsed="false">
      <c r="A158" s="388"/>
      <c r="B158" s="70"/>
      <c r="C158" s="70"/>
      <c r="D158" s="70"/>
      <c r="E158" s="70"/>
      <c r="F158" s="245"/>
      <c r="G158" s="245"/>
      <c r="H158" s="245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</row>
    <row r="159" customFormat="false" ht="12.75" hidden="false" customHeight="false" outlineLevel="1" collapsed="false">
      <c r="A159" s="367"/>
      <c r="B159" s="70"/>
      <c r="C159" s="70"/>
      <c r="D159" s="70"/>
      <c r="E159" s="70"/>
      <c r="F159" s="245"/>
      <c r="G159" s="245"/>
      <c r="H159" s="245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</row>
    <row r="160" customFormat="false" ht="12.75" hidden="false" customHeight="false" outlineLevel="1" collapsed="false">
      <c r="A160" s="367"/>
      <c r="B160" s="70"/>
      <c r="C160" s="70"/>
      <c r="D160" s="70"/>
      <c r="E160" s="70"/>
      <c r="F160" s="245"/>
      <c r="G160" s="245"/>
      <c r="H160" s="245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</row>
    <row r="161" customFormat="false" ht="12.75" hidden="false" customHeight="false" outlineLevel="1" collapsed="false">
      <c r="A161" s="366"/>
      <c r="B161" s="70"/>
      <c r="C161" s="70"/>
      <c r="D161" s="70"/>
      <c r="E161" s="70"/>
      <c r="F161" s="245"/>
      <c r="G161" s="245"/>
      <c r="H161" s="245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</row>
    <row r="162" customFormat="false" ht="12.75" hidden="false" customHeight="false" outlineLevel="1" collapsed="false">
      <c r="A162" s="245"/>
      <c r="B162" s="70"/>
      <c r="C162" s="70"/>
      <c r="D162" s="70"/>
      <c r="E162" s="70"/>
      <c r="F162" s="245"/>
      <c r="G162" s="245"/>
      <c r="H162" s="245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</row>
    <row r="163" customFormat="false" ht="12.75" hidden="false" customHeight="false" outlineLevel="1" collapsed="false">
      <c r="A163" s="388"/>
      <c r="B163" s="70"/>
      <c r="C163" s="70"/>
      <c r="D163" s="70"/>
      <c r="E163" s="70"/>
      <c r="F163" s="245"/>
      <c r="G163" s="245"/>
      <c r="H163" s="245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</row>
    <row r="164" customFormat="false" ht="12.75" hidden="false" customHeight="false" outlineLevel="1" collapsed="false">
      <c r="A164" s="367"/>
      <c r="B164" s="70"/>
      <c r="C164" s="70"/>
      <c r="D164" s="70"/>
      <c r="E164" s="70"/>
      <c r="F164" s="245"/>
      <c r="G164" s="245"/>
      <c r="H164" s="245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</row>
    <row r="165" customFormat="false" ht="12.75" hidden="false" customHeight="false" outlineLevel="1" collapsed="false">
      <c r="A165" s="367"/>
      <c r="B165" s="70"/>
      <c r="C165" s="70"/>
      <c r="D165" s="70"/>
      <c r="E165" s="70"/>
      <c r="F165" s="245"/>
      <c r="G165" s="245"/>
      <c r="H165" s="245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</row>
    <row r="166" customFormat="false" ht="12.75" hidden="false" customHeight="false" outlineLevel="1" collapsed="false">
      <c r="A166" s="367"/>
      <c r="B166" s="70"/>
      <c r="C166" s="70"/>
      <c r="D166" s="70"/>
      <c r="E166" s="102"/>
      <c r="F166" s="245"/>
      <c r="G166" s="245"/>
      <c r="H166" s="245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</row>
    <row r="167" customFormat="false" ht="12.75" hidden="false" customHeight="false" outlineLevel="1" collapsed="false">
      <c r="A167" s="367"/>
      <c r="B167" s="70"/>
      <c r="C167" s="70"/>
      <c r="D167" s="70"/>
      <c r="E167" s="70"/>
      <c r="F167" s="245"/>
      <c r="G167" s="245"/>
      <c r="H167" s="245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</row>
    <row r="168" customFormat="false" ht="12.75" hidden="false" customHeight="false" outlineLevel="1" collapsed="false">
      <c r="A168" s="245"/>
      <c r="B168" s="70"/>
      <c r="C168" s="70"/>
      <c r="D168" s="70"/>
      <c r="E168" s="70"/>
      <c r="F168" s="245"/>
      <c r="G168" s="245"/>
      <c r="H168" s="245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</row>
    <row r="169" customFormat="false" ht="12.75" hidden="false" customHeight="false" outlineLevel="1" collapsed="false">
      <c r="A169" s="388"/>
      <c r="B169" s="70"/>
      <c r="C169" s="70"/>
      <c r="D169" s="70"/>
      <c r="E169" s="70"/>
      <c r="F169" s="245"/>
      <c r="G169" s="245"/>
      <c r="H169" s="245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</row>
    <row r="170" customFormat="false" ht="12.75" hidden="false" customHeight="false" outlineLevel="1" collapsed="false">
      <c r="A170" s="245"/>
      <c r="B170" s="70"/>
      <c r="C170" s="70"/>
      <c r="D170" s="70"/>
      <c r="E170" s="70"/>
      <c r="F170" s="245"/>
      <c r="G170" s="245"/>
      <c r="H170" s="245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</row>
    <row r="171" customFormat="false" ht="12.75" hidden="false" customHeight="false" outlineLevel="1" collapsed="false">
      <c r="A171" s="388"/>
      <c r="B171" s="70"/>
      <c r="C171" s="70"/>
      <c r="D171" s="70"/>
      <c r="E171" s="70"/>
      <c r="F171" s="245"/>
      <c r="G171" s="245"/>
      <c r="H171" s="245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</row>
    <row r="172" customFormat="false" ht="12.75" hidden="false" customHeight="false" outlineLevel="1" collapsed="false">
      <c r="A172" s="367"/>
      <c r="B172" s="70"/>
      <c r="C172" s="70"/>
      <c r="D172" s="70"/>
      <c r="E172" s="70"/>
      <c r="F172" s="245"/>
      <c r="G172" s="245"/>
      <c r="H172" s="245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</row>
    <row r="173" customFormat="false" ht="12.75" hidden="false" customHeight="false" outlineLevel="1" collapsed="false">
      <c r="A173" s="388"/>
      <c r="B173" s="70"/>
      <c r="C173" s="70"/>
      <c r="D173" s="70"/>
      <c r="E173" s="70"/>
      <c r="F173" s="245"/>
      <c r="G173" s="245"/>
      <c r="H173" s="245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</row>
    <row r="174" customFormat="false" ht="12.75" hidden="false" customHeight="false" outlineLevel="1" collapsed="false">
      <c r="A174" s="681"/>
      <c r="B174" s="70"/>
      <c r="C174" s="70"/>
      <c r="D174" s="70"/>
      <c r="E174" s="70"/>
      <c r="F174" s="245"/>
      <c r="G174" s="245"/>
      <c r="H174" s="245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</row>
    <row r="175" customFormat="false" ht="12.75" hidden="false" customHeight="false" outlineLevel="1" collapsed="false">
      <c r="A175" s="367"/>
      <c r="B175" s="70"/>
      <c r="C175" s="70"/>
      <c r="D175" s="70"/>
      <c r="E175" s="70"/>
      <c r="F175" s="245"/>
      <c r="G175" s="245"/>
      <c r="H175" s="245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</row>
    <row r="176" customFormat="false" ht="12.75" hidden="false" customHeight="false" outlineLevel="1" collapsed="false">
      <c r="A176" s="366"/>
      <c r="B176" s="70"/>
      <c r="C176" s="70"/>
      <c r="D176" s="70"/>
      <c r="E176" s="70"/>
      <c r="F176" s="245"/>
      <c r="G176" s="245"/>
      <c r="H176" s="245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</row>
    <row r="177" customFormat="false" ht="12.75" hidden="false" customHeight="false" outlineLevel="1" collapsed="false">
      <c r="A177" s="367"/>
      <c r="B177" s="70"/>
      <c r="C177" s="70"/>
      <c r="D177" s="70"/>
      <c r="E177" s="70"/>
      <c r="F177" s="245"/>
      <c r="G177" s="245"/>
      <c r="H177" s="245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</row>
    <row r="178" customFormat="false" ht="12.75" hidden="false" customHeight="false" outlineLevel="1" collapsed="false">
      <c r="A178" s="366"/>
      <c r="B178" s="70"/>
      <c r="C178" s="70"/>
      <c r="D178" s="70"/>
      <c r="E178" s="70"/>
      <c r="F178" s="245"/>
      <c r="G178" s="245"/>
      <c r="H178" s="245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</row>
    <row r="179" customFormat="false" ht="12.75" hidden="false" customHeight="false" outlineLevel="1" collapsed="false">
      <c r="A179" s="367"/>
      <c r="B179" s="70"/>
      <c r="C179" s="70"/>
      <c r="D179" s="70"/>
      <c r="E179" s="70"/>
      <c r="F179" s="245"/>
      <c r="G179" s="245"/>
      <c r="H179" s="245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</row>
    <row r="180" customFormat="false" ht="12.75" hidden="false" customHeight="false" outlineLevel="1" collapsed="false">
      <c r="A180" s="367"/>
      <c r="B180" s="70"/>
      <c r="C180" s="70"/>
      <c r="D180" s="70"/>
      <c r="E180" s="70"/>
      <c r="F180" s="245"/>
      <c r="G180" s="245"/>
      <c r="H180" s="245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</row>
    <row r="181" customFormat="false" ht="12.75" hidden="false" customHeight="false" outlineLevel="1" collapsed="false">
      <c r="A181" s="367"/>
      <c r="B181" s="70"/>
      <c r="C181" s="70"/>
      <c r="D181" s="70"/>
      <c r="E181" s="70"/>
      <c r="F181" s="245"/>
      <c r="G181" s="245"/>
      <c r="H181" s="245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</row>
    <row r="182" customFormat="false" ht="12.75" hidden="false" customHeight="false" outlineLevel="1" collapsed="false">
      <c r="A182" s="367"/>
      <c r="B182" s="70"/>
      <c r="C182" s="70"/>
      <c r="D182" s="70"/>
      <c r="E182" s="70"/>
      <c r="F182" s="245"/>
      <c r="G182" s="245"/>
      <c r="H182" s="245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</row>
    <row r="183" customFormat="false" ht="12.75" hidden="false" customHeight="false" outlineLevel="1" collapsed="false">
      <c r="A183" s="367"/>
      <c r="B183" s="70"/>
      <c r="C183" s="70"/>
      <c r="D183" s="70"/>
      <c r="E183" s="70"/>
      <c r="F183" s="245"/>
      <c r="G183" s="245"/>
      <c r="H183" s="245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</row>
    <row r="184" customFormat="false" ht="12.75" hidden="false" customHeight="false" outlineLevel="1" collapsed="false">
      <c r="A184" s="367"/>
      <c r="B184" s="70"/>
      <c r="C184" s="70"/>
      <c r="D184" s="70"/>
      <c r="E184" s="70"/>
      <c r="F184" s="245"/>
      <c r="G184" s="245"/>
      <c r="H184" s="245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</row>
    <row r="185" customFormat="false" ht="12.75" hidden="false" customHeight="false" outlineLevel="1" collapsed="false">
      <c r="A185" s="388"/>
      <c r="B185" s="70"/>
      <c r="C185" s="70"/>
      <c r="D185" s="70"/>
      <c r="E185" s="70"/>
      <c r="F185" s="245"/>
      <c r="G185" s="245"/>
      <c r="H185" s="245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</row>
    <row r="186" customFormat="false" ht="12.75" hidden="false" customHeight="false" outlineLevel="1" collapsed="false">
      <c r="A186" s="670"/>
      <c r="B186" s="70"/>
      <c r="C186" s="70"/>
      <c r="D186" s="70"/>
      <c r="E186" s="70"/>
      <c r="F186" s="245"/>
      <c r="G186" s="245"/>
      <c r="H186" s="245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</row>
    <row r="187" customFormat="false" ht="12.75" hidden="false" customHeight="false" outlineLevel="1" collapsed="false">
      <c r="A187" s="367"/>
      <c r="B187" s="70"/>
      <c r="C187" s="70"/>
      <c r="D187" s="70"/>
      <c r="E187" s="70"/>
      <c r="F187" s="245"/>
      <c r="G187" s="245"/>
      <c r="H187" s="245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</row>
    <row r="188" customFormat="false" ht="12.75" hidden="false" customHeight="false" outlineLevel="1" collapsed="false">
      <c r="A188" s="681"/>
      <c r="B188" s="70"/>
      <c r="C188" s="70"/>
      <c r="D188" s="70"/>
      <c r="E188" s="70"/>
      <c r="F188" s="245"/>
      <c r="G188" s="245"/>
      <c r="H188" s="245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</row>
    <row r="189" customFormat="false" ht="12.75" hidden="false" customHeight="false" outlineLevel="1" collapsed="false">
      <c r="A189" s="681"/>
      <c r="B189" s="70"/>
      <c r="C189" s="70"/>
      <c r="D189" s="70"/>
      <c r="E189" s="70"/>
      <c r="F189" s="245"/>
      <c r="G189" s="245"/>
      <c r="H189" s="245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</row>
    <row r="190" customFormat="false" ht="12.75" hidden="false" customHeight="false" outlineLevel="1" collapsed="false">
      <c r="A190" s="367"/>
      <c r="B190" s="70"/>
      <c r="C190" s="70"/>
      <c r="D190" s="70"/>
      <c r="E190" s="70"/>
      <c r="F190" s="245"/>
      <c r="G190" s="245"/>
      <c r="H190" s="245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</row>
    <row r="191" customFormat="false" ht="12.75" hidden="false" customHeight="false" outlineLevel="1" collapsed="false">
      <c r="A191" s="367"/>
      <c r="B191" s="70"/>
      <c r="C191" s="70"/>
      <c r="D191" s="70"/>
      <c r="E191" s="70"/>
      <c r="F191" s="245"/>
      <c r="G191" s="245"/>
      <c r="H191" s="245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</row>
    <row r="192" customFormat="false" ht="12.75" hidden="false" customHeight="false" outlineLevel="1" collapsed="false">
      <c r="A192" s="366"/>
      <c r="B192" s="70"/>
      <c r="C192" s="70"/>
      <c r="D192" s="70"/>
      <c r="E192" s="70"/>
      <c r="F192" s="245"/>
      <c r="G192" s="245"/>
      <c r="H192" s="245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</row>
    <row r="193" customFormat="false" ht="12.75" hidden="false" customHeight="false" outlineLevel="1" collapsed="false">
      <c r="A193" s="388"/>
      <c r="B193" s="70"/>
      <c r="C193" s="70"/>
      <c r="D193" s="70"/>
      <c r="E193" s="70"/>
      <c r="F193" s="245"/>
      <c r="G193" s="245"/>
      <c r="H193" s="245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</row>
    <row r="194" customFormat="false" ht="12.75" hidden="false" customHeight="false" outlineLevel="1" collapsed="false">
      <c r="A194" s="388"/>
      <c r="B194" s="70"/>
      <c r="C194" s="70"/>
      <c r="D194" s="70"/>
      <c r="E194" s="70"/>
      <c r="F194" s="245"/>
      <c r="G194" s="245"/>
      <c r="H194" s="245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</row>
    <row r="195" customFormat="false" ht="12.75" hidden="false" customHeight="false" outlineLevel="1" collapsed="false">
      <c r="A195" s="388"/>
      <c r="B195" s="70"/>
      <c r="C195" s="70"/>
      <c r="D195" s="70"/>
      <c r="E195" s="70"/>
      <c r="F195" s="245"/>
      <c r="G195" s="245"/>
      <c r="H195" s="245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</row>
    <row r="196" customFormat="false" ht="12.75" hidden="false" customHeight="false" outlineLevel="1" collapsed="false">
      <c r="A196" s="388"/>
      <c r="B196" s="70"/>
      <c r="C196" s="70"/>
      <c r="D196" s="70"/>
      <c r="E196" s="70"/>
      <c r="F196" s="245"/>
      <c r="G196" s="245"/>
      <c r="H196" s="245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</row>
    <row r="197" customFormat="false" ht="12.75" hidden="false" customHeight="false" outlineLevel="1" collapsed="false">
      <c r="A197" s="388"/>
      <c r="B197" s="70"/>
      <c r="C197" s="70"/>
      <c r="D197" s="70"/>
      <c r="E197" s="70"/>
      <c r="F197" s="245"/>
      <c r="G197" s="245"/>
      <c r="H197" s="245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</row>
    <row r="198" customFormat="false" ht="12.75" hidden="false" customHeight="false" outlineLevel="1" collapsed="false">
      <c r="A198" s="388"/>
      <c r="B198" s="70"/>
      <c r="C198" s="70"/>
      <c r="D198" s="70"/>
      <c r="E198" s="70"/>
      <c r="F198" s="245"/>
      <c r="G198" s="245"/>
      <c r="H198" s="245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</row>
    <row r="199" customFormat="false" ht="12.75" hidden="false" customHeight="false" outlineLevel="1" collapsed="false">
      <c r="A199" s="388"/>
      <c r="B199" s="70"/>
      <c r="C199" s="70"/>
      <c r="D199" s="70"/>
      <c r="E199" s="70"/>
      <c r="F199" s="245"/>
      <c r="G199" s="245"/>
      <c r="H199" s="245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</row>
    <row r="200" customFormat="false" ht="12.75" hidden="false" customHeight="false" outlineLevel="1" collapsed="false">
      <c r="A200" s="70"/>
      <c r="B200" s="70"/>
      <c r="C200" s="70"/>
      <c r="D200" s="70"/>
      <c r="E200" s="70"/>
      <c r="F200" s="245"/>
      <c r="G200" s="245"/>
      <c r="H200" s="245"/>
      <c r="I200" s="245"/>
      <c r="J200" s="245"/>
      <c r="K200" s="245"/>
      <c r="L200" s="245"/>
      <c r="M200" s="245"/>
      <c r="N200" s="245"/>
      <c r="O200" s="245"/>
      <c r="P200" s="245"/>
      <c r="Q200" s="245"/>
      <c r="R200" s="245"/>
      <c r="S200" s="245"/>
      <c r="T200" s="245"/>
      <c r="U200" s="245"/>
      <c r="V200" s="245"/>
      <c r="W200" s="245"/>
      <c r="X200" s="245"/>
      <c r="Y200" s="245"/>
      <c r="Z200" s="245"/>
    </row>
    <row r="201" customFormat="false" ht="12.75" hidden="false" customHeight="false" outlineLevel="1" collapsed="false">
      <c r="A201" s="70"/>
      <c r="B201" s="70"/>
      <c r="C201" s="70"/>
      <c r="D201" s="70"/>
      <c r="E201" s="70"/>
      <c r="F201" s="245"/>
      <c r="G201" s="245"/>
      <c r="H201" s="245"/>
      <c r="I201" s="245"/>
      <c r="J201" s="245"/>
      <c r="K201" s="245"/>
      <c r="L201" s="245"/>
      <c r="M201" s="245"/>
      <c r="N201" s="245"/>
      <c r="O201" s="245"/>
      <c r="P201" s="245"/>
      <c r="Q201" s="245"/>
      <c r="R201" s="245"/>
      <c r="S201" s="245"/>
      <c r="T201" s="245"/>
      <c r="U201" s="245"/>
      <c r="V201" s="245"/>
      <c r="W201" s="245"/>
      <c r="X201" s="245"/>
      <c r="Y201" s="245"/>
      <c r="Z201" s="245"/>
    </row>
    <row r="202" customFormat="false" ht="12.75" hidden="false" customHeight="false" outlineLevel="1" collapsed="false">
      <c r="A202" s="70"/>
      <c r="B202" s="70"/>
      <c r="C202" s="70"/>
      <c r="D202" s="70"/>
      <c r="E202" s="70"/>
      <c r="F202" s="70"/>
      <c r="G202" s="70"/>
      <c r="H202" s="70"/>
      <c r="I202" s="245"/>
      <c r="J202" s="245"/>
      <c r="K202" s="245"/>
      <c r="L202" s="245"/>
      <c r="M202" s="245"/>
      <c r="N202" s="245"/>
      <c r="O202" s="245"/>
      <c r="P202" s="245"/>
      <c r="Q202" s="245"/>
      <c r="R202" s="245"/>
      <c r="S202" s="245"/>
      <c r="T202" s="245"/>
      <c r="U202" s="245"/>
      <c r="V202" s="245"/>
      <c r="W202" s="245"/>
      <c r="X202" s="245"/>
      <c r="Y202" s="245"/>
      <c r="Z202" s="245"/>
    </row>
    <row r="203" customFormat="false" ht="18.75" hidden="false" customHeight="false" outlineLevel="1" collapsed="false">
      <c r="A203" s="683"/>
      <c r="B203" s="683"/>
      <c r="C203" s="683"/>
      <c r="D203" s="683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</row>
    <row r="204" customFormat="false" ht="12.75" hidden="false" customHeight="false" outlineLevel="1" collapsed="false">
      <c r="A204" s="395"/>
      <c r="B204" s="395"/>
      <c r="C204" s="395"/>
      <c r="D204" s="395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</row>
    <row r="205" customFormat="false" ht="12.75" hidden="false" customHeight="false" outlineLevel="1" collapsed="false">
      <c r="A205" s="395"/>
      <c r="B205" s="684"/>
      <c r="C205" s="684"/>
      <c r="D205" s="684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</row>
    <row r="206" customFormat="false" ht="12.75" hidden="false" customHeight="false" outlineLevel="1" collapsed="false">
      <c r="A206" s="70"/>
      <c r="B206" s="70"/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</row>
    <row r="207" customFormat="false" ht="12.75" hidden="false" customHeight="false" outlineLevel="1" collapsed="false">
      <c r="A207" s="322"/>
      <c r="B207" s="321"/>
      <c r="C207" s="321"/>
      <c r="D207" s="321"/>
      <c r="E207" s="321"/>
      <c r="F207" s="321"/>
      <c r="G207" s="321"/>
      <c r="H207" s="321"/>
      <c r="I207" s="321"/>
      <c r="J207" s="321"/>
      <c r="K207" s="321"/>
      <c r="L207" s="321"/>
      <c r="M207" s="321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</row>
    <row r="208" customFormat="false" ht="12.75" hidden="false" customHeight="false" outlineLevel="1" collapsed="false">
      <c r="A208" s="395"/>
      <c r="B208" s="395"/>
      <c r="C208" s="395"/>
      <c r="D208" s="395"/>
      <c r="E208" s="395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</row>
    <row r="209" customFormat="false" ht="12.75" hidden="false" customHeight="false" outlineLevel="1" collapsed="false">
      <c r="A209" s="685"/>
      <c r="B209" s="395"/>
      <c r="C209" s="395"/>
      <c r="D209" s="395"/>
      <c r="E209" s="395"/>
      <c r="F209" s="686"/>
      <c r="G209" s="686"/>
      <c r="H209" s="686"/>
      <c r="I209" s="686"/>
      <c r="J209" s="686"/>
      <c r="K209" s="686"/>
      <c r="L209" s="686"/>
      <c r="M209" s="686"/>
      <c r="N209" s="70"/>
      <c r="O209" s="686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</row>
    <row r="210" customFormat="false" ht="12.75" hidden="false" customHeight="false" outlineLevel="1" collapsed="false">
      <c r="A210" s="685"/>
      <c r="B210" s="395"/>
      <c r="C210" s="395"/>
      <c r="D210" s="395"/>
      <c r="E210" s="395"/>
      <c r="F210" s="686"/>
      <c r="G210" s="686"/>
      <c r="H210" s="686"/>
      <c r="I210" s="686"/>
      <c r="J210" s="686"/>
      <c r="K210" s="686"/>
      <c r="L210" s="686"/>
      <c r="M210" s="686"/>
      <c r="N210" s="70"/>
      <c r="O210" s="686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</row>
    <row r="211" customFormat="false" ht="12.75" hidden="false" customHeight="false" outlineLevel="1" collapsed="false">
      <c r="A211" s="685"/>
      <c r="B211" s="685"/>
      <c r="C211" s="685"/>
      <c r="D211" s="685"/>
      <c r="E211" s="685"/>
      <c r="F211" s="686"/>
      <c r="G211" s="686"/>
      <c r="H211" s="686"/>
      <c r="I211" s="686"/>
      <c r="J211" s="686"/>
      <c r="K211" s="686"/>
      <c r="L211" s="686"/>
      <c r="M211" s="686"/>
      <c r="N211" s="70"/>
      <c r="O211" s="686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</row>
    <row r="212" customFormat="false" ht="12.75" hidden="false" customHeight="false" outlineLevel="1" collapsed="false">
      <c r="A212" s="685"/>
      <c r="B212" s="685"/>
      <c r="C212" s="685"/>
      <c r="D212" s="685"/>
      <c r="E212" s="685"/>
      <c r="F212" s="686"/>
      <c r="G212" s="686"/>
      <c r="H212" s="686"/>
      <c r="I212" s="686"/>
      <c r="J212" s="686"/>
      <c r="K212" s="686"/>
      <c r="L212" s="686"/>
      <c r="M212" s="686"/>
      <c r="N212" s="70"/>
      <c r="O212" s="686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</row>
    <row r="213" customFormat="false" ht="12.75" hidden="false" customHeight="false" outlineLevel="1" collapsed="false">
      <c r="A213" s="685"/>
      <c r="B213" s="322"/>
      <c r="C213" s="322"/>
      <c r="D213" s="322"/>
      <c r="E213" s="322"/>
      <c r="F213" s="686"/>
      <c r="G213" s="686"/>
      <c r="H213" s="686"/>
      <c r="I213" s="686"/>
      <c r="J213" s="686"/>
      <c r="K213" s="686"/>
      <c r="L213" s="686"/>
      <c r="M213" s="686"/>
      <c r="N213" s="70"/>
      <c r="O213" s="686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</row>
    <row r="214" customFormat="false" ht="12.75" hidden="false" customHeight="false" outlineLevel="1" collapsed="false">
      <c r="A214" s="70"/>
      <c r="B214" s="70"/>
      <c r="C214" s="70"/>
      <c r="D214" s="70"/>
      <c r="E214" s="70"/>
      <c r="F214" s="686"/>
      <c r="G214" s="686"/>
      <c r="H214" s="686"/>
      <c r="I214" s="686"/>
      <c r="J214" s="686"/>
      <c r="K214" s="686"/>
      <c r="L214" s="686"/>
      <c r="M214" s="686"/>
      <c r="N214" s="70"/>
      <c r="O214" s="686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</row>
    <row r="215" customFormat="false" ht="12.75" hidden="false" customHeight="false" outlineLevel="1" collapsed="false">
      <c r="A215" s="395"/>
      <c r="B215" s="395"/>
      <c r="C215" s="395"/>
      <c r="D215" s="395"/>
      <c r="E215" s="395"/>
      <c r="F215" s="686"/>
      <c r="G215" s="686"/>
      <c r="H215" s="686"/>
      <c r="I215" s="686"/>
      <c r="J215" s="686"/>
      <c r="K215" s="686"/>
      <c r="L215" s="686"/>
      <c r="M215" s="686"/>
      <c r="N215" s="70"/>
      <c r="O215" s="686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</row>
    <row r="216" customFormat="false" ht="12.75" hidden="false" customHeight="false" outlineLevel="1" collapsed="false">
      <c r="A216" s="685"/>
      <c r="B216" s="395"/>
      <c r="C216" s="395"/>
      <c r="D216" s="395"/>
      <c r="E216" s="395"/>
      <c r="F216" s="686"/>
      <c r="G216" s="686"/>
      <c r="H216" s="686"/>
      <c r="I216" s="686"/>
      <c r="J216" s="686"/>
      <c r="K216" s="686"/>
      <c r="L216" s="686"/>
      <c r="M216" s="686"/>
      <c r="N216" s="70"/>
      <c r="O216" s="686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</row>
    <row r="217" customFormat="false" ht="12.75" hidden="false" customHeight="false" outlineLevel="1" collapsed="false">
      <c r="A217" s="685"/>
      <c r="B217" s="395"/>
      <c r="C217" s="395"/>
      <c r="D217" s="395"/>
      <c r="E217" s="395"/>
      <c r="F217" s="686"/>
      <c r="G217" s="686"/>
      <c r="H217" s="686"/>
      <c r="I217" s="686"/>
      <c r="J217" s="686"/>
      <c r="K217" s="686"/>
      <c r="L217" s="686"/>
      <c r="M217" s="686"/>
      <c r="N217" s="70"/>
      <c r="O217" s="686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</row>
    <row r="218" customFormat="false" ht="12.75" hidden="false" customHeight="false" outlineLevel="1" collapsed="false">
      <c r="A218" s="685"/>
      <c r="B218" s="395"/>
      <c r="C218" s="395"/>
      <c r="D218" s="395"/>
      <c r="E218" s="395"/>
      <c r="F218" s="686"/>
      <c r="G218" s="686"/>
      <c r="H218" s="686"/>
      <c r="I218" s="686"/>
      <c r="J218" s="686"/>
      <c r="K218" s="686"/>
      <c r="L218" s="686"/>
      <c r="M218" s="686"/>
      <c r="N218" s="70"/>
      <c r="O218" s="686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</row>
    <row r="219" customFormat="false" ht="12.75" hidden="false" customHeight="false" outlineLevel="1" collapsed="false">
      <c r="A219" s="685"/>
      <c r="B219" s="395"/>
      <c r="C219" s="395"/>
      <c r="D219" s="395"/>
      <c r="E219" s="395"/>
      <c r="F219" s="686"/>
      <c r="G219" s="686"/>
      <c r="H219" s="686"/>
      <c r="I219" s="686"/>
      <c r="J219" s="686"/>
      <c r="K219" s="686"/>
      <c r="L219" s="686"/>
      <c r="M219" s="686"/>
      <c r="N219" s="70"/>
      <c r="O219" s="686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</row>
    <row r="220" customFormat="false" ht="12.75" hidden="false" customHeight="false" outlineLevel="1" collapsed="false">
      <c r="A220" s="685"/>
      <c r="B220" s="395"/>
      <c r="C220" s="395"/>
      <c r="D220" s="395"/>
      <c r="E220" s="395"/>
      <c r="F220" s="686"/>
      <c r="G220" s="686"/>
      <c r="H220" s="686"/>
      <c r="I220" s="686"/>
      <c r="J220" s="686"/>
      <c r="K220" s="686"/>
      <c r="L220" s="686"/>
      <c r="M220" s="686"/>
      <c r="N220" s="70"/>
      <c r="O220" s="686"/>
      <c r="P220" s="70"/>
      <c r="Q220" s="70"/>
      <c r="R220" s="70"/>
      <c r="S220" s="70"/>
      <c r="T220" s="70"/>
      <c r="U220" s="70"/>
      <c r="V220" s="70"/>
      <c r="W220" s="70"/>
      <c r="X220" s="70"/>
      <c r="Y220" s="70"/>
      <c r="Z220" s="70"/>
    </row>
    <row r="221" customFormat="false" ht="12.75" hidden="false" customHeight="false" outlineLevel="1" collapsed="false">
      <c r="A221" s="685"/>
      <c r="B221" s="395"/>
      <c r="C221" s="395"/>
      <c r="D221" s="395"/>
      <c r="E221" s="395"/>
      <c r="F221" s="686"/>
      <c r="G221" s="686"/>
      <c r="H221" s="686"/>
      <c r="I221" s="686"/>
      <c r="J221" s="686"/>
      <c r="K221" s="686"/>
      <c r="L221" s="686"/>
      <c r="M221" s="686"/>
      <c r="N221" s="70"/>
      <c r="O221" s="686"/>
      <c r="P221" s="70"/>
      <c r="Q221" s="70"/>
      <c r="R221" s="70"/>
      <c r="S221" s="70"/>
      <c r="T221" s="70"/>
      <c r="U221" s="70"/>
      <c r="V221" s="70"/>
      <c r="W221" s="70"/>
      <c r="X221" s="70"/>
      <c r="Y221" s="70"/>
      <c r="Z221" s="70"/>
    </row>
    <row r="222" customFormat="false" ht="12.75" hidden="false" customHeight="false" outlineLevel="1" collapsed="false">
      <c r="A222" s="685"/>
      <c r="B222" s="395"/>
      <c r="C222" s="395"/>
      <c r="D222" s="395"/>
      <c r="E222" s="395"/>
      <c r="F222" s="686"/>
      <c r="G222" s="686"/>
      <c r="H222" s="686"/>
      <c r="I222" s="686"/>
      <c r="J222" s="686"/>
      <c r="K222" s="686"/>
      <c r="L222" s="686"/>
      <c r="M222" s="686"/>
      <c r="N222" s="70"/>
      <c r="O222" s="686"/>
      <c r="P222" s="70"/>
      <c r="Q222" s="70"/>
      <c r="R222" s="70"/>
      <c r="S222" s="70"/>
      <c r="T222" s="70"/>
      <c r="U222" s="70"/>
      <c r="V222" s="70"/>
      <c r="W222" s="70"/>
      <c r="X222" s="70"/>
      <c r="Y222" s="70"/>
      <c r="Z222" s="70"/>
    </row>
    <row r="223" customFormat="false" ht="12.75" hidden="false" customHeight="false" outlineLevel="1" collapsed="false">
      <c r="A223" s="685"/>
      <c r="B223" s="395"/>
      <c r="C223" s="395"/>
      <c r="D223" s="395"/>
      <c r="E223" s="395"/>
      <c r="F223" s="686"/>
      <c r="G223" s="686"/>
      <c r="H223" s="686"/>
      <c r="I223" s="686"/>
      <c r="J223" s="686"/>
      <c r="K223" s="686"/>
      <c r="L223" s="686"/>
      <c r="M223" s="686"/>
      <c r="N223" s="70"/>
      <c r="O223" s="686"/>
      <c r="P223" s="70"/>
      <c r="Q223" s="70"/>
      <c r="R223" s="70"/>
      <c r="S223" s="70"/>
      <c r="T223" s="70"/>
      <c r="U223" s="70"/>
      <c r="V223" s="70"/>
      <c r="W223" s="70"/>
      <c r="X223" s="70"/>
      <c r="Y223" s="70"/>
      <c r="Z223" s="70"/>
    </row>
    <row r="224" customFormat="false" ht="12.75" hidden="false" customHeight="false" outlineLevel="1" collapsed="false">
      <c r="A224" s="685"/>
      <c r="B224" s="395"/>
      <c r="C224" s="395"/>
      <c r="D224" s="395"/>
      <c r="E224" s="395"/>
      <c r="F224" s="686"/>
      <c r="G224" s="686"/>
      <c r="H224" s="686"/>
      <c r="I224" s="686"/>
      <c r="J224" s="686"/>
      <c r="K224" s="686"/>
      <c r="L224" s="686"/>
      <c r="M224" s="686"/>
      <c r="N224" s="70"/>
      <c r="O224" s="686"/>
      <c r="P224" s="70"/>
      <c r="Q224" s="70"/>
      <c r="R224" s="70"/>
      <c r="S224" s="70"/>
      <c r="T224" s="70"/>
      <c r="U224" s="70"/>
      <c r="V224" s="70"/>
      <c r="W224" s="70"/>
      <c r="X224" s="70"/>
      <c r="Y224" s="70"/>
      <c r="Z224" s="70"/>
    </row>
    <row r="225" customFormat="false" ht="12.75" hidden="false" customHeight="false" outlineLevel="1" collapsed="false">
      <c r="A225" s="685"/>
      <c r="B225" s="685"/>
      <c r="C225" s="685"/>
      <c r="D225" s="685"/>
      <c r="E225" s="685"/>
      <c r="F225" s="686"/>
      <c r="G225" s="686"/>
      <c r="H225" s="686"/>
      <c r="I225" s="686"/>
      <c r="J225" s="686"/>
      <c r="K225" s="686"/>
      <c r="L225" s="686"/>
      <c r="M225" s="686"/>
      <c r="N225" s="70"/>
      <c r="O225" s="686"/>
      <c r="P225" s="70"/>
      <c r="Q225" s="70"/>
      <c r="R225" s="70"/>
      <c r="S225" s="70"/>
      <c r="T225" s="70"/>
      <c r="U225" s="70"/>
      <c r="V225" s="70"/>
      <c r="W225" s="70"/>
      <c r="X225" s="70"/>
      <c r="Y225" s="70"/>
      <c r="Z225" s="70"/>
    </row>
    <row r="226" customFormat="false" ht="12.75" hidden="false" customHeight="false" outlineLevel="1" collapsed="false">
      <c r="A226" s="685"/>
      <c r="B226" s="685"/>
      <c r="C226" s="685"/>
      <c r="D226" s="685"/>
      <c r="E226" s="685"/>
      <c r="F226" s="686"/>
      <c r="G226" s="686"/>
      <c r="H226" s="686"/>
      <c r="I226" s="686"/>
      <c r="J226" s="686"/>
      <c r="K226" s="686"/>
      <c r="L226" s="686"/>
      <c r="M226" s="686"/>
      <c r="N226" s="70"/>
      <c r="O226" s="686"/>
      <c r="P226" s="70"/>
      <c r="Q226" s="70"/>
      <c r="R226" s="70"/>
      <c r="S226" s="70"/>
      <c r="T226" s="70"/>
      <c r="U226" s="70"/>
      <c r="V226" s="70"/>
      <c r="W226" s="70"/>
      <c r="X226" s="70"/>
      <c r="Y226" s="70"/>
      <c r="Z226" s="70"/>
    </row>
    <row r="227" customFormat="false" ht="12.75" hidden="false" customHeight="false" outlineLevel="1" collapsed="false">
      <c r="A227" s="395"/>
      <c r="B227" s="395"/>
      <c r="C227" s="395"/>
      <c r="D227" s="395"/>
      <c r="E227" s="395"/>
      <c r="F227" s="686"/>
      <c r="G227" s="686"/>
      <c r="H227" s="686"/>
      <c r="I227" s="686"/>
      <c r="J227" s="686"/>
      <c r="K227" s="686"/>
      <c r="L227" s="686"/>
      <c r="M227" s="686"/>
      <c r="N227" s="70"/>
      <c r="O227" s="686"/>
      <c r="P227" s="70"/>
      <c r="Q227" s="70"/>
      <c r="R227" s="70"/>
      <c r="S227" s="70"/>
      <c r="T227" s="70"/>
      <c r="U227" s="70"/>
      <c r="V227" s="70"/>
      <c r="W227" s="70"/>
      <c r="X227" s="70"/>
      <c r="Y227" s="70"/>
      <c r="Z227" s="70"/>
    </row>
    <row r="228" customFormat="false" ht="12.75" hidden="false" customHeight="false" outlineLevel="1" collapsed="false">
      <c r="A228" s="685"/>
      <c r="B228" s="685"/>
      <c r="C228" s="685"/>
      <c r="D228" s="685"/>
      <c r="E228" s="685"/>
      <c r="F228" s="686"/>
      <c r="G228" s="686"/>
      <c r="H228" s="686"/>
      <c r="I228" s="686"/>
      <c r="J228" s="686"/>
      <c r="K228" s="686"/>
      <c r="L228" s="686"/>
      <c r="M228" s="686"/>
      <c r="N228" s="70"/>
      <c r="O228" s="686"/>
      <c r="P228" s="70"/>
      <c r="Q228" s="70"/>
      <c r="R228" s="70"/>
      <c r="S228" s="70"/>
      <c r="T228" s="70"/>
      <c r="U228" s="70"/>
      <c r="V228" s="70"/>
      <c r="W228" s="70"/>
      <c r="X228" s="70"/>
      <c r="Y228" s="70"/>
      <c r="Z228" s="70"/>
    </row>
    <row r="229" customFormat="false" ht="12.75" hidden="false" customHeight="false" outlineLevel="1" collapsed="false">
      <c r="A229" s="685"/>
      <c r="B229" s="685"/>
      <c r="C229" s="685"/>
      <c r="D229" s="685"/>
      <c r="E229" s="685"/>
      <c r="F229" s="686"/>
      <c r="G229" s="686"/>
      <c r="H229" s="686"/>
      <c r="I229" s="686"/>
      <c r="J229" s="686"/>
      <c r="K229" s="686"/>
      <c r="L229" s="686"/>
      <c r="M229" s="686"/>
      <c r="N229" s="70"/>
      <c r="O229" s="686"/>
      <c r="P229" s="70"/>
      <c r="Q229" s="70"/>
      <c r="R229" s="70"/>
      <c r="S229" s="70"/>
      <c r="T229" s="70"/>
      <c r="U229" s="70"/>
      <c r="V229" s="70"/>
      <c r="W229" s="70"/>
      <c r="X229" s="70"/>
      <c r="Y229" s="70"/>
      <c r="Z229" s="70"/>
    </row>
    <row r="230" customFormat="false" ht="12.75" hidden="false" customHeight="false" outlineLevel="1" collapsed="false">
      <c r="A230" s="395"/>
      <c r="B230" s="395"/>
      <c r="C230" s="395"/>
      <c r="D230" s="395"/>
      <c r="E230" s="395"/>
      <c r="F230" s="686"/>
      <c r="G230" s="686"/>
      <c r="H230" s="686"/>
      <c r="I230" s="686"/>
      <c r="J230" s="686"/>
      <c r="K230" s="686"/>
      <c r="L230" s="686"/>
      <c r="M230" s="686"/>
      <c r="N230" s="70"/>
      <c r="O230" s="686"/>
      <c r="P230" s="70"/>
      <c r="Q230" s="70"/>
      <c r="R230" s="70"/>
      <c r="S230" s="70"/>
      <c r="T230" s="70"/>
      <c r="U230" s="70"/>
      <c r="V230" s="70"/>
      <c r="W230" s="70"/>
      <c r="X230" s="70"/>
      <c r="Y230" s="70"/>
      <c r="Z230" s="70"/>
    </row>
    <row r="231" customFormat="false" ht="12.75" hidden="false" customHeight="false" outlineLevel="1" collapsed="false">
      <c r="A231" s="395"/>
      <c r="B231" s="395"/>
      <c r="C231" s="395"/>
      <c r="D231" s="395"/>
      <c r="E231" s="395"/>
      <c r="F231" s="686"/>
      <c r="G231" s="686"/>
      <c r="H231" s="686"/>
      <c r="I231" s="686"/>
      <c r="J231" s="686"/>
      <c r="K231" s="686"/>
      <c r="L231" s="686"/>
      <c r="M231" s="686"/>
      <c r="N231" s="70"/>
      <c r="O231" s="686"/>
      <c r="P231" s="70"/>
      <c r="Q231" s="70"/>
      <c r="R231" s="70"/>
      <c r="S231" s="70"/>
      <c r="T231" s="70"/>
      <c r="U231" s="70"/>
      <c r="V231" s="70"/>
      <c r="W231" s="70"/>
      <c r="X231" s="70"/>
      <c r="Y231" s="70"/>
      <c r="Z231" s="70"/>
    </row>
    <row r="232" customFormat="false" ht="12.75" hidden="false" customHeight="false" outlineLevel="1" collapsed="false">
      <c r="A232" s="70"/>
      <c r="B232" s="395"/>
      <c r="C232" s="395"/>
      <c r="D232" s="395"/>
      <c r="E232" s="395"/>
      <c r="F232" s="686"/>
      <c r="G232" s="686"/>
      <c r="H232" s="686"/>
      <c r="I232" s="686"/>
      <c r="J232" s="686"/>
      <c r="K232" s="686"/>
      <c r="L232" s="686"/>
      <c r="M232" s="686"/>
      <c r="N232" s="70"/>
      <c r="O232" s="686"/>
      <c r="P232" s="70"/>
      <c r="Q232" s="70"/>
      <c r="R232" s="70"/>
      <c r="S232" s="70"/>
      <c r="T232" s="70"/>
      <c r="U232" s="70"/>
      <c r="V232" s="70"/>
      <c r="W232" s="70"/>
      <c r="X232" s="70"/>
      <c r="Y232" s="70"/>
      <c r="Z232" s="70"/>
    </row>
    <row r="233" customFormat="false" ht="12.75" hidden="false" customHeight="false" outlineLevel="1" collapsed="false">
      <c r="A233" s="70"/>
      <c r="B233" s="687"/>
      <c r="C233" s="687"/>
      <c r="D233" s="687"/>
      <c r="E233" s="687"/>
      <c r="F233" s="686"/>
      <c r="G233" s="686"/>
      <c r="H233" s="686"/>
      <c r="I233" s="686"/>
      <c r="J233" s="686"/>
      <c r="K233" s="686"/>
      <c r="L233" s="686"/>
      <c r="M233" s="686"/>
      <c r="N233" s="70"/>
      <c r="O233" s="686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</row>
    <row r="234" customFormat="false" ht="12.75" hidden="false" customHeight="false" outlineLevel="1" collapsed="false">
      <c r="A234" s="395"/>
      <c r="B234" s="687"/>
      <c r="C234" s="687"/>
      <c r="D234" s="687"/>
      <c r="E234" s="687"/>
      <c r="F234" s="686"/>
      <c r="G234" s="686"/>
      <c r="H234" s="686"/>
      <c r="I234" s="686"/>
      <c r="J234" s="686"/>
      <c r="K234" s="686"/>
      <c r="L234" s="686"/>
      <c r="M234" s="686"/>
      <c r="N234" s="70"/>
      <c r="O234" s="686"/>
      <c r="P234" s="70"/>
      <c r="Q234" s="70"/>
      <c r="R234" s="70"/>
      <c r="S234" s="70"/>
      <c r="T234" s="70"/>
      <c r="U234" s="70"/>
      <c r="V234" s="70"/>
      <c r="W234" s="70"/>
      <c r="X234" s="70"/>
      <c r="Y234" s="70"/>
      <c r="Z234" s="70"/>
    </row>
    <row r="235" customFormat="false" ht="12.75" hidden="false" customHeight="false" outlineLevel="1" collapsed="false">
      <c r="A235" s="685"/>
      <c r="B235" s="687"/>
      <c r="C235" s="687"/>
      <c r="D235" s="687"/>
      <c r="E235" s="687"/>
      <c r="F235" s="686"/>
      <c r="G235" s="686"/>
      <c r="H235" s="686"/>
      <c r="I235" s="686"/>
      <c r="J235" s="686"/>
      <c r="K235" s="686"/>
      <c r="L235" s="686"/>
      <c r="M235" s="686"/>
      <c r="N235" s="70"/>
      <c r="O235" s="686"/>
      <c r="P235" s="70"/>
      <c r="Q235" s="70"/>
      <c r="R235" s="70"/>
      <c r="S235" s="70"/>
      <c r="T235" s="70"/>
      <c r="U235" s="70"/>
      <c r="V235" s="70"/>
      <c r="W235" s="70"/>
      <c r="X235" s="70"/>
      <c r="Y235" s="70"/>
      <c r="Z235" s="70"/>
    </row>
    <row r="236" customFormat="false" ht="12.75" hidden="false" customHeight="false" outlineLevel="1" collapsed="false">
      <c r="A236" s="395"/>
      <c r="B236" s="395"/>
      <c r="C236" s="395"/>
      <c r="D236" s="395"/>
      <c r="E236" s="395"/>
      <c r="F236" s="686"/>
      <c r="G236" s="686"/>
      <c r="H236" s="686"/>
      <c r="I236" s="686"/>
      <c r="J236" s="686"/>
      <c r="K236" s="686"/>
      <c r="L236" s="686"/>
      <c r="M236" s="686"/>
      <c r="N236" s="70"/>
      <c r="O236" s="686"/>
      <c r="P236" s="70"/>
      <c r="Q236" s="70"/>
      <c r="R236" s="70"/>
      <c r="S236" s="70"/>
      <c r="T236" s="70"/>
      <c r="U236" s="70"/>
      <c r="V236" s="70"/>
      <c r="W236" s="70"/>
      <c r="X236" s="70"/>
      <c r="Y236" s="70"/>
      <c r="Z236" s="70"/>
    </row>
    <row r="237" customFormat="false" ht="12.75" hidden="false" customHeight="false" outlineLevel="1" collapsed="false">
      <c r="A237" s="70"/>
      <c r="B237" s="70"/>
      <c r="C237" s="70"/>
      <c r="D237" s="70"/>
      <c r="E237" s="70"/>
      <c r="F237" s="686"/>
      <c r="G237" s="686"/>
      <c r="H237" s="686"/>
      <c r="I237" s="686"/>
      <c r="J237" s="686"/>
      <c r="K237" s="686"/>
      <c r="L237" s="686"/>
      <c r="M237" s="686"/>
      <c r="N237" s="70"/>
      <c r="O237" s="686"/>
      <c r="P237" s="70"/>
      <c r="Q237" s="70"/>
      <c r="R237" s="70"/>
      <c r="S237" s="70"/>
      <c r="T237" s="70"/>
      <c r="U237" s="70"/>
      <c r="V237" s="70"/>
      <c r="W237" s="70"/>
      <c r="X237" s="70"/>
      <c r="Y237" s="70"/>
      <c r="Z237" s="70"/>
    </row>
    <row r="238" customFormat="false" ht="12.75" hidden="false" customHeight="false" outlineLevel="1" collapsed="false">
      <c r="A238" s="395"/>
      <c r="B238" s="395"/>
      <c r="C238" s="395"/>
      <c r="D238" s="395"/>
      <c r="E238" s="395"/>
      <c r="F238" s="686"/>
      <c r="G238" s="686"/>
      <c r="H238" s="686"/>
      <c r="I238" s="686"/>
      <c r="J238" s="686"/>
      <c r="K238" s="686"/>
      <c r="L238" s="686"/>
      <c r="M238" s="686"/>
      <c r="N238" s="70"/>
      <c r="O238" s="686"/>
      <c r="P238" s="70"/>
      <c r="Q238" s="70"/>
      <c r="R238" s="70"/>
      <c r="S238" s="70"/>
      <c r="T238" s="70"/>
      <c r="U238" s="70"/>
      <c r="V238" s="70"/>
      <c r="W238" s="70"/>
      <c r="X238" s="70"/>
      <c r="Y238" s="70"/>
      <c r="Z238" s="70"/>
    </row>
    <row r="239" customFormat="false" ht="12.75" hidden="false" customHeight="false" outlineLevel="1" collapsed="false">
      <c r="A239" s="685"/>
      <c r="B239" s="685"/>
      <c r="C239" s="685"/>
      <c r="D239" s="685"/>
      <c r="E239" s="685"/>
      <c r="F239" s="686"/>
      <c r="G239" s="686"/>
      <c r="H239" s="686"/>
      <c r="I239" s="686"/>
      <c r="J239" s="686"/>
      <c r="K239" s="686"/>
      <c r="L239" s="686"/>
      <c r="M239" s="686"/>
      <c r="N239" s="70"/>
      <c r="O239" s="686"/>
      <c r="P239" s="70"/>
      <c r="Q239" s="70"/>
      <c r="R239" s="70"/>
      <c r="S239" s="70"/>
      <c r="T239" s="70"/>
      <c r="U239" s="70"/>
      <c r="V239" s="70"/>
      <c r="W239" s="70"/>
      <c r="X239" s="70"/>
      <c r="Y239" s="70"/>
      <c r="Z239" s="70"/>
    </row>
    <row r="240" customFormat="false" ht="12.75" hidden="false" customHeight="false" outlineLevel="1" collapsed="false">
      <c r="A240" s="685"/>
      <c r="B240" s="685"/>
      <c r="C240" s="685"/>
      <c r="D240" s="685"/>
      <c r="E240" s="685"/>
      <c r="F240" s="686"/>
      <c r="G240" s="686"/>
      <c r="H240" s="686"/>
      <c r="I240" s="686"/>
      <c r="J240" s="686"/>
      <c r="K240" s="686"/>
      <c r="L240" s="686"/>
      <c r="M240" s="686"/>
      <c r="N240" s="70"/>
      <c r="O240" s="686"/>
      <c r="P240" s="70"/>
      <c r="Q240" s="70"/>
      <c r="R240" s="70"/>
      <c r="S240" s="70"/>
      <c r="T240" s="70"/>
      <c r="U240" s="70"/>
      <c r="V240" s="70"/>
      <c r="W240" s="70"/>
      <c r="X240" s="70"/>
      <c r="Y240" s="70"/>
      <c r="Z240" s="70"/>
    </row>
    <row r="241" customFormat="false" ht="12.75" hidden="false" customHeight="false" outlineLevel="1" collapsed="false">
      <c r="A241" s="685"/>
      <c r="B241" s="685"/>
      <c r="C241" s="685"/>
      <c r="D241" s="685"/>
      <c r="E241" s="685"/>
      <c r="F241" s="686"/>
      <c r="G241" s="686"/>
      <c r="H241" s="686"/>
      <c r="I241" s="686"/>
      <c r="J241" s="686"/>
      <c r="K241" s="686"/>
      <c r="L241" s="686"/>
      <c r="M241" s="686"/>
      <c r="N241" s="70"/>
      <c r="O241" s="686"/>
      <c r="P241" s="70"/>
      <c r="Q241" s="70"/>
      <c r="R241" s="70"/>
      <c r="S241" s="70"/>
      <c r="T241" s="70"/>
      <c r="U241" s="70"/>
      <c r="V241" s="70"/>
      <c r="W241" s="70"/>
      <c r="X241" s="70"/>
      <c r="Y241" s="70"/>
      <c r="Z241" s="70"/>
    </row>
    <row r="242" customFormat="false" ht="12.75" hidden="false" customHeight="false" outlineLevel="1" collapsed="false">
      <c r="A242" s="685"/>
      <c r="B242" s="685"/>
      <c r="C242" s="685"/>
      <c r="D242" s="685"/>
      <c r="E242" s="685"/>
      <c r="F242" s="686"/>
      <c r="G242" s="686"/>
      <c r="H242" s="686"/>
      <c r="I242" s="686"/>
      <c r="J242" s="686"/>
      <c r="K242" s="686"/>
      <c r="L242" s="686"/>
      <c r="M242" s="686"/>
      <c r="N242" s="70"/>
      <c r="O242" s="686"/>
      <c r="P242" s="70"/>
      <c r="Q242" s="70"/>
      <c r="R242" s="70"/>
      <c r="S242" s="70"/>
      <c r="T242" s="70"/>
      <c r="U242" s="70"/>
      <c r="V242" s="70"/>
      <c r="W242" s="70"/>
      <c r="X242" s="70"/>
      <c r="Y242" s="70"/>
      <c r="Z242" s="70"/>
    </row>
    <row r="243" customFormat="false" ht="12.75" hidden="false" customHeight="false" outlineLevel="1" collapsed="false">
      <c r="A243" s="685"/>
      <c r="B243" s="685"/>
      <c r="C243" s="685"/>
      <c r="D243" s="685"/>
      <c r="E243" s="685"/>
      <c r="F243" s="686"/>
      <c r="G243" s="686"/>
      <c r="H243" s="686"/>
      <c r="I243" s="686"/>
      <c r="J243" s="686"/>
      <c r="K243" s="686"/>
      <c r="L243" s="686"/>
      <c r="M243" s="686"/>
      <c r="N243" s="70"/>
      <c r="O243" s="686"/>
      <c r="P243" s="70"/>
      <c r="Q243" s="70"/>
      <c r="R243" s="70"/>
      <c r="S243" s="70"/>
      <c r="T243" s="70"/>
      <c r="U243" s="70"/>
      <c r="V243" s="70"/>
      <c r="W243" s="70"/>
      <c r="X243" s="70"/>
      <c r="Y243" s="70"/>
      <c r="Z243" s="70"/>
    </row>
    <row r="244" customFormat="false" ht="12.75" hidden="false" customHeight="false" outlineLevel="1" collapsed="false">
      <c r="A244" s="685"/>
      <c r="B244" s="70"/>
      <c r="C244" s="70"/>
      <c r="D244" s="70"/>
      <c r="E244" s="70"/>
      <c r="F244" s="686"/>
      <c r="G244" s="686"/>
      <c r="H244" s="686"/>
      <c r="I244" s="686"/>
      <c r="J244" s="686"/>
      <c r="K244" s="686"/>
      <c r="L244" s="686"/>
      <c r="M244" s="686"/>
      <c r="N244" s="70"/>
      <c r="O244" s="686"/>
      <c r="P244" s="70"/>
      <c r="Q244" s="70"/>
      <c r="R244" s="70"/>
      <c r="S244" s="70"/>
      <c r="T244" s="70"/>
      <c r="U244" s="70"/>
      <c r="V244" s="70"/>
      <c r="W244" s="70"/>
      <c r="X244" s="70"/>
      <c r="Y244" s="70"/>
      <c r="Z244" s="70"/>
    </row>
    <row r="245" customFormat="false" ht="12.75" hidden="false" customHeight="false" outlineLevel="1" collapsed="false">
      <c r="A245" s="395"/>
      <c r="B245" s="395"/>
      <c r="C245" s="395"/>
      <c r="D245" s="395"/>
      <c r="E245" s="395"/>
      <c r="F245" s="686"/>
      <c r="G245" s="686"/>
      <c r="H245" s="686"/>
      <c r="I245" s="686"/>
      <c r="J245" s="686"/>
      <c r="K245" s="686"/>
      <c r="L245" s="686"/>
      <c r="M245" s="686"/>
      <c r="N245" s="70"/>
      <c r="O245" s="686"/>
      <c r="P245" s="70"/>
      <c r="Q245" s="70"/>
      <c r="R245" s="70"/>
      <c r="S245" s="70"/>
      <c r="T245" s="70"/>
      <c r="U245" s="70"/>
      <c r="V245" s="70"/>
      <c r="W245" s="70"/>
      <c r="X245" s="70"/>
      <c r="Y245" s="70"/>
      <c r="Z245" s="70"/>
    </row>
    <row r="246" customFormat="false" ht="12.75" hidden="false" customHeight="false" outlineLevel="1" collapsed="false">
      <c r="A246" s="395"/>
      <c r="B246" s="395"/>
      <c r="C246" s="395"/>
      <c r="D246" s="395"/>
      <c r="E246" s="395"/>
      <c r="F246" s="686"/>
      <c r="G246" s="686"/>
      <c r="H246" s="686"/>
      <c r="I246" s="686"/>
      <c r="J246" s="686"/>
      <c r="K246" s="686"/>
      <c r="L246" s="686"/>
      <c r="M246" s="686"/>
      <c r="N246" s="70"/>
      <c r="O246" s="686"/>
      <c r="P246" s="70"/>
      <c r="Q246" s="70"/>
      <c r="R246" s="70"/>
      <c r="S246" s="70"/>
      <c r="T246" s="70"/>
      <c r="U246" s="70"/>
      <c r="V246" s="70"/>
      <c r="W246" s="70"/>
      <c r="X246" s="70"/>
      <c r="Y246" s="70"/>
      <c r="Z246" s="70"/>
    </row>
    <row r="247" customFormat="false" ht="12.75" hidden="false" customHeight="false" outlineLevel="1" collapsed="false">
      <c r="A247" s="70"/>
      <c r="B247" s="70"/>
      <c r="C247" s="70"/>
      <c r="D247" s="70"/>
      <c r="E247" s="70"/>
      <c r="F247" s="686"/>
      <c r="G247" s="686"/>
      <c r="H247" s="686"/>
      <c r="I247" s="686"/>
      <c r="J247" s="686"/>
      <c r="K247" s="686"/>
      <c r="L247" s="686"/>
      <c r="M247" s="686"/>
      <c r="N247" s="70"/>
      <c r="O247" s="686"/>
      <c r="P247" s="70"/>
      <c r="Q247" s="70"/>
      <c r="R247" s="70"/>
      <c r="S247" s="70"/>
      <c r="T247" s="70"/>
      <c r="U247" s="70"/>
      <c r="V247" s="70"/>
      <c r="W247" s="70"/>
      <c r="X247" s="70"/>
      <c r="Y247" s="70"/>
      <c r="Z247" s="70"/>
    </row>
    <row r="248" customFormat="false" ht="12.75" hidden="false" customHeight="false" outlineLevel="1" collapsed="false">
      <c r="A248" s="395"/>
      <c r="B248" s="688"/>
      <c r="C248" s="688"/>
      <c r="D248" s="688"/>
      <c r="E248" s="70"/>
      <c r="F248" s="686"/>
      <c r="G248" s="686"/>
      <c r="H248" s="686"/>
      <c r="I248" s="686"/>
      <c r="J248" s="686"/>
      <c r="K248" s="686"/>
      <c r="L248" s="686"/>
      <c r="M248" s="686"/>
      <c r="N248" s="70"/>
      <c r="O248" s="686"/>
      <c r="P248" s="70"/>
      <c r="Q248" s="70"/>
      <c r="R248" s="70"/>
      <c r="S248" s="70"/>
      <c r="T248" s="70"/>
      <c r="U248" s="70"/>
      <c r="V248" s="70"/>
      <c r="W248" s="70"/>
      <c r="X248" s="70"/>
      <c r="Y248" s="70"/>
      <c r="Z248" s="70"/>
    </row>
    <row r="249" customFormat="false" ht="12.75" hidden="false" customHeight="false" outlineLevel="1" collapsed="false">
      <c r="A249" s="395"/>
      <c r="B249" s="684"/>
      <c r="C249" s="684"/>
      <c r="D249" s="684"/>
      <c r="E249" s="684"/>
      <c r="F249" s="686"/>
      <c r="G249" s="686"/>
      <c r="H249" s="686"/>
      <c r="I249" s="686"/>
      <c r="J249" s="686"/>
      <c r="K249" s="686"/>
      <c r="L249" s="686"/>
      <c r="M249" s="686"/>
      <c r="N249" s="70"/>
      <c r="O249" s="686"/>
      <c r="P249" s="70"/>
      <c r="Q249" s="70"/>
      <c r="R249" s="70"/>
      <c r="S249" s="70"/>
      <c r="T249" s="70"/>
      <c r="U249" s="70"/>
      <c r="V249" s="70"/>
      <c r="W249" s="70"/>
      <c r="X249" s="70"/>
      <c r="Y249" s="70"/>
      <c r="Z249" s="70"/>
    </row>
    <row r="250" customFormat="false" ht="12.75" hidden="false" customHeight="false" outlineLevel="1" collapsed="false">
      <c r="A250" s="70"/>
      <c r="B250" s="70"/>
      <c r="C250" s="70"/>
      <c r="D250" s="70"/>
      <c r="E250" s="70"/>
      <c r="F250" s="70"/>
      <c r="G250" s="70"/>
      <c r="H250" s="70"/>
      <c r="I250" s="70"/>
      <c r="J250" s="70"/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  <c r="Z250" s="70"/>
    </row>
    <row r="251" customFormat="false" ht="12.75" hidden="false" customHeight="false" outlineLevel="1" collapsed="false">
      <c r="A251" s="395"/>
      <c r="B251" s="689"/>
      <c r="C251" s="689"/>
      <c r="D251" s="689"/>
      <c r="E251" s="70"/>
      <c r="F251" s="70"/>
      <c r="G251" s="70"/>
      <c r="H251" s="102"/>
      <c r="I251" s="102"/>
      <c r="J251" s="102"/>
      <c r="K251" s="102"/>
      <c r="L251" s="102"/>
      <c r="M251" s="102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  <c r="Z251" s="70"/>
    </row>
    <row r="252" customFormat="false" ht="12.75" hidden="false" customHeight="false" outlineLevel="1" collapsed="false">
      <c r="A252" s="395"/>
      <c r="B252" s="70"/>
      <c r="C252" s="70"/>
      <c r="D252" s="70"/>
      <c r="E252" s="70"/>
      <c r="F252" s="70"/>
      <c r="G252" s="70"/>
      <c r="H252" s="102"/>
      <c r="I252" s="102"/>
      <c r="J252" s="102"/>
      <c r="K252" s="102"/>
      <c r="L252" s="102"/>
      <c r="M252" s="102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  <c r="Z252" s="70"/>
    </row>
    <row r="253" customFormat="false" ht="12.75" hidden="false" customHeight="false" outlineLevel="1" collapsed="false">
      <c r="A253" s="395"/>
      <c r="B253" s="70"/>
      <c r="C253" s="70"/>
      <c r="D253" s="70"/>
      <c r="E253" s="70"/>
      <c r="F253" s="70"/>
      <c r="G253" s="70"/>
      <c r="H253" s="102"/>
      <c r="I253" s="102"/>
      <c r="J253" s="102"/>
      <c r="K253" s="102"/>
      <c r="L253" s="102"/>
      <c r="M253" s="102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  <c r="Z253" s="70"/>
    </row>
    <row r="254" customFormat="false" ht="12.75" hidden="false" customHeight="false" outlineLevel="1" collapsed="false">
      <c r="A254" s="395"/>
      <c r="B254" s="70"/>
      <c r="C254" s="70"/>
      <c r="D254" s="70"/>
      <c r="E254" s="70"/>
      <c r="F254" s="70"/>
      <c r="G254" s="70"/>
      <c r="H254" s="102"/>
      <c r="I254" s="102"/>
      <c r="J254" s="102"/>
      <c r="K254" s="102"/>
      <c r="L254" s="102"/>
      <c r="M254" s="102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  <c r="Z254" s="70"/>
    </row>
    <row r="255" customFormat="false" ht="12.75" hidden="false" customHeight="false" outlineLevel="1" collapsed="false">
      <c r="A255" s="70"/>
      <c r="B255" s="70"/>
      <c r="C255" s="70"/>
      <c r="D255" s="70"/>
      <c r="E255" s="70"/>
      <c r="F255" s="70"/>
      <c r="G255" s="70"/>
      <c r="H255" s="70"/>
      <c r="I255" s="70"/>
      <c r="J255" s="70"/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  <c r="Z255" s="70"/>
    </row>
    <row r="256" customFormat="false" ht="18.75" hidden="false" customHeight="false" outlineLevel="1" collapsed="false">
      <c r="A256" s="682"/>
      <c r="B256" s="70"/>
      <c r="C256" s="70"/>
      <c r="D256" s="70"/>
      <c r="E256" s="70"/>
      <c r="F256" s="70"/>
      <c r="G256" s="70"/>
      <c r="H256" s="70"/>
      <c r="I256" s="70"/>
      <c r="J256" s="70"/>
      <c r="K256" s="70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  <c r="Z256" s="70"/>
    </row>
    <row r="257" customFormat="false" ht="12.75" hidden="false" customHeight="false" outlineLevel="1" collapsed="false">
      <c r="A257" s="395"/>
      <c r="B257" s="70"/>
      <c r="C257" s="70"/>
      <c r="D257" s="70"/>
      <c r="E257" s="70"/>
      <c r="F257" s="70"/>
      <c r="G257" s="70"/>
      <c r="H257" s="70"/>
      <c r="I257" s="70"/>
      <c r="J257" s="70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  <c r="Z257" s="70"/>
    </row>
    <row r="258" customFormat="false" ht="12.75" hidden="false" customHeight="false" outlineLevel="1" collapsed="false">
      <c r="A258" s="70"/>
      <c r="B258" s="70"/>
      <c r="C258" s="70"/>
      <c r="D258" s="70"/>
      <c r="E258" s="70"/>
      <c r="F258" s="70"/>
      <c r="G258" s="70"/>
      <c r="H258" s="70"/>
      <c r="I258" s="70"/>
      <c r="J258" s="70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  <c r="Z258" s="70"/>
    </row>
    <row r="259" customFormat="false" ht="12.75" hidden="false" customHeight="false" outlineLevel="1" collapsed="false">
      <c r="A259" s="70"/>
      <c r="B259" s="70"/>
      <c r="C259" s="70"/>
      <c r="D259" s="70"/>
      <c r="E259" s="70"/>
      <c r="F259" s="70"/>
      <c r="G259" s="70"/>
      <c r="H259" s="70"/>
      <c r="I259" s="70"/>
      <c r="J259" s="70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  <c r="Z259" s="70"/>
    </row>
    <row r="260" customFormat="false" ht="12.75" hidden="false" customHeight="false" outlineLevel="1" collapsed="false">
      <c r="A260" s="690"/>
      <c r="B260" s="691"/>
      <c r="C260" s="691"/>
      <c r="D260" s="691"/>
      <c r="E260" s="691"/>
      <c r="F260" s="691"/>
      <c r="G260" s="691"/>
      <c r="H260" s="691"/>
      <c r="I260" s="691"/>
      <c r="J260" s="691"/>
      <c r="K260" s="691"/>
      <c r="L260" s="691"/>
      <c r="M260" s="691"/>
      <c r="N260" s="691"/>
      <c r="O260" s="691"/>
      <c r="P260" s="691"/>
      <c r="Q260" s="691"/>
      <c r="R260" s="691"/>
      <c r="S260" s="691"/>
      <c r="T260" s="691"/>
      <c r="U260" s="691"/>
      <c r="V260" s="691"/>
      <c r="W260" s="691"/>
      <c r="X260" s="691"/>
      <c r="Y260" s="691"/>
      <c r="Z260" s="691"/>
      <c r="AA260" s="691"/>
      <c r="AB260" s="691"/>
      <c r="AC260" s="691"/>
      <c r="AD260" s="691"/>
      <c r="AE260" s="691"/>
      <c r="AF260" s="691"/>
      <c r="AG260" s="691"/>
      <c r="AH260" s="691"/>
      <c r="AI260" s="691"/>
      <c r="AJ260" s="691"/>
      <c r="AK260" s="691"/>
      <c r="AL260" s="691"/>
      <c r="AM260" s="691"/>
      <c r="AN260" s="691"/>
      <c r="AO260" s="691"/>
      <c r="AP260" s="691"/>
      <c r="AQ260" s="691"/>
      <c r="AR260" s="691"/>
      <c r="AS260" s="691"/>
      <c r="AT260" s="691"/>
      <c r="AU260" s="691"/>
      <c r="AV260" s="691"/>
      <c r="AW260" s="691"/>
      <c r="AX260" s="691"/>
      <c r="AY260" s="691"/>
      <c r="AZ260" s="691"/>
      <c r="BA260" s="691"/>
      <c r="BB260" s="691"/>
      <c r="BC260" s="691"/>
      <c r="BD260" s="691"/>
      <c r="BE260" s="691"/>
      <c r="BF260" s="691"/>
      <c r="BG260" s="691"/>
      <c r="BH260" s="691"/>
      <c r="BI260" s="691"/>
      <c r="BJ260" s="691"/>
      <c r="BK260" s="691"/>
      <c r="BL260" s="691"/>
      <c r="BM260" s="691"/>
      <c r="BN260" s="691"/>
      <c r="BO260" s="691"/>
      <c r="BP260" s="691"/>
      <c r="BQ260" s="691"/>
      <c r="BR260" s="691"/>
      <c r="BS260" s="691"/>
      <c r="BT260" s="691"/>
      <c r="BU260" s="691"/>
      <c r="BV260" s="691"/>
      <c r="BW260" s="691"/>
      <c r="BX260" s="691"/>
      <c r="BY260" s="691"/>
      <c r="BZ260" s="691"/>
      <c r="CA260" s="691"/>
      <c r="CB260" s="691"/>
      <c r="CC260" s="691"/>
      <c r="CD260" s="691"/>
      <c r="CE260" s="691"/>
      <c r="CF260" s="691"/>
      <c r="CG260" s="691"/>
      <c r="CH260" s="691"/>
      <c r="CI260" s="691"/>
      <c r="CJ260" s="691"/>
      <c r="CK260" s="691"/>
      <c r="CL260" s="691"/>
      <c r="CM260" s="691"/>
      <c r="CN260" s="691"/>
      <c r="CO260" s="691"/>
      <c r="CP260" s="691"/>
      <c r="CQ260" s="691"/>
      <c r="CR260" s="691"/>
      <c r="CS260" s="691"/>
      <c r="CT260" s="691"/>
      <c r="CU260" s="691"/>
      <c r="CV260" s="691"/>
      <c r="CW260" s="691"/>
      <c r="CX260" s="691"/>
      <c r="CY260" s="691"/>
      <c r="CZ260" s="691"/>
      <c r="DA260" s="691"/>
      <c r="DB260" s="691"/>
      <c r="DC260" s="691"/>
      <c r="DD260" s="691"/>
      <c r="DE260" s="691"/>
      <c r="DF260" s="691"/>
      <c r="DG260" s="691"/>
      <c r="DH260" s="691"/>
      <c r="DI260" s="691"/>
      <c r="DJ260" s="691"/>
      <c r="DK260" s="691"/>
      <c r="DL260" s="691"/>
      <c r="DM260" s="691"/>
      <c r="DN260" s="691"/>
      <c r="DO260" s="691"/>
      <c r="DP260" s="691"/>
      <c r="DQ260" s="691"/>
      <c r="DR260" s="691"/>
      <c r="DS260" s="691"/>
      <c r="DT260" s="691"/>
      <c r="DU260" s="691"/>
      <c r="DV260" s="691"/>
      <c r="DW260" s="691"/>
      <c r="DX260" s="691"/>
      <c r="DY260" s="691"/>
      <c r="DZ260" s="691"/>
      <c r="EA260" s="691"/>
      <c r="EB260" s="691"/>
      <c r="EC260" s="691"/>
      <c r="ED260" s="691"/>
      <c r="EE260" s="691"/>
      <c r="EF260" s="691"/>
      <c r="EG260" s="691"/>
      <c r="EH260" s="691"/>
      <c r="EI260" s="691"/>
      <c r="EJ260" s="691"/>
      <c r="EK260" s="691"/>
      <c r="EL260" s="691"/>
      <c r="EM260" s="691"/>
      <c r="EN260" s="691"/>
      <c r="EO260" s="691"/>
      <c r="EP260" s="691"/>
      <c r="EQ260" s="691"/>
      <c r="ER260" s="691"/>
      <c r="ES260" s="691"/>
      <c r="ET260" s="691"/>
      <c r="EU260" s="691"/>
      <c r="EV260" s="691"/>
      <c r="EW260" s="691"/>
      <c r="EX260" s="691"/>
      <c r="EY260" s="691"/>
      <c r="EZ260" s="691"/>
      <c r="FA260" s="691"/>
      <c r="FB260" s="691"/>
      <c r="FC260" s="691"/>
      <c r="FD260" s="691"/>
      <c r="FE260" s="691"/>
      <c r="FF260" s="691"/>
      <c r="FG260" s="691"/>
      <c r="FH260" s="691"/>
      <c r="FI260" s="691"/>
      <c r="FJ260" s="691"/>
      <c r="FK260" s="691"/>
      <c r="FL260" s="691"/>
      <c r="FM260" s="691"/>
      <c r="FN260" s="691"/>
      <c r="FO260" s="691"/>
      <c r="FP260" s="691"/>
      <c r="FQ260" s="691"/>
      <c r="FR260" s="691"/>
      <c r="FS260" s="691"/>
      <c r="FT260" s="691"/>
      <c r="FU260" s="691"/>
      <c r="FV260" s="691"/>
      <c r="FW260" s="691"/>
      <c r="FX260" s="691"/>
      <c r="FY260" s="691"/>
      <c r="FZ260" s="691"/>
      <c r="GA260" s="691"/>
      <c r="GB260" s="691"/>
      <c r="GC260" s="691"/>
      <c r="GD260" s="691"/>
      <c r="GE260" s="691"/>
      <c r="GF260" s="691"/>
      <c r="GG260" s="691"/>
      <c r="GH260" s="691"/>
      <c r="GI260" s="691"/>
      <c r="GJ260" s="691"/>
      <c r="GK260" s="691"/>
      <c r="GL260" s="691"/>
      <c r="GM260" s="691"/>
      <c r="GN260" s="691"/>
      <c r="GO260" s="691"/>
      <c r="GP260" s="691"/>
      <c r="GQ260" s="691"/>
      <c r="GR260" s="691"/>
      <c r="GS260" s="691"/>
      <c r="GT260" s="691"/>
      <c r="GU260" s="691"/>
      <c r="GV260" s="691"/>
      <c r="GW260" s="691"/>
      <c r="GX260" s="691"/>
      <c r="GY260" s="691"/>
      <c r="GZ260" s="691"/>
      <c r="HA260" s="691"/>
      <c r="HB260" s="691"/>
      <c r="HC260" s="691"/>
      <c r="HD260" s="691"/>
      <c r="HE260" s="691"/>
      <c r="HF260" s="691"/>
      <c r="HG260" s="691"/>
      <c r="HH260" s="691"/>
      <c r="HI260" s="691"/>
      <c r="HJ260" s="691"/>
      <c r="HK260" s="691"/>
      <c r="HL260" s="691"/>
      <c r="HM260" s="691"/>
      <c r="HN260" s="691"/>
      <c r="HO260" s="691"/>
      <c r="HP260" s="691"/>
      <c r="HQ260" s="691"/>
      <c r="HR260" s="691"/>
      <c r="HS260" s="691"/>
      <c r="HT260" s="691"/>
      <c r="HU260" s="691"/>
      <c r="HV260" s="691"/>
      <c r="HW260" s="691"/>
      <c r="HX260" s="691"/>
      <c r="HY260" s="691"/>
      <c r="HZ260" s="691"/>
      <c r="IA260" s="691"/>
      <c r="IB260" s="691"/>
      <c r="IC260" s="691"/>
      <c r="ID260" s="691"/>
      <c r="IE260" s="691"/>
      <c r="IF260" s="691"/>
      <c r="IG260" s="691"/>
      <c r="IH260" s="691"/>
      <c r="II260" s="691"/>
      <c r="IJ260" s="691"/>
      <c r="IK260" s="691"/>
      <c r="IL260" s="691"/>
      <c r="IM260" s="691"/>
      <c r="IN260" s="691"/>
      <c r="IO260" s="691"/>
      <c r="IP260" s="691"/>
      <c r="IQ260" s="691"/>
      <c r="IR260" s="691"/>
      <c r="IS260" s="691"/>
      <c r="IT260" s="691"/>
      <c r="IU260" s="691"/>
      <c r="IV260" s="691"/>
      <c r="IW260" s="691"/>
    </row>
    <row r="261" customFormat="false" ht="12.75" hidden="false" customHeight="false" outlineLevel="1" collapsed="false">
      <c r="A261" s="395"/>
      <c r="B261" s="70"/>
      <c r="C261" s="70"/>
      <c r="D261" s="70"/>
      <c r="E261" s="70"/>
      <c r="F261" s="70"/>
      <c r="G261" s="70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  <c r="Z261" s="70"/>
    </row>
    <row r="262" customFormat="false" ht="12.75" hidden="false" customHeight="false" outlineLevel="1" collapsed="false">
      <c r="A262" s="395"/>
      <c r="B262" s="70"/>
      <c r="C262" s="70"/>
      <c r="D262" s="70"/>
      <c r="E262" s="70"/>
      <c r="F262" s="70"/>
      <c r="G262" s="70"/>
      <c r="H262" s="417"/>
      <c r="I262" s="417"/>
      <c r="J262" s="417"/>
      <c r="K262" s="417"/>
      <c r="L262" s="417"/>
      <c r="M262" s="417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  <c r="Y262" s="70"/>
      <c r="Z262" s="70"/>
    </row>
    <row r="263" customFormat="false" ht="12.75" hidden="false" customHeight="false" outlineLevel="1" collapsed="false">
      <c r="A263" s="395"/>
      <c r="B263" s="70"/>
      <c r="C263" s="70"/>
      <c r="D263" s="70"/>
      <c r="E263" s="70"/>
      <c r="F263" s="70"/>
      <c r="G263" s="70"/>
      <c r="H263" s="417"/>
      <c r="I263" s="417"/>
      <c r="J263" s="417"/>
      <c r="K263" s="417"/>
      <c r="L263" s="417"/>
      <c r="M263" s="417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  <c r="Z263" s="70"/>
    </row>
    <row r="264" customFormat="false" ht="12.75" hidden="false" customHeight="false" outlineLevel="1" collapsed="false">
      <c r="A264" s="70"/>
      <c r="B264" s="692"/>
      <c r="C264" s="692"/>
      <c r="D264" s="692"/>
      <c r="E264" s="692"/>
      <c r="F264" s="70"/>
      <c r="G264" s="70"/>
      <c r="H264" s="693"/>
      <c r="I264" s="693"/>
      <c r="J264" s="693"/>
      <c r="K264" s="693"/>
      <c r="L264" s="693"/>
      <c r="M264" s="693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  <c r="Z264" s="70"/>
    </row>
    <row r="265" customFormat="false" ht="12.75" hidden="false" customHeight="false" outlineLevel="1" collapsed="false">
      <c r="A265" s="395"/>
      <c r="B265" s="694"/>
      <c r="C265" s="694"/>
      <c r="D265" s="694"/>
      <c r="E265" s="694"/>
      <c r="F265" s="70"/>
      <c r="G265" s="70"/>
      <c r="H265" s="70"/>
      <c r="I265" s="70"/>
      <c r="J265" s="70"/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  <c r="Z265" s="70"/>
    </row>
    <row r="266" customFormat="false" ht="12.75" hidden="false" customHeight="false" outlineLevel="1" collapsed="false">
      <c r="A266" s="690"/>
      <c r="B266" s="70"/>
      <c r="C266" s="70"/>
      <c r="D266" s="70"/>
      <c r="E266" s="70"/>
      <c r="F266" s="70"/>
      <c r="G266" s="70"/>
      <c r="H266" s="70"/>
      <c r="I266" s="70"/>
      <c r="J266" s="70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  <c r="Z266" s="70"/>
    </row>
    <row r="267" customFormat="false" ht="12.75" hidden="false" customHeight="false" outlineLevel="1" collapsed="false">
      <c r="A267" s="695"/>
      <c r="B267" s="70"/>
      <c r="C267" s="70"/>
      <c r="D267" s="70"/>
      <c r="E267" s="70"/>
      <c r="F267" s="70"/>
      <c r="G267" s="70"/>
      <c r="H267" s="102"/>
      <c r="I267" s="102"/>
      <c r="J267" s="102"/>
      <c r="K267" s="102"/>
      <c r="L267" s="102"/>
      <c r="M267" s="102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  <c r="Z267" s="70"/>
    </row>
    <row r="268" customFormat="false" ht="12.75" hidden="false" customHeight="false" outlineLevel="1" collapsed="false">
      <c r="A268" s="695"/>
      <c r="B268" s="70"/>
      <c r="C268" s="70"/>
      <c r="D268" s="70"/>
      <c r="E268" s="70"/>
      <c r="F268" s="70"/>
      <c r="G268" s="70"/>
      <c r="H268" s="102"/>
      <c r="I268" s="102"/>
      <c r="J268" s="102"/>
      <c r="K268" s="102"/>
      <c r="L268" s="102"/>
      <c r="M268" s="102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  <c r="Y268" s="70"/>
      <c r="Z268" s="70"/>
    </row>
    <row r="269" customFormat="false" ht="12.75" hidden="false" customHeight="false" outlineLevel="1" collapsed="false">
      <c r="A269" s="695"/>
      <c r="B269" s="70"/>
      <c r="C269" s="70"/>
      <c r="D269" s="70"/>
      <c r="E269" s="70"/>
      <c r="F269" s="70"/>
      <c r="G269" s="70"/>
      <c r="H269" s="102"/>
      <c r="I269" s="102"/>
      <c r="J269" s="102"/>
      <c r="K269" s="102"/>
      <c r="L269" s="102"/>
      <c r="M269" s="102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  <c r="Z269" s="70"/>
    </row>
    <row r="270" customFormat="false" ht="12.75" hidden="false" customHeight="false" outlineLevel="1" collapsed="false">
      <c r="A270" s="695"/>
      <c r="B270" s="70"/>
      <c r="C270" s="70"/>
      <c r="D270" s="70"/>
      <c r="E270" s="70"/>
      <c r="F270" s="70"/>
      <c r="G270" s="70"/>
      <c r="H270" s="102"/>
      <c r="I270" s="102"/>
      <c r="J270" s="102"/>
      <c r="K270" s="102"/>
      <c r="L270" s="102"/>
      <c r="M270" s="102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  <c r="Z270" s="70"/>
    </row>
    <row r="271" customFormat="false" ht="12.75" hidden="false" customHeight="false" outlineLevel="1" collapsed="false">
      <c r="A271" s="695"/>
      <c r="B271" s="70"/>
      <c r="C271" s="70"/>
      <c r="D271" s="70"/>
      <c r="E271" s="70"/>
      <c r="F271" s="70"/>
      <c r="G271" s="70"/>
      <c r="H271" s="417"/>
      <c r="I271" s="417"/>
      <c r="J271" s="417"/>
      <c r="K271" s="417"/>
      <c r="L271" s="417"/>
      <c r="M271" s="417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  <c r="Z271" s="70"/>
    </row>
    <row r="272" customFormat="false" ht="12.75" hidden="false" customHeight="false" outlineLevel="1" collapsed="false">
      <c r="A272" s="395"/>
      <c r="B272" s="70"/>
      <c r="C272" s="70"/>
      <c r="D272" s="70"/>
      <c r="E272" s="70"/>
      <c r="F272" s="70"/>
      <c r="G272" s="70"/>
      <c r="H272" s="696"/>
      <c r="I272" s="696"/>
      <c r="J272" s="696"/>
      <c r="K272" s="696"/>
      <c r="L272" s="696"/>
      <c r="M272" s="696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  <c r="Z272" s="70"/>
    </row>
    <row r="273" customFormat="false" ht="12.75" hidden="false" customHeight="false" outlineLevel="1" collapsed="false">
      <c r="A273" s="695"/>
      <c r="B273" s="697"/>
      <c r="C273" s="697"/>
      <c r="D273" s="697"/>
      <c r="E273" s="697"/>
      <c r="F273" s="70"/>
      <c r="G273" s="70"/>
      <c r="H273" s="698"/>
      <c r="I273" s="698"/>
      <c r="J273" s="698"/>
      <c r="K273" s="698"/>
      <c r="L273" s="698"/>
      <c r="M273" s="698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  <c r="Z273" s="70"/>
    </row>
    <row r="274" customFormat="false" ht="12.75" hidden="false" customHeight="false" outlineLevel="1" collapsed="false">
      <c r="A274" s="695"/>
      <c r="B274" s="70"/>
      <c r="C274" s="70"/>
      <c r="D274" s="70"/>
      <c r="E274" s="70"/>
      <c r="F274" s="70"/>
      <c r="G274" s="70"/>
      <c r="H274" s="698"/>
      <c r="I274" s="698"/>
      <c r="J274" s="698"/>
      <c r="K274" s="698"/>
      <c r="L274" s="698"/>
      <c r="M274" s="698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  <c r="Z274" s="70"/>
    </row>
    <row r="275" customFormat="false" ht="12.75" hidden="false" customHeight="false" outlineLevel="1" collapsed="false">
      <c r="A275" s="695"/>
      <c r="B275" s="70"/>
      <c r="C275" s="70"/>
      <c r="D275" s="70"/>
      <c r="E275" s="70"/>
      <c r="F275" s="70"/>
      <c r="G275" s="70"/>
      <c r="H275" s="698"/>
      <c r="I275" s="698"/>
      <c r="J275" s="698"/>
      <c r="K275" s="698"/>
      <c r="L275" s="698"/>
      <c r="M275" s="698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  <c r="Z275" s="70"/>
    </row>
    <row r="276" customFormat="false" ht="12.75" hidden="false" customHeight="false" outlineLevel="1" collapsed="false">
      <c r="A276" s="695"/>
      <c r="B276" s="70"/>
      <c r="C276" s="70"/>
      <c r="D276" s="70"/>
      <c r="E276" s="70"/>
      <c r="F276" s="70"/>
      <c r="G276" s="70"/>
      <c r="H276" s="698"/>
      <c r="I276" s="698"/>
      <c r="J276" s="698"/>
      <c r="K276" s="698"/>
      <c r="L276" s="698"/>
      <c r="M276" s="698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/>
    </row>
    <row r="277" customFormat="false" ht="12.75" hidden="false" customHeight="false" outlineLevel="1" collapsed="false">
      <c r="A277" s="695"/>
      <c r="B277" s="70"/>
      <c r="C277" s="70"/>
      <c r="D277" s="70"/>
      <c r="E277" s="70"/>
      <c r="F277" s="70"/>
      <c r="G277" s="70"/>
      <c r="H277" s="696"/>
      <c r="I277" s="696"/>
      <c r="J277" s="696"/>
      <c r="K277" s="696"/>
      <c r="L277" s="696"/>
      <c r="M277" s="696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/>
    </row>
    <row r="278" customFormat="false" ht="12.75" hidden="false" customHeight="false" outlineLevel="1" collapsed="false">
      <c r="A278" s="395"/>
      <c r="B278" s="70"/>
      <c r="C278" s="70"/>
      <c r="D278" s="70"/>
      <c r="E278" s="70"/>
      <c r="F278" s="70"/>
      <c r="G278" s="70"/>
      <c r="H278" s="70"/>
      <c r="I278" s="70"/>
      <c r="J278" s="70"/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/>
    </row>
    <row r="279" customFormat="false" ht="12.75" hidden="false" customHeight="false" outlineLevel="1" collapsed="false">
      <c r="A279" s="70"/>
      <c r="B279" s="70"/>
      <c r="C279" s="70"/>
      <c r="D279" s="70"/>
      <c r="E279" s="70"/>
      <c r="F279" s="70"/>
      <c r="G279" s="70"/>
      <c r="H279" s="102"/>
      <c r="I279" s="102"/>
      <c r="J279" s="102"/>
      <c r="K279" s="102"/>
      <c r="L279" s="102"/>
      <c r="M279" s="102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/>
    </row>
    <row r="280" customFormat="false" ht="12.75" hidden="false" customHeight="false" outlineLevel="1" collapsed="false">
      <c r="A280" s="70"/>
      <c r="B280" s="70"/>
      <c r="C280" s="70"/>
      <c r="D280" s="70"/>
      <c r="E280" s="70"/>
      <c r="F280" s="70"/>
      <c r="G280" s="70"/>
      <c r="H280" s="102"/>
      <c r="I280" s="102"/>
      <c r="J280" s="102"/>
      <c r="K280" s="102"/>
      <c r="L280" s="102"/>
      <c r="M280" s="102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  <c r="Z280" s="70"/>
    </row>
    <row r="281" customFormat="false" ht="12.75" hidden="false" customHeight="false" outlineLevel="1" collapsed="false">
      <c r="A281" s="70"/>
      <c r="B281" s="70"/>
      <c r="C281" s="70"/>
      <c r="D281" s="70"/>
      <c r="E281" s="70"/>
      <c r="F281" s="70"/>
      <c r="G281" s="70"/>
      <c r="H281" s="102"/>
      <c r="I281" s="102"/>
      <c r="J281" s="102"/>
      <c r="K281" s="102"/>
      <c r="L281" s="102"/>
      <c r="M281" s="102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  <c r="Z281" s="70"/>
    </row>
    <row r="282" customFormat="false" ht="12.75" hidden="false" customHeight="false" outlineLevel="1" collapsed="false">
      <c r="A282" s="70"/>
      <c r="B282" s="70"/>
      <c r="C282" s="70"/>
      <c r="D282" s="70"/>
      <c r="E282" s="70"/>
      <c r="F282" s="639"/>
      <c r="G282" s="639"/>
      <c r="H282" s="102"/>
      <c r="I282" s="102"/>
      <c r="J282" s="102"/>
      <c r="K282" s="102"/>
      <c r="L282" s="102"/>
      <c r="M282" s="102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  <c r="Z282" s="70"/>
    </row>
    <row r="283" customFormat="false" ht="12.75" hidden="false" customHeight="false" outlineLevel="1" collapsed="false">
      <c r="A283" s="70"/>
      <c r="B283" s="70"/>
      <c r="C283" s="70"/>
      <c r="D283" s="70"/>
      <c r="E283" s="70"/>
      <c r="F283" s="70"/>
      <c r="G283" s="70"/>
      <c r="H283" s="70"/>
      <c r="I283" s="70"/>
      <c r="J283" s="70"/>
      <c r="K283" s="70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  <c r="Z283" s="70"/>
    </row>
    <row r="284" customFormat="false" ht="12.75" hidden="false" customHeight="false" outlineLevel="1" collapsed="false">
      <c r="A284" s="395"/>
      <c r="B284" s="70"/>
      <c r="C284" s="70"/>
      <c r="D284" s="70"/>
      <c r="E284" s="70"/>
      <c r="F284" s="70"/>
      <c r="G284" s="70"/>
      <c r="H284" s="70"/>
      <c r="I284" s="70"/>
      <c r="J284" s="70"/>
      <c r="K284" s="70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  <c r="Z284" s="70"/>
    </row>
    <row r="285" customFormat="false" ht="12.75" hidden="false" customHeight="false" outlineLevel="1" collapsed="false">
      <c r="A285" s="70"/>
      <c r="B285" s="70"/>
      <c r="C285" s="70"/>
      <c r="D285" s="70"/>
      <c r="E285" s="70"/>
      <c r="F285" s="70"/>
      <c r="G285" s="70"/>
      <c r="H285" s="417"/>
      <c r="I285" s="417"/>
      <c r="J285" s="417"/>
      <c r="K285" s="417"/>
      <c r="L285" s="417"/>
      <c r="M285" s="417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  <c r="Z285" s="70"/>
    </row>
    <row r="286" customFormat="false" ht="12.75" hidden="false" customHeight="false" outlineLevel="1" collapsed="false">
      <c r="A286" s="695"/>
      <c r="B286" s="70"/>
      <c r="C286" s="70"/>
      <c r="D286" s="70"/>
      <c r="E286" s="70"/>
      <c r="F286" s="70"/>
      <c r="G286" s="70"/>
      <c r="H286" s="417"/>
      <c r="I286" s="417"/>
      <c r="J286" s="417"/>
      <c r="K286" s="417"/>
      <c r="L286" s="417"/>
      <c r="M286" s="417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  <c r="Z286" s="70"/>
    </row>
    <row r="287" customFormat="false" ht="12.75" hidden="false" customHeight="false" outlineLevel="1" collapsed="false">
      <c r="A287" s="695"/>
      <c r="B287" s="70"/>
      <c r="C287" s="70"/>
      <c r="D287" s="70"/>
      <c r="E287" s="70"/>
      <c r="F287" s="70"/>
      <c r="G287" s="70"/>
      <c r="H287" s="417"/>
      <c r="I287" s="417"/>
      <c r="J287" s="417"/>
      <c r="K287" s="417"/>
      <c r="L287" s="417"/>
      <c r="M287" s="417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  <c r="Z287" s="70"/>
    </row>
    <row r="288" customFormat="false" ht="12.75" hidden="false" customHeight="false" outlineLevel="1" collapsed="false">
      <c r="A288" s="695"/>
      <c r="B288" s="70"/>
      <c r="C288" s="70"/>
      <c r="D288" s="70"/>
      <c r="E288" s="70"/>
      <c r="F288" s="639"/>
      <c r="G288" s="639"/>
      <c r="H288" s="417"/>
      <c r="I288" s="417"/>
      <c r="J288" s="417"/>
      <c r="K288" s="417"/>
      <c r="L288" s="417"/>
      <c r="M288" s="417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  <c r="Z288" s="70"/>
    </row>
    <row r="289" customFormat="false" ht="12.75" hidden="false" customHeight="false" outlineLevel="1" collapsed="false">
      <c r="A289" s="70"/>
      <c r="B289" s="70"/>
      <c r="C289" s="70"/>
      <c r="D289" s="70"/>
      <c r="E289" s="70"/>
      <c r="F289" s="70"/>
      <c r="G289" s="70"/>
      <c r="H289" s="417"/>
      <c r="I289" s="417"/>
      <c r="J289" s="417"/>
      <c r="K289" s="417"/>
      <c r="L289" s="417"/>
      <c r="M289" s="417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  <c r="Z289" s="70"/>
    </row>
    <row r="290" customFormat="false" ht="12.75" hidden="false" customHeight="false" outlineLevel="1" collapsed="false">
      <c r="A290" s="70"/>
      <c r="B290" s="70"/>
      <c r="C290" s="70"/>
      <c r="D290" s="70"/>
      <c r="E290" s="70"/>
      <c r="F290" s="70"/>
      <c r="G290" s="70"/>
      <c r="H290" s="417"/>
      <c r="I290" s="417"/>
      <c r="J290" s="417"/>
      <c r="K290" s="417"/>
      <c r="L290" s="417"/>
      <c r="M290" s="417"/>
      <c r="N290" s="70"/>
      <c r="O290" s="70"/>
      <c r="P290" s="70"/>
      <c r="Q290" s="70"/>
      <c r="R290" s="70"/>
      <c r="S290" s="70"/>
      <c r="T290" s="70"/>
      <c r="U290" s="70"/>
      <c r="V290" s="70"/>
      <c r="W290" s="70"/>
      <c r="X290" s="70"/>
      <c r="Y290" s="70"/>
      <c r="Z290" s="70"/>
    </row>
    <row r="291" customFormat="false" ht="12.75" hidden="false" customHeight="false" outlineLevel="1" collapsed="false">
      <c r="A291" s="70"/>
      <c r="B291" s="70"/>
      <c r="C291" s="70"/>
      <c r="D291" s="70"/>
      <c r="E291" s="70"/>
      <c r="F291" s="70"/>
      <c r="G291" s="70"/>
      <c r="H291" s="417"/>
      <c r="I291" s="417"/>
      <c r="J291" s="417"/>
      <c r="K291" s="417"/>
      <c r="L291" s="417"/>
      <c r="M291" s="417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  <c r="Y291" s="70"/>
      <c r="Z291" s="70"/>
    </row>
    <row r="292" customFormat="false" ht="12.75" hidden="false" customHeight="false" outlineLevel="1" collapsed="false">
      <c r="A292" s="70"/>
      <c r="B292" s="70"/>
      <c r="C292" s="70"/>
      <c r="D292" s="70"/>
      <c r="E292" s="70"/>
      <c r="F292" s="70"/>
      <c r="G292" s="70"/>
      <c r="H292" s="417"/>
      <c r="I292" s="417"/>
      <c r="J292" s="417"/>
      <c r="K292" s="417"/>
      <c r="L292" s="417"/>
      <c r="M292" s="417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  <c r="Z292" s="70"/>
    </row>
    <row r="293" customFormat="false" ht="12.75" hidden="false" customHeight="false" outlineLevel="1" collapsed="false">
      <c r="A293" s="70"/>
      <c r="B293" s="70"/>
      <c r="C293" s="70"/>
      <c r="D293" s="70"/>
      <c r="E293" s="70"/>
      <c r="F293" s="70"/>
      <c r="G293" s="70"/>
      <c r="H293" s="417"/>
      <c r="I293" s="417"/>
      <c r="J293" s="417"/>
      <c r="K293" s="417"/>
      <c r="L293" s="417"/>
      <c r="M293" s="417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  <c r="Z293" s="70"/>
    </row>
    <row r="294" customFormat="false" ht="12.75" hidden="false" customHeight="false" outlineLevel="1" collapsed="false">
      <c r="A294" s="70"/>
      <c r="B294" s="70"/>
      <c r="C294" s="70"/>
      <c r="D294" s="70"/>
      <c r="E294" s="70"/>
      <c r="F294" s="70"/>
      <c r="G294" s="70"/>
      <c r="H294" s="417"/>
      <c r="I294" s="417"/>
      <c r="J294" s="417"/>
      <c r="K294" s="417"/>
      <c r="L294" s="417"/>
      <c r="M294" s="417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  <c r="Y294" s="70"/>
      <c r="Z294" s="70"/>
    </row>
    <row r="295" customFormat="false" ht="12.75" hidden="false" customHeight="false" outlineLevel="1" collapsed="false">
      <c r="A295" s="70"/>
      <c r="B295" s="70"/>
      <c r="C295" s="70"/>
      <c r="D295" s="70"/>
      <c r="E295" s="70"/>
      <c r="F295" s="70"/>
      <c r="G295" s="70"/>
      <c r="H295" s="70"/>
      <c r="I295" s="70"/>
      <c r="J295" s="70"/>
      <c r="K295" s="70"/>
      <c r="L295" s="70"/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  <c r="Y295" s="70"/>
      <c r="Z295" s="70"/>
    </row>
    <row r="296" customFormat="false" ht="12.75" hidden="false" customHeight="false" outlineLevel="1" collapsed="false">
      <c r="A296" s="395"/>
      <c r="B296" s="70"/>
      <c r="C296" s="70"/>
      <c r="D296" s="70"/>
      <c r="E296" s="70"/>
      <c r="F296" s="399"/>
      <c r="G296" s="399"/>
      <c r="H296" s="399"/>
      <c r="I296" s="399"/>
      <c r="J296" s="399"/>
      <c r="K296" s="399"/>
      <c r="L296" s="399"/>
      <c r="M296" s="399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  <c r="Y296" s="70"/>
      <c r="Z296" s="70"/>
    </row>
    <row r="297" customFormat="false" ht="12.75" hidden="false" customHeight="false" outlineLevel="1" collapsed="false">
      <c r="A297" s="395"/>
      <c r="B297" s="70"/>
      <c r="C297" s="70"/>
      <c r="D297" s="70"/>
      <c r="E297" s="697"/>
      <c r="F297" s="639"/>
      <c r="G297" s="639"/>
      <c r="H297" s="399"/>
      <c r="I297" s="399"/>
      <c r="J297" s="399"/>
      <c r="K297" s="399"/>
      <c r="L297" s="399"/>
      <c r="M297" s="399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  <c r="Y297" s="70"/>
      <c r="Z297" s="70"/>
    </row>
    <row r="298" customFormat="false" ht="12.75" hidden="false" customHeight="false" outlineLevel="1" collapsed="false">
      <c r="A298" s="395"/>
      <c r="B298" s="70"/>
      <c r="C298" s="70"/>
      <c r="D298" s="70"/>
      <c r="E298" s="70"/>
      <c r="F298" s="399"/>
      <c r="G298" s="399"/>
      <c r="H298" s="399"/>
      <c r="I298" s="399"/>
      <c r="J298" s="399"/>
      <c r="K298" s="399"/>
      <c r="L298" s="399"/>
      <c r="M298" s="399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  <c r="Y298" s="70"/>
      <c r="Z298" s="70"/>
    </row>
    <row r="299" customFormat="false" ht="12.75" hidden="false" customHeight="false" outlineLevel="1" collapsed="false">
      <c r="A299" s="395"/>
      <c r="B299" s="70"/>
      <c r="C299" s="70"/>
      <c r="D299" s="70"/>
      <c r="E299" s="70"/>
      <c r="F299" s="70"/>
      <c r="G299" s="70"/>
      <c r="H299" s="399"/>
      <c r="I299" s="399"/>
      <c r="J299" s="399"/>
      <c r="K299" s="399"/>
      <c r="L299" s="399"/>
      <c r="M299" s="399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  <c r="Y299" s="70"/>
      <c r="Z299" s="70"/>
    </row>
    <row r="300" customFormat="false" ht="12.75" hidden="false" customHeight="false" outlineLevel="1" collapsed="false">
      <c r="A300" s="70"/>
      <c r="B300" s="70"/>
      <c r="C300" s="70"/>
      <c r="D300" s="70"/>
      <c r="E300" s="70"/>
      <c r="F300" s="70"/>
      <c r="G300" s="70"/>
      <c r="H300" s="70"/>
      <c r="I300" s="70"/>
      <c r="J300" s="70"/>
      <c r="K300" s="70"/>
      <c r="L300" s="70"/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  <c r="Y300" s="70"/>
      <c r="Z300" s="70"/>
    </row>
    <row r="301" customFormat="false" ht="12.75" hidden="false" customHeight="false" outlineLevel="1" collapsed="false">
      <c r="A301" s="395"/>
      <c r="B301" s="70"/>
      <c r="C301" s="70"/>
      <c r="D301" s="70"/>
      <c r="E301" s="70"/>
      <c r="F301" s="70"/>
      <c r="G301" s="70"/>
      <c r="H301" s="70"/>
      <c r="I301" s="70"/>
      <c r="J301" s="70"/>
      <c r="K301" s="70"/>
      <c r="L301" s="70"/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  <c r="Y301" s="70"/>
      <c r="Z301" s="70"/>
    </row>
    <row r="302" customFormat="false" ht="12.75" hidden="false" customHeight="false" outlineLevel="1" collapsed="false">
      <c r="A302" s="395"/>
      <c r="B302" s="70"/>
      <c r="C302" s="70"/>
      <c r="D302" s="70"/>
      <c r="E302" s="70"/>
      <c r="F302" s="70"/>
      <c r="G302" s="70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  <c r="Y302" s="70"/>
      <c r="Z302" s="70"/>
    </row>
    <row r="303" customFormat="false" ht="12.75" hidden="false" customHeight="false" outlineLevel="1" collapsed="false">
      <c r="A303" s="70"/>
      <c r="B303" s="70"/>
      <c r="C303" s="70"/>
      <c r="D303" s="70"/>
      <c r="E303" s="70"/>
      <c r="F303" s="70"/>
      <c r="G303" s="70"/>
      <c r="H303" s="70"/>
      <c r="I303" s="70"/>
      <c r="J303" s="70"/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  <c r="Y303" s="70"/>
      <c r="Z303" s="70"/>
    </row>
    <row r="304" customFormat="false" ht="12.75" hidden="false" customHeight="false" outlineLevel="1" collapsed="false">
      <c r="A304" s="70"/>
      <c r="B304" s="70"/>
      <c r="C304" s="70"/>
      <c r="D304" s="70"/>
      <c r="E304" s="70"/>
      <c r="F304" s="70"/>
      <c r="G304" s="70"/>
      <c r="H304" s="686"/>
      <c r="I304" s="686"/>
      <c r="J304" s="686"/>
      <c r="K304" s="686"/>
      <c r="L304" s="686"/>
      <c r="M304" s="686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  <c r="Z304" s="70"/>
    </row>
    <row r="305" customFormat="false" ht="12.75" hidden="false" customHeight="false" outlineLevel="1" collapsed="false">
      <c r="A305" s="70"/>
      <c r="B305" s="70"/>
      <c r="C305" s="70"/>
      <c r="D305" s="70"/>
      <c r="E305" s="70"/>
      <c r="F305" s="70"/>
      <c r="G305" s="70"/>
      <c r="H305" s="399"/>
      <c r="I305" s="399"/>
      <c r="J305" s="399"/>
      <c r="K305" s="399"/>
      <c r="L305" s="399"/>
      <c r="M305" s="399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  <c r="Y305" s="70"/>
      <c r="Z305" s="70"/>
    </row>
    <row r="306" customFormat="false" ht="12.75" hidden="false" customHeight="false" outlineLevel="1" collapsed="false">
      <c r="A306" s="70"/>
      <c r="B306" s="70"/>
      <c r="C306" s="70"/>
      <c r="D306" s="70"/>
      <c r="E306" s="70"/>
      <c r="F306" s="70"/>
      <c r="G306" s="70"/>
      <c r="H306" s="699"/>
      <c r="I306" s="699"/>
      <c r="J306" s="699"/>
      <c r="K306" s="699"/>
      <c r="L306" s="699"/>
      <c r="M306" s="699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  <c r="Y306" s="70"/>
      <c r="Z306" s="70"/>
    </row>
    <row r="307" customFormat="false" ht="12.75" hidden="false" customHeight="false" outlineLevel="1" collapsed="false">
      <c r="A307" s="70"/>
      <c r="B307" s="70"/>
      <c r="C307" s="70"/>
      <c r="D307" s="70"/>
      <c r="E307" s="70"/>
      <c r="F307" s="70"/>
      <c r="G307" s="70"/>
      <c r="H307" s="686"/>
      <c r="I307" s="686"/>
      <c r="J307" s="686"/>
      <c r="K307" s="686"/>
      <c r="L307" s="686"/>
      <c r="M307" s="686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  <c r="Z307" s="70"/>
    </row>
    <row r="308" customFormat="false" ht="12.75" hidden="false" customHeight="false" outlineLevel="1" collapsed="false">
      <c r="A308" s="70"/>
      <c r="B308" s="70"/>
      <c r="C308" s="70"/>
      <c r="D308" s="70"/>
      <c r="E308" s="70"/>
      <c r="F308" s="70"/>
      <c r="G308" s="70"/>
      <c r="H308" s="699"/>
      <c r="I308" s="699"/>
      <c r="J308" s="699"/>
      <c r="K308" s="699"/>
      <c r="L308" s="699"/>
      <c r="M308" s="699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  <c r="Y308" s="70"/>
      <c r="Z308" s="70"/>
    </row>
    <row r="309" customFormat="false" ht="12.75" hidden="false" customHeight="false" outlineLevel="1" collapsed="false">
      <c r="A309" s="70"/>
      <c r="B309" s="70"/>
      <c r="C309" s="70"/>
      <c r="D309" s="70"/>
      <c r="E309" s="70"/>
      <c r="F309" s="70"/>
      <c r="G309" s="70"/>
      <c r="H309" s="700"/>
      <c r="I309" s="700"/>
      <c r="J309" s="700"/>
      <c r="K309" s="700"/>
      <c r="L309" s="700"/>
      <c r="M309" s="700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  <c r="Y309" s="70"/>
      <c r="Z309" s="70"/>
    </row>
    <row r="310" customFormat="false" ht="12.75" hidden="false" customHeight="false" outlineLevel="1" collapsed="false">
      <c r="A310" s="70"/>
      <c r="B310" s="70"/>
      <c r="C310" s="70"/>
      <c r="D310" s="70"/>
      <c r="E310" s="70"/>
      <c r="F310" s="70"/>
      <c r="G310" s="70"/>
      <c r="H310" s="700"/>
      <c r="I310" s="700"/>
      <c r="J310" s="700"/>
      <c r="K310" s="700"/>
      <c r="L310" s="700"/>
      <c r="M310" s="700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  <c r="Y310" s="70"/>
      <c r="Z310" s="70"/>
    </row>
    <row r="311" customFormat="false" ht="18.75" hidden="false" customHeight="false" outlineLevel="2" collapsed="false">
      <c r="A311" s="682"/>
      <c r="B311" s="70"/>
      <c r="C311" s="70"/>
      <c r="D311" s="70"/>
      <c r="E311" s="70"/>
      <c r="F311" s="70"/>
      <c r="G311" s="70"/>
      <c r="H311" s="700"/>
      <c r="I311" s="700"/>
      <c r="J311" s="700"/>
      <c r="K311" s="700"/>
      <c r="L311" s="700"/>
      <c r="M311" s="700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  <c r="Y311" s="70"/>
      <c r="Z311" s="70"/>
    </row>
    <row r="312" customFormat="false" ht="12.75" hidden="false" customHeight="false" outlineLevel="2" collapsed="false">
      <c r="A312" s="395"/>
      <c r="B312" s="70"/>
      <c r="C312" s="70"/>
      <c r="D312" s="70"/>
      <c r="E312" s="70"/>
      <c r="F312" s="70"/>
      <c r="G312" s="70"/>
      <c r="H312" s="700"/>
      <c r="I312" s="700"/>
      <c r="J312" s="700"/>
      <c r="K312" s="700"/>
      <c r="L312" s="700"/>
      <c r="M312" s="700"/>
      <c r="N312" s="70"/>
      <c r="O312" s="70"/>
      <c r="P312" s="70"/>
      <c r="Q312" s="70"/>
      <c r="R312" s="70"/>
      <c r="S312" s="70"/>
      <c r="T312" s="70"/>
      <c r="U312" s="70"/>
      <c r="V312" s="70"/>
      <c r="W312" s="70"/>
      <c r="X312" s="70"/>
      <c r="Y312" s="70"/>
      <c r="Z312" s="70"/>
    </row>
    <row r="313" customFormat="false" ht="12.75" hidden="false" customHeight="false" outlineLevel="2" collapsed="false">
      <c r="A313" s="70"/>
      <c r="B313" s="70"/>
      <c r="C313" s="70"/>
      <c r="D313" s="70"/>
      <c r="E313" s="70"/>
      <c r="F313" s="70"/>
      <c r="G313" s="70"/>
      <c r="H313" s="700"/>
      <c r="I313" s="700"/>
      <c r="J313" s="700"/>
      <c r="K313" s="700"/>
      <c r="L313" s="700"/>
      <c r="M313" s="700"/>
      <c r="N313" s="70"/>
      <c r="O313" s="70"/>
      <c r="P313" s="70"/>
      <c r="Q313" s="70"/>
      <c r="R313" s="70"/>
      <c r="S313" s="70"/>
      <c r="T313" s="70"/>
      <c r="U313" s="70"/>
      <c r="V313" s="70"/>
      <c r="W313" s="70"/>
      <c r="X313" s="70"/>
      <c r="Y313" s="70"/>
      <c r="Z313" s="70"/>
    </row>
    <row r="314" customFormat="false" ht="12.75" hidden="false" customHeight="false" outlineLevel="2" collapsed="false">
      <c r="A314" s="395"/>
      <c r="B314" s="321"/>
      <c r="C314" s="321"/>
      <c r="D314" s="321"/>
      <c r="E314" s="321"/>
      <c r="F314" s="474"/>
      <c r="G314" s="474"/>
      <c r="H314" s="474"/>
      <c r="I314" s="321"/>
      <c r="J314" s="321"/>
      <c r="K314" s="474"/>
      <c r="L314" s="474"/>
      <c r="M314" s="321"/>
      <c r="N314" s="474"/>
      <c r="O314" s="474"/>
      <c r="P314" s="474"/>
      <c r="Q314" s="321"/>
      <c r="R314" s="474"/>
      <c r="S314" s="474"/>
      <c r="T314" s="70"/>
      <c r="U314" s="70"/>
      <c r="V314" s="70"/>
      <c r="W314" s="70"/>
      <c r="X314" s="70"/>
      <c r="Y314" s="474"/>
      <c r="Z314" s="70"/>
    </row>
    <row r="315" customFormat="false" ht="12.75" hidden="false" customHeight="false" outlineLevel="2" collapsed="false">
      <c r="A315" s="395"/>
      <c r="B315" s="70"/>
      <c r="C315" s="70"/>
      <c r="D315" s="70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  <c r="Z315" s="70"/>
    </row>
    <row r="316" customFormat="false" ht="12.75" hidden="false" customHeight="false" outlineLevel="2" collapsed="false">
      <c r="A316" s="70"/>
      <c r="B316" s="70"/>
      <c r="C316" s="70"/>
      <c r="D316" s="70"/>
      <c r="E316" s="70"/>
      <c r="F316" s="70"/>
      <c r="G316" s="70"/>
      <c r="H316" s="70"/>
      <c r="I316" s="70"/>
      <c r="J316" s="70"/>
      <c r="K316" s="70"/>
      <c r="L316" s="70"/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  <c r="Y316" s="70"/>
      <c r="Z316" s="70"/>
    </row>
    <row r="317" customFormat="false" ht="12.75" hidden="false" customHeight="false" outlineLevel="2" collapsed="false">
      <c r="A317" s="70"/>
      <c r="B317" s="686"/>
      <c r="C317" s="686"/>
      <c r="D317" s="686"/>
      <c r="E317" s="686"/>
      <c r="F317" s="686"/>
      <c r="G317" s="686"/>
      <c r="H317" s="686"/>
      <c r="I317" s="686"/>
      <c r="J317" s="686"/>
      <c r="K317" s="686"/>
      <c r="L317" s="686"/>
      <c r="M317" s="686"/>
      <c r="N317" s="686"/>
      <c r="O317" s="686"/>
      <c r="P317" s="686"/>
      <c r="Q317" s="686"/>
      <c r="R317" s="686"/>
      <c r="S317" s="686"/>
      <c r="T317" s="70"/>
      <c r="U317" s="70"/>
      <c r="V317" s="70"/>
      <c r="W317" s="70"/>
      <c r="X317" s="70"/>
      <c r="Y317" s="686"/>
      <c r="Z317" s="70"/>
    </row>
    <row r="318" customFormat="false" ht="12.75" hidden="false" customHeight="false" outlineLevel="2" collapsed="false">
      <c r="A318" s="70"/>
      <c r="B318" s="70"/>
      <c r="C318" s="70"/>
      <c r="D318" s="70"/>
      <c r="E318" s="70"/>
      <c r="F318" s="70"/>
      <c r="G318" s="70"/>
      <c r="H318" s="70"/>
      <c r="I318" s="70"/>
      <c r="J318" s="70"/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  <c r="Y318" s="70"/>
      <c r="Z318" s="70"/>
    </row>
    <row r="319" customFormat="false" ht="12.75" hidden="false" customHeight="false" outlineLevel="2" collapsed="false">
      <c r="A319" s="70"/>
      <c r="B319" s="399"/>
      <c r="C319" s="399"/>
      <c r="D319" s="399"/>
      <c r="E319" s="399"/>
      <c r="F319" s="399"/>
      <c r="G319" s="399"/>
      <c r="H319" s="399"/>
      <c r="I319" s="686"/>
      <c r="J319" s="686"/>
      <c r="K319" s="686"/>
      <c r="L319" s="686"/>
      <c r="M319" s="686"/>
      <c r="N319" s="686"/>
      <c r="O319" s="686"/>
      <c r="P319" s="686"/>
      <c r="Q319" s="686"/>
      <c r="R319" s="686"/>
      <c r="S319" s="686"/>
      <c r="T319" s="70"/>
      <c r="U319" s="70"/>
      <c r="V319" s="70"/>
      <c r="W319" s="70"/>
      <c r="X319" s="70"/>
      <c r="Y319" s="686"/>
      <c r="Z319" s="70"/>
    </row>
    <row r="320" customFormat="false" ht="12.75" hidden="false" customHeight="false" outlineLevel="2" collapsed="false">
      <c r="A320" s="70"/>
      <c r="B320" s="70"/>
      <c r="C320" s="70"/>
      <c r="D320" s="70"/>
      <c r="E320" s="70"/>
      <c r="F320" s="70"/>
      <c r="G320" s="70"/>
      <c r="H320" s="70"/>
      <c r="I320" s="70"/>
      <c r="J320" s="70"/>
      <c r="K320" s="70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0"/>
      <c r="X320" s="70"/>
      <c r="Y320" s="70"/>
      <c r="Z320" s="70"/>
    </row>
    <row r="321" customFormat="false" ht="12.75" hidden="false" customHeight="false" outlineLevel="2" collapsed="false">
      <c r="A321" s="70"/>
      <c r="B321" s="686"/>
      <c r="C321" s="686"/>
      <c r="D321" s="686"/>
      <c r="E321" s="686"/>
      <c r="F321" s="686"/>
      <c r="G321" s="686"/>
      <c r="H321" s="686"/>
      <c r="I321" s="686"/>
      <c r="J321" s="686"/>
      <c r="K321" s="686"/>
      <c r="L321" s="686"/>
      <c r="M321" s="686"/>
      <c r="N321" s="686"/>
      <c r="O321" s="686"/>
      <c r="P321" s="686"/>
      <c r="Q321" s="686"/>
      <c r="R321" s="686"/>
      <c r="S321" s="686"/>
      <c r="T321" s="70"/>
      <c r="U321" s="70"/>
      <c r="V321" s="70"/>
      <c r="W321" s="70"/>
      <c r="X321" s="70"/>
      <c r="Y321" s="686"/>
      <c r="Z321" s="686"/>
      <c r="AA321" s="686"/>
      <c r="AB321" s="686"/>
      <c r="AC321" s="686"/>
      <c r="AD321" s="686"/>
      <c r="AE321" s="686"/>
    </row>
    <row r="322" customFormat="false" ht="12.75" hidden="false" customHeight="false" outlineLevel="2" collapsed="false">
      <c r="A322" s="70"/>
      <c r="B322" s="70"/>
      <c r="C322" s="70"/>
      <c r="D322" s="70"/>
      <c r="E322" s="70"/>
      <c r="F322" s="70"/>
      <c r="G322" s="70"/>
      <c r="H322" s="70"/>
      <c r="I322" s="70"/>
      <c r="J322" s="70"/>
      <c r="K322" s="70"/>
      <c r="L322" s="70"/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  <c r="Y322" s="70"/>
      <c r="Z322" s="70"/>
    </row>
    <row r="323" customFormat="false" ht="12.75" hidden="false" customHeight="false" outlineLevel="2" collapsed="false">
      <c r="A323" s="70"/>
      <c r="B323" s="686"/>
      <c r="C323" s="686"/>
      <c r="D323" s="686"/>
      <c r="E323" s="686"/>
      <c r="F323" s="686"/>
      <c r="G323" s="686"/>
      <c r="H323" s="686"/>
      <c r="I323" s="686"/>
      <c r="J323" s="686"/>
      <c r="K323" s="686"/>
      <c r="L323" s="686"/>
      <c r="M323" s="686"/>
      <c r="N323" s="686"/>
      <c r="O323" s="686"/>
      <c r="P323" s="686"/>
      <c r="Q323" s="686"/>
      <c r="R323" s="686"/>
      <c r="S323" s="686"/>
      <c r="T323" s="70"/>
      <c r="U323" s="70"/>
      <c r="V323" s="70"/>
      <c r="W323" s="70"/>
      <c r="X323" s="70"/>
      <c r="Y323" s="686"/>
      <c r="Z323" s="70"/>
    </row>
    <row r="324" customFormat="false" ht="12.75" hidden="false" customHeight="false" outlineLevel="2" collapsed="false">
      <c r="A324" s="70"/>
      <c r="B324" s="70"/>
      <c r="C324" s="70"/>
      <c r="D324" s="70"/>
      <c r="E324" s="70"/>
      <c r="F324" s="70"/>
      <c r="G324" s="70"/>
      <c r="H324" s="70"/>
      <c r="I324" s="70"/>
      <c r="J324" s="70"/>
      <c r="K324" s="70"/>
      <c r="L324" s="70"/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70"/>
      <c r="X324" s="70"/>
      <c r="Y324" s="70"/>
      <c r="Z324" s="70"/>
    </row>
    <row r="325" customFormat="false" ht="12.75" hidden="false" customHeight="false" outlineLevel="2" collapsed="false">
      <c r="A325" s="70"/>
      <c r="B325" s="686"/>
      <c r="C325" s="686"/>
      <c r="D325" s="686"/>
      <c r="E325" s="686"/>
      <c r="F325" s="686"/>
      <c r="G325" s="686"/>
      <c r="H325" s="686"/>
      <c r="I325" s="686"/>
      <c r="J325" s="686"/>
      <c r="K325" s="686"/>
      <c r="L325" s="686"/>
      <c r="M325" s="686"/>
      <c r="N325" s="686"/>
      <c r="O325" s="686"/>
      <c r="P325" s="686"/>
      <c r="Q325" s="686"/>
      <c r="R325" s="686"/>
      <c r="S325" s="686"/>
      <c r="T325" s="70"/>
      <c r="U325" s="70"/>
      <c r="V325" s="70"/>
      <c r="W325" s="70"/>
      <c r="X325" s="70"/>
      <c r="Y325" s="686"/>
      <c r="Z325" s="686"/>
    </row>
    <row r="326" customFormat="false" ht="12.75" hidden="false" customHeight="false" outlineLevel="2" collapsed="false">
      <c r="A326" s="70"/>
      <c r="B326" s="70"/>
      <c r="C326" s="70"/>
      <c r="D326" s="70"/>
      <c r="E326" s="70"/>
      <c r="F326" s="70"/>
      <c r="G326" s="70"/>
      <c r="H326" s="70"/>
      <c r="I326" s="70"/>
      <c r="J326" s="70"/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0"/>
      <c r="X326" s="70"/>
      <c r="Y326" s="70"/>
      <c r="Z326" s="70"/>
    </row>
    <row r="327" customFormat="false" ht="12.75" hidden="false" customHeight="false" outlineLevel="2" collapsed="false">
      <c r="A327" s="70"/>
      <c r="B327" s="686"/>
      <c r="C327" s="686"/>
      <c r="D327" s="686"/>
      <c r="E327" s="686"/>
      <c r="F327" s="686"/>
      <c r="G327" s="686"/>
      <c r="H327" s="686"/>
      <c r="I327" s="686"/>
      <c r="J327" s="686"/>
      <c r="K327" s="686"/>
      <c r="L327" s="686"/>
      <c r="M327" s="686"/>
      <c r="N327" s="686"/>
      <c r="O327" s="686"/>
      <c r="P327" s="686"/>
      <c r="Q327" s="686"/>
      <c r="R327" s="686"/>
      <c r="S327" s="686"/>
      <c r="T327" s="70"/>
      <c r="U327" s="70"/>
      <c r="V327" s="70"/>
      <c r="W327" s="70"/>
      <c r="X327" s="70"/>
      <c r="Y327" s="686"/>
      <c r="Z327" s="686"/>
    </row>
    <row r="328" customFormat="false" ht="12.75" hidden="false" customHeight="false" outlineLevel="2" collapsed="false">
      <c r="A328" s="70"/>
      <c r="B328" s="70"/>
      <c r="C328" s="70"/>
      <c r="D328" s="70"/>
      <c r="E328" s="70"/>
      <c r="F328" s="70"/>
      <c r="G328" s="70"/>
      <c r="H328" s="70"/>
      <c r="I328" s="70"/>
      <c r="J328" s="70"/>
      <c r="K328" s="70"/>
      <c r="L328" s="70"/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70"/>
      <c r="X328" s="70"/>
      <c r="Y328" s="70"/>
      <c r="Z328" s="70"/>
    </row>
    <row r="329" customFormat="false" ht="12.75" hidden="false" customHeight="false" outlineLevel="1" collapsed="false">
      <c r="A329" s="70"/>
      <c r="B329" s="70"/>
      <c r="C329" s="70"/>
      <c r="D329" s="70"/>
      <c r="E329" s="70"/>
      <c r="F329" s="70"/>
      <c r="G329" s="70"/>
      <c r="H329" s="70"/>
      <c r="I329" s="70"/>
      <c r="J329" s="70"/>
      <c r="K329" s="70"/>
      <c r="L329" s="70"/>
      <c r="M329" s="70"/>
      <c r="N329" s="70"/>
      <c r="O329" s="70"/>
      <c r="P329" s="70"/>
      <c r="Q329" s="70"/>
      <c r="R329" s="70"/>
      <c r="S329" s="70"/>
      <c r="T329" s="70"/>
      <c r="U329" s="70"/>
      <c r="V329" s="70"/>
      <c r="W329" s="70"/>
      <c r="X329" s="70"/>
      <c r="Y329" s="70"/>
      <c r="Z329" s="70"/>
    </row>
    <row r="330" customFormat="false" ht="12.75" hidden="false" customHeight="false" outlineLevel="1" collapsed="false">
      <c r="A330" s="70"/>
      <c r="B330" s="70"/>
      <c r="C330" s="70"/>
      <c r="D330" s="70"/>
      <c r="E330" s="70"/>
      <c r="F330" s="70"/>
      <c r="G330" s="70"/>
      <c r="H330" s="70"/>
      <c r="I330" s="70"/>
      <c r="J330" s="70"/>
      <c r="K330" s="70"/>
      <c r="L330" s="70"/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  <c r="Y330" s="70"/>
      <c r="Z330" s="70"/>
    </row>
    <row r="331" customFormat="false" ht="12.75" hidden="false" customHeight="false" outlineLevel="1" collapsed="false">
      <c r="A331" s="70"/>
      <c r="B331" s="70"/>
      <c r="C331" s="70"/>
      <c r="D331" s="70"/>
      <c r="E331" s="70"/>
      <c r="F331" s="70"/>
      <c r="G331" s="70"/>
      <c r="H331" s="70"/>
      <c r="I331" s="70"/>
      <c r="J331" s="70"/>
      <c r="K331" s="70"/>
      <c r="L331" s="70"/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70"/>
      <c r="X331" s="70"/>
      <c r="Y331" s="70"/>
      <c r="Z331" s="70"/>
    </row>
    <row r="332" customFormat="false" ht="18.75" hidden="false" customHeight="false" outlineLevel="1" collapsed="false">
      <c r="A332" s="683"/>
      <c r="B332" s="683"/>
      <c r="C332" s="683"/>
      <c r="D332" s="683"/>
      <c r="E332" s="70"/>
      <c r="F332" s="70"/>
      <c r="G332" s="70"/>
      <c r="H332" s="70"/>
      <c r="I332" s="70"/>
      <c r="J332" s="70"/>
      <c r="K332" s="70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0"/>
      <c r="X332" s="70"/>
      <c r="Y332" s="70"/>
      <c r="Z332" s="70"/>
    </row>
    <row r="333" customFormat="false" ht="12.75" hidden="false" customHeight="false" outlineLevel="1" collapsed="false">
      <c r="A333" s="395"/>
      <c r="B333" s="395"/>
      <c r="C333" s="395"/>
      <c r="D333" s="395"/>
      <c r="E333" s="70"/>
      <c r="F333" s="70"/>
      <c r="G333" s="70"/>
      <c r="H333" s="70"/>
      <c r="I333" s="70"/>
      <c r="J333" s="70"/>
      <c r="K333" s="70"/>
      <c r="L333" s="70"/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70"/>
      <c r="X333" s="70"/>
      <c r="Y333" s="70"/>
      <c r="Z333" s="70"/>
    </row>
    <row r="334" customFormat="false" ht="12.75" hidden="false" customHeight="false" outlineLevel="1" collapsed="false">
      <c r="A334" s="395"/>
      <c r="B334" s="684"/>
      <c r="C334" s="684"/>
      <c r="D334" s="684"/>
      <c r="E334" s="70"/>
      <c r="F334" s="70"/>
      <c r="G334" s="70"/>
      <c r="H334" s="70"/>
      <c r="I334" s="70"/>
      <c r="J334" s="70"/>
      <c r="K334" s="70"/>
      <c r="L334" s="70"/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70"/>
      <c r="X334" s="70"/>
      <c r="Y334" s="70"/>
      <c r="Z334" s="70"/>
    </row>
    <row r="335" customFormat="false" ht="12.75" hidden="false" customHeight="false" outlineLevel="1" collapsed="false">
      <c r="A335" s="70"/>
      <c r="B335" s="70"/>
      <c r="C335" s="70"/>
      <c r="D335" s="70"/>
      <c r="E335" s="70"/>
      <c r="F335" s="70"/>
      <c r="G335" s="70"/>
      <c r="H335" s="70"/>
      <c r="I335" s="70"/>
      <c r="J335" s="70"/>
      <c r="K335" s="70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0"/>
      <c r="X335" s="70"/>
      <c r="Y335" s="70"/>
      <c r="Z335" s="70"/>
    </row>
    <row r="336" customFormat="false" ht="12.75" hidden="false" customHeight="false" outlineLevel="1" collapsed="false">
      <c r="A336" s="322"/>
      <c r="B336" s="321"/>
      <c r="C336" s="321"/>
      <c r="D336" s="321"/>
      <c r="E336" s="321"/>
      <c r="F336" s="321"/>
      <c r="G336" s="321"/>
      <c r="H336" s="321"/>
      <c r="I336" s="321"/>
      <c r="J336" s="321"/>
      <c r="K336" s="321"/>
      <c r="L336" s="321"/>
      <c r="M336" s="321"/>
      <c r="N336" s="321"/>
      <c r="O336" s="321"/>
      <c r="P336" s="321"/>
      <c r="Q336" s="321"/>
      <c r="R336" s="321"/>
      <c r="S336" s="321"/>
      <c r="T336" s="321"/>
      <c r="U336" s="321"/>
      <c r="V336" s="321"/>
      <c r="W336" s="321"/>
      <c r="X336" s="321"/>
      <c r="Y336" s="321"/>
      <c r="Z336" s="321"/>
    </row>
    <row r="337" customFormat="false" ht="12.75" hidden="false" customHeight="false" outlineLevel="1" collapsed="false">
      <c r="A337" s="395"/>
      <c r="B337" s="395"/>
      <c r="C337" s="395"/>
      <c r="D337" s="395"/>
      <c r="E337" s="70"/>
      <c r="F337" s="70"/>
      <c r="G337" s="70"/>
      <c r="H337" s="70"/>
      <c r="I337" s="70"/>
      <c r="J337" s="70"/>
      <c r="K337" s="70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70"/>
      <c r="X337" s="70"/>
      <c r="Y337" s="70"/>
      <c r="Z337" s="70"/>
    </row>
    <row r="338" customFormat="false" ht="12.75" hidden="false" customHeight="false" outlineLevel="1" collapsed="false">
      <c r="A338" s="685"/>
      <c r="B338" s="395"/>
      <c r="C338" s="395"/>
      <c r="D338" s="395"/>
      <c r="E338" s="686"/>
      <c r="F338" s="686"/>
      <c r="G338" s="686"/>
      <c r="H338" s="686"/>
      <c r="I338" s="686"/>
      <c r="J338" s="686"/>
      <c r="K338" s="686"/>
      <c r="L338" s="686"/>
      <c r="M338" s="686"/>
      <c r="N338" s="686"/>
      <c r="O338" s="686"/>
      <c r="P338" s="686"/>
      <c r="Q338" s="686"/>
      <c r="R338" s="686"/>
      <c r="S338" s="686"/>
      <c r="T338" s="686"/>
      <c r="U338" s="686"/>
      <c r="V338" s="686"/>
      <c r="W338" s="686"/>
      <c r="X338" s="686"/>
      <c r="Y338" s="686"/>
      <c r="Z338" s="686"/>
    </row>
    <row r="339" customFormat="false" ht="12.75" hidden="false" customHeight="false" outlineLevel="1" collapsed="false">
      <c r="A339" s="685"/>
      <c r="B339" s="395"/>
      <c r="C339" s="395"/>
      <c r="D339" s="395"/>
      <c r="E339" s="686"/>
      <c r="F339" s="686"/>
      <c r="G339" s="686"/>
      <c r="H339" s="686"/>
      <c r="I339" s="686"/>
      <c r="J339" s="686"/>
      <c r="K339" s="686"/>
      <c r="L339" s="686"/>
      <c r="M339" s="686"/>
      <c r="N339" s="686"/>
      <c r="O339" s="686"/>
      <c r="P339" s="686"/>
      <c r="Q339" s="686"/>
      <c r="R339" s="686"/>
      <c r="S339" s="686"/>
      <c r="T339" s="686"/>
      <c r="U339" s="686"/>
      <c r="V339" s="686"/>
      <c r="W339" s="686"/>
      <c r="X339" s="686"/>
      <c r="Y339" s="686"/>
      <c r="Z339" s="686"/>
    </row>
    <row r="340" customFormat="false" ht="12.75" hidden="false" customHeight="false" outlineLevel="1" collapsed="false">
      <c r="A340" s="685"/>
      <c r="B340" s="685"/>
      <c r="C340" s="685"/>
      <c r="D340" s="685"/>
      <c r="E340" s="686"/>
      <c r="F340" s="686"/>
      <c r="G340" s="686"/>
      <c r="H340" s="686"/>
      <c r="I340" s="686"/>
      <c r="J340" s="686"/>
      <c r="K340" s="686"/>
      <c r="L340" s="686"/>
      <c r="M340" s="686"/>
      <c r="N340" s="686"/>
      <c r="O340" s="686"/>
      <c r="P340" s="686"/>
      <c r="Q340" s="686"/>
      <c r="R340" s="686"/>
      <c r="S340" s="686"/>
      <c r="T340" s="686"/>
      <c r="U340" s="686"/>
      <c r="V340" s="686"/>
      <c r="W340" s="686"/>
      <c r="X340" s="686"/>
      <c r="Y340" s="686"/>
      <c r="Z340" s="686"/>
    </row>
    <row r="341" customFormat="false" ht="12.75" hidden="false" customHeight="false" outlineLevel="1" collapsed="false">
      <c r="A341" s="685"/>
      <c r="B341" s="685"/>
      <c r="C341" s="685"/>
      <c r="D341" s="685"/>
      <c r="E341" s="686"/>
      <c r="F341" s="686"/>
      <c r="G341" s="686"/>
      <c r="H341" s="686"/>
      <c r="I341" s="686"/>
      <c r="J341" s="686"/>
      <c r="K341" s="686"/>
      <c r="L341" s="686"/>
      <c r="M341" s="686"/>
      <c r="N341" s="686"/>
      <c r="O341" s="686"/>
      <c r="P341" s="686"/>
      <c r="Q341" s="686"/>
      <c r="R341" s="686"/>
      <c r="S341" s="686"/>
      <c r="T341" s="686"/>
      <c r="U341" s="686"/>
      <c r="V341" s="686"/>
      <c r="W341" s="686"/>
      <c r="X341" s="686"/>
      <c r="Y341" s="686"/>
      <c r="Z341" s="686"/>
    </row>
    <row r="342" customFormat="false" ht="12.75" hidden="false" customHeight="false" outlineLevel="1" collapsed="false">
      <c r="A342" s="685"/>
      <c r="B342" s="322"/>
      <c r="C342" s="322"/>
      <c r="D342" s="322"/>
      <c r="E342" s="686"/>
      <c r="F342" s="686"/>
      <c r="G342" s="686"/>
      <c r="H342" s="686"/>
      <c r="I342" s="686"/>
      <c r="J342" s="686"/>
      <c r="K342" s="686"/>
      <c r="L342" s="686"/>
      <c r="M342" s="686"/>
      <c r="N342" s="686"/>
      <c r="O342" s="686"/>
      <c r="P342" s="686"/>
      <c r="Q342" s="686"/>
      <c r="R342" s="686"/>
      <c r="S342" s="686"/>
      <c r="T342" s="686"/>
      <c r="U342" s="686"/>
      <c r="V342" s="686"/>
      <c r="W342" s="686"/>
      <c r="X342" s="686"/>
      <c r="Y342" s="686"/>
      <c r="Z342" s="686"/>
    </row>
    <row r="343" customFormat="false" ht="12.75" hidden="false" customHeight="false" outlineLevel="1" collapsed="false">
      <c r="A343" s="70"/>
      <c r="B343" s="70"/>
      <c r="C343" s="70"/>
      <c r="D343" s="70"/>
      <c r="E343" s="686"/>
      <c r="F343" s="686"/>
      <c r="G343" s="686"/>
      <c r="H343" s="686"/>
      <c r="I343" s="686"/>
      <c r="J343" s="686"/>
      <c r="K343" s="686"/>
      <c r="L343" s="686"/>
      <c r="M343" s="686"/>
      <c r="N343" s="686"/>
      <c r="O343" s="686"/>
      <c r="P343" s="686"/>
      <c r="Q343" s="686"/>
      <c r="R343" s="686"/>
      <c r="S343" s="686"/>
      <c r="T343" s="686"/>
      <c r="U343" s="686"/>
      <c r="V343" s="686"/>
      <c r="W343" s="686"/>
      <c r="X343" s="686"/>
      <c r="Y343" s="686"/>
      <c r="Z343" s="686"/>
    </row>
    <row r="344" customFormat="false" ht="12.75" hidden="false" customHeight="false" outlineLevel="1" collapsed="false">
      <c r="A344" s="395"/>
      <c r="B344" s="395"/>
      <c r="C344" s="395"/>
      <c r="D344" s="395"/>
      <c r="E344" s="686"/>
      <c r="F344" s="686"/>
      <c r="G344" s="686"/>
      <c r="H344" s="686"/>
      <c r="I344" s="686"/>
      <c r="J344" s="686"/>
      <c r="K344" s="686"/>
      <c r="L344" s="686"/>
      <c r="M344" s="686"/>
      <c r="N344" s="686"/>
      <c r="O344" s="686"/>
      <c r="P344" s="686"/>
      <c r="Q344" s="686"/>
      <c r="R344" s="686"/>
      <c r="S344" s="686"/>
      <c r="T344" s="686"/>
      <c r="U344" s="686"/>
      <c r="V344" s="686"/>
      <c r="W344" s="686"/>
      <c r="X344" s="686"/>
      <c r="Y344" s="686"/>
      <c r="Z344" s="686"/>
    </row>
    <row r="345" customFormat="false" ht="12.75" hidden="false" customHeight="false" outlineLevel="1" collapsed="false">
      <c r="A345" s="685"/>
      <c r="B345" s="395"/>
      <c r="C345" s="395"/>
      <c r="D345" s="395"/>
      <c r="E345" s="686"/>
      <c r="F345" s="686"/>
      <c r="G345" s="686"/>
      <c r="H345" s="686"/>
      <c r="I345" s="686"/>
      <c r="J345" s="686"/>
      <c r="K345" s="686"/>
      <c r="L345" s="686"/>
      <c r="M345" s="686"/>
      <c r="N345" s="686"/>
      <c r="O345" s="686"/>
      <c r="P345" s="686"/>
      <c r="Q345" s="686"/>
      <c r="R345" s="686"/>
      <c r="S345" s="686"/>
      <c r="T345" s="686"/>
      <c r="U345" s="686"/>
      <c r="V345" s="686"/>
      <c r="W345" s="686"/>
      <c r="X345" s="686"/>
      <c r="Y345" s="686"/>
      <c r="Z345" s="686"/>
    </row>
    <row r="346" customFormat="false" ht="12.75" hidden="false" customHeight="false" outlineLevel="1" collapsed="false">
      <c r="A346" s="685"/>
      <c r="B346" s="395"/>
      <c r="C346" s="395"/>
      <c r="D346" s="395"/>
      <c r="E346" s="686"/>
      <c r="F346" s="686"/>
      <c r="G346" s="686"/>
      <c r="H346" s="686"/>
      <c r="I346" s="686"/>
      <c r="J346" s="686"/>
      <c r="K346" s="686"/>
      <c r="L346" s="686"/>
      <c r="M346" s="686"/>
      <c r="N346" s="686"/>
      <c r="O346" s="686"/>
      <c r="P346" s="686"/>
      <c r="Q346" s="686"/>
      <c r="R346" s="686"/>
      <c r="S346" s="686"/>
      <c r="T346" s="686"/>
      <c r="U346" s="686"/>
      <c r="V346" s="686"/>
      <c r="W346" s="686"/>
      <c r="X346" s="686"/>
      <c r="Y346" s="686"/>
      <c r="Z346" s="686"/>
    </row>
    <row r="347" customFormat="false" ht="12.75" hidden="false" customHeight="false" outlineLevel="1" collapsed="false">
      <c r="A347" s="685"/>
      <c r="B347" s="395"/>
      <c r="C347" s="395"/>
      <c r="D347" s="395"/>
      <c r="E347" s="686"/>
      <c r="F347" s="686"/>
      <c r="G347" s="686"/>
      <c r="H347" s="686"/>
      <c r="I347" s="686"/>
      <c r="J347" s="686"/>
      <c r="K347" s="686"/>
      <c r="L347" s="686"/>
      <c r="M347" s="686"/>
      <c r="N347" s="686"/>
      <c r="O347" s="686"/>
      <c r="P347" s="686"/>
      <c r="Q347" s="686"/>
      <c r="R347" s="686"/>
      <c r="S347" s="686"/>
      <c r="T347" s="686"/>
      <c r="U347" s="686"/>
      <c r="V347" s="686"/>
      <c r="W347" s="686"/>
      <c r="X347" s="686"/>
      <c r="Y347" s="686"/>
      <c r="Z347" s="686"/>
    </row>
    <row r="348" customFormat="false" ht="12.75" hidden="false" customHeight="false" outlineLevel="1" collapsed="false">
      <c r="A348" s="685"/>
      <c r="B348" s="395"/>
      <c r="C348" s="395"/>
      <c r="D348" s="395"/>
      <c r="E348" s="686"/>
      <c r="F348" s="686"/>
      <c r="G348" s="686"/>
      <c r="H348" s="686"/>
      <c r="I348" s="686"/>
      <c r="J348" s="686"/>
      <c r="K348" s="686"/>
      <c r="L348" s="686"/>
      <c r="M348" s="686"/>
      <c r="N348" s="686"/>
      <c r="O348" s="686"/>
      <c r="P348" s="686"/>
      <c r="Q348" s="686"/>
      <c r="R348" s="686"/>
      <c r="S348" s="686"/>
      <c r="T348" s="686"/>
      <c r="U348" s="686"/>
      <c r="V348" s="686"/>
      <c r="W348" s="686"/>
      <c r="X348" s="686"/>
      <c r="Y348" s="686"/>
      <c r="Z348" s="686"/>
    </row>
    <row r="349" customFormat="false" ht="12.75" hidden="false" customHeight="false" outlineLevel="1" collapsed="false">
      <c r="A349" s="685"/>
      <c r="B349" s="395"/>
      <c r="C349" s="395"/>
      <c r="D349" s="395"/>
      <c r="E349" s="686"/>
      <c r="F349" s="686"/>
      <c r="G349" s="686"/>
      <c r="H349" s="686"/>
      <c r="I349" s="686"/>
      <c r="J349" s="686"/>
      <c r="K349" s="686"/>
      <c r="L349" s="686"/>
      <c r="M349" s="686"/>
      <c r="N349" s="686"/>
      <c r="O349" s="686"/>
      <c r="P349" s="686"/>
      <c r="Q349" s="686"/>
      <c r="R349" s="686"/>
      <c r="S349" s="686"/>
      <c r="T349" s="686"/>
      <c r="U349" s="686"/>
      <c r="V349" s="686"/>
      <c r="W349" s="686"/>
      <c r="X349" s="686"/>
      <c r="Y349" s="686"/>
      <c r="Z349" s="686"/>
    </row>
    <row r="350" customFormat="false" ht="12.75" hidden="false" customHeight="false" outlineLevel="1" collapsed="false">
      <c r="A350" s="685"/>
      <c r="B350" s="395"/>
      <c r="C350" s="395"/>
      <c r="D350" s="395"/>
      <c r="E350" s="686"/>
      <c r="F350" s="686"/>
      <c r="G350" s="686"/>
      <c r="H350" s="686"/>
      <c r="I350" s="686"/>
      <c r="J350" s="686"/>
      <c r="K350" s="686"/>
      <c r="L350" s="686"/>
      <c r="M350" s="686"/>
      <c r="N350" s="686"/>
      <c r="O350" s="686"/>
      <c r="P350" s="686"/>
      <c r="Q350" s="686"/>
      <c r="R350" s="686"/>
      <c r="S350" s="686"/>
      <c r="T350" s="686"/>
      <c r="U350" s="686"/>
      <c r="V350" s="686"/>
      <c r="W350" s="686"/>
      <c r="X350" s="686"/>
      <c r="Y350" s="686"/>
      <c r="Z350" s="686"/>
    </row>
    <row r="351" customFormat="false" ht="12.75" hidden="false" customHeight="false" outlineLevel="1" collapsed="false">
      <c r="A351" s="685"/>
      <c r="B351" s="395"/>
      <c r="C351" s="395"/>
      <c r="D351" s="395"/>
      <c r="E351" s="686"/>
      <c r="F351" s="686"/>
      <c r="G351" s="686"/>
      <c r="H351" s="686"/>
      <c r="I351" s="686"/>
      <c r="J351" s="686"/>
      <c r="K351" s="686"/>
      <c r="L351" s="686"/>
      <c r="M351" s="686"/>
      <c r="N351" s="686"/>
      <c r="O351" s="686"/>
      <c r="P351" s="686"/>
      <c r="Q351" s="686"/>
      <c r="R351" s="686"/>
      <c r="S351" s="686"/>
      <c r="T351" s="686"/>
      <c r="U351" s="686"/>
      <c r="V351" s="686"/>
      <c r="W351" s="686"/>
      <c r="X351" s="686"/>
      <c r="Y351" s="686"/>
      <c r="Z351" s="686"/>
    </row>
    <row r="352" customFormat="false" ht="12.75" hidden="false" customHeight="false" outlineLevel="1" collapsed="false">
      <c r="A352" s="685"/>
      <c r="B352" s="395"/>
      <c r="C352" s="395"/>
      <c r="D352" s="395"/>
      <c r="E352" s="686"/>
      <c r="F352" s="686"/>
      <c r="G352" s="686"/>
      <c r="H352" s="686"/>
      <c r="I352" s="686"/>
      <c r="J352" s="686"/>
      <c r="K352" s="686"/>
      <c r="L352" s="686"/>
      <c r="M352" s="686"/>
      <c r="N352" s="686"/>
      <c r="O352" s="686"/>
      <c r="P352" s="686"/>
      <c r="Q352" s="686"/>
      <c r="R352" s="686"/>
      <c r="S352" s="686"/>
      <c r="T352" s="686"/>
      <c r="U352" s="686"/>
      <c r="V352" s="686"/>
      <c r="W352" s="686"/>
      <c r="X352" s="686"/>
      <c r="Y352" s="686"/>
      <c r="Z352" s="686"/>
    </row>
    <row r="353" customFormat="false" ht="12.75" hidden="false" customHeight="false" outlineLevel="1" collapsed="false">
      <c r="A353" s="685"/>
      <c r="B353" s="395"/>
      <c r="C353" s="395"/>
      <c r="D353" s="395"/>
      <c r="E353" s="686"/>
      <c r="F353" s="686"/>
      <c r="G353" s="686"/>
      <c r="H353" s="686"/>
      <c r="I353" s="686"/>
      <c r="J353" s="686"/>
      <c r="K353" s="686"/>
      <c r="L353" s="686"/>
      <c r="M353" s="686"/>
      <c r="N353" s="686"/>
      <c r="O353" s="686"/>
      <c r="P353" s="686"/>
      <c r="Q353" s="686"/>
      <c r="R353" s="686"/>
      <c r="S353" s="686"/>
      <c r="T353" s="686"/>
      <c r="U353" s="686"/>
      <c r="V353" s="686"/>
      <c r="W353" s="686"/>
      <c r="X353" s="686"/>
      <c r="Y353" s="686"/>
      <c r="Z353" s="686"/>
    </row>
    <row r="354" customFormat="false" ht="12.75" hidden="false" customHeight="false" outlineLevel="1" collapsed="false">
      <c r="A354" s="685"/>
      <c r="B354" s="685"/>
      <c r="C354" s="685"/>
      <c r="D354" s="685"/>
      <c r="E354" s="686"/>
      <c r="F354" s="686"/>
      <c r="G354" s="686"/>
      <c r="H354" s="686"/>
      <c r="I354" s="686"/>
      <c r="J354" s="686"/>
      <c r="K354" s="686"/>
      <c r="L354" s="686"/>
      <c r="M354" s="686"/>
      <c r="N354" s="686"/>
      <c r="O354" s="686"/>
      <c r="P354" s="686"/>
      <c r="Q354" s="686"/>
      <c r="R354" s="686"/>
      <c r="S354" s="686"/>
      <c r="T354" s="686"/>
      <c r="U354" s="686"/>
      <c r="V354" s="686"/>
      <c r="W354" s="686"/>
      <c r="X354" s="686"/>
      <c r="Y354" s="686"/>
      <c r="Z354" s="686"/>
    </row>
    <row r="355" customFormat="false" ht="12.75" hidden="false" customHeight="false" outlineLevel="1" collapsed="false">
      <c r="A355" s="685"/>
      <c r="B355" s="685"/>
      <c r="C355" s="685"/>
      <c r="D355" s="685"/>
      <c r="E355" s="686"/>
      <c r="F355" s="686"/>
      <c r="G355" s="686"/>
      <c r="H355" s="686"/>
      <c r="I355" s="686"/>
      <c r="J355" s="686"/>
      <c r="K355" s="686"/>
      <c r="L355" s="686"/>
      <c r="M355" s="686"/>
      <c r="N355" s="686"/>
      <c r="O355" s="686"/>
      <c r="P355" s="686"/>
      <c r="Q355" s="686"/>
      <c r="R355" s="686"/>
      <c r="S355" s="686"/>
      <c r="T355" s="686"/>
      <c r="U355" s="686"/>
      <c r="V355" s="686"/>
      <c r="W355" s="686"/>
      <c r="X355" s="686"/>
      <c r="Y355" s="686"/>
      <c r="Z355" s="686"/>
    </row>
    <row r="356" customFormat="false" ht="12.75" hidden="false" customHeight="false" outlineLevel="1" collapsed="false">
      <c r="A356" s="395"/>
      <c r="B356" s="395"/>
      <c r="C356" s="395"/>
      <c r="D356" s="395"/>
      <c r="E356" s="686"/>
      <c r="F356" s="686"/>
      <c r="G356" s="686"/>
      <c r="H356" s="686"/>
      <c r="I356" s="686"/>
      <c r="J356" s="686"/>
      <c r="K356" s="686"/>
      <c r="L356" s="686"/>
      <c r="M356" s="686"/>
      <c r="N356" s="686"/>
      <c r="O356" s="686"/>
      <c r="P356" s="686"/>
      <c r="Q356" s="686"/>
      <c r="R356" s="686"/>
      <c r="S356" s="686"/>
      <c r="T356" s="686"/>
      <c r="U356" s="686"/>
      <c r="V356" s="686"/>
      <c r="W356" s="686"/>
      <c r="X356" s="686"/>
      <c r="Y356" s="686"/>
      <c r="Z356" s="686"/>
    </row>
    <row r="357" customFormat="false" ht="12.75" hidden="false" customHeight="false" outlineLevel="1" collapsed="false">
      <c r="A357" s="685"/>
      <c r="B357" s="685"/>
      <c r="C357" s="685"/>
      <c r="D357" s="685"/>
      <c r="E357" s="686"/>
      <c r="F357" s="686"/>
      <c r="G357" s="686"/>
      <c r="H357" s="686"/>
      <c r="I357" s="686"/>
      <c r="J357" s="686"/>
      <c r="K357" s="686"/>
      <c r="L357" s="686"/>
      <c r="M357" s="686"/>
      <c r="N357" s="686"/>
      <c r="O357" s="686"/>
      <c r="P357" s="686"/>
      <c r="Q357" s="686"/>
      <c r="R357" s="686"/>
      <c r="S357" s="686"/>
      <c r="T357" s="686"/>
      <c r="U357" s="686"/>
      <c r="V357" s="686"/>
      <c r="W357" s="686"/>
      <c r="X357" s="686"/>
      <c r="Y357" s="686"/>
      <c r="Z357" s="686"/>
    </row>
    <row r="358" customFormat="false" ht="12.75" hidden="false" customHeight="false" outlineLevel="1" collapsed="false">
      <c r="A358" s="395"/>
      <c r="B358" s="395"/>
      <c r="C358" s="395"/>
      <c r="D358" s="395"/>
      <c r="E358" s="686"/>
      <c r="F358" s="686"/>
      <c r="G358" s="686"/>
      <c r="H358" s="686"/>
      <c r="I358" s="686"/>
      <c r="J358" s="686"/>
      <c r="K358" s="686"/>
      <c r="L358" s="686"/>
      <c r="M358" s="686"/>
      <c r="N358" s="686"/>
      <c r="O358" s="686"/>
      <c r="P358" s="686"/>
      <c r="Q358" s="686"/>
      <c r="R358" s="686"/>
      <c r="S358" s="686"/>
      <c r="T358" s="686"/>
      <c r="U358" s="686"/>
      <c r="V358" s="686"/>
      <c r="W358" s="686"/>
      <c r="X358" s="686"/>
      <c r="Y358" s="686"/>
      <c r="Z358" s="686"/>
    </row>
    <row r="359" customFormat="false" ht="12.75" hidden="false" customHeight="false" outlineLevel="1" collapsed="false">
      <c r="A359" s="685"/>
      <c r="B359" s="687"/>
      <c r="C359" s="687"/>
      <c r="D359" s="687"/>
      <c r="E359" s="686"/>
      <c r="F359" s="686"/>
      <c r="G359" s="686"/>
      <c r="H359" s="686"/>
      <c r="I359" s="686"/>
      <c r="J359" s="686"/>
      <c r="K359" s="686"/>
      <c r="L359" s="686"/>
      <c r="M359" s="686"/>
      <c r="N359" s="686"/>
      <c r="O359" s="686"/>
      <c r="P359" s="686"/>
      <c r="Q359" s="686"/>
      <c r="R359" s="686"/>
      <c r="S359" s="686"/>
      <c r="T359" s="686"/>
      <c r="U359" s="686"/>
      <c r="V359" s="686"/>
      <c r="W359" s="686"/>
      <c r="X359" s="686"/>
      <c r="Y359" s="686"/>
      <c r="Z359" s="686"/>
    </row>
    <row r="360" customFormat="false" ht="12.75" hidden="false" customHeight="false" outlineLevel="1" collapsed="false">
      <c r="A360" s="395"/>
      <c r="B360" s="395"/>
      <c r="C360" s="395"/>
      <c r="D360" s="395"/>
      <c r="E360" s="686"/>
      <c r="F360" s="686"/>
      <c r="G360" s="686"/>
      <c r="H360" s="686"/>
      <c r="I360" s="686"/>
      <c r="J360" s="686"/>
      <c r="K360" s="686"/>
      <c r="L360" s="686"/>
      <c r="M360" s="686"/>
      <c r="N360" s="686"/>
      <c r="O360" s="686"/>
      <c r="P360" s="686"/>
      <c r="Q360" s="686"/>
      <c r="R360" s="686"/>
      <c r="S360" s="686"/>
      <c r="T360" s="686"/>
      <c r="U360" s="686"/>
      <c r="V360" s="686"/>
      <c r="W360" s="686"/>
      <c r="X360" s="686"/>
      <c r="Y360" s="686"/>
      <c r="Z360" s="686"/>
    </row>
    <row r="361" customFormat="false" ht="12.75" hidden="false" customHeight="false" outlineLevel="1" collapsed="false">
      <c r="A361" s="70"/>
      <c r="B361" s="70"/>
      <c r="C361" s="70"/>
      <c r="D361" s="70"/>
      <c r="E361" s="686"/>
      <c r="F361" s="686"/>
      <c r="G361" s="686"/>
      <c r="H361" s="686"/>
      <c r="I361" s="686"/>
      <c r="J361" s="686"/>
      <c r="K361" s="686"/>
      <c r="L361" s="686"/>
      <c r="M361" s="686"/>
      <c r="N361" s="686"/>
      <c r="O361" s="686"/>
      <c r="P361" s="686"/>
      <c r="Q361" s="686"/>
      <c r="R361" s="686"/>
      <c r="S361" s="686"/>
      <c r="T361" s="686"/>
      <c r="U361" s="686"/>
      <c r="V361" s="686"/>
      <c r="W361" s="686"/>
      <c r="X361" s="686"/>
      <c r="Y361" s="686"/>
      <c r="Z361" s="686"/>
    </row>
    <row r="362" customFormat="false" ht="12.75" hidden="false" customHeight="false" outlineLevel="1" collapsed="false">
      <c r="A362" s="395"/>
      <c r="B362" s="395"/>
      <c r="C362" s="395"/>
      <c r="D362" s="395"/>
      <c r="E362" s="686"/>
      <c r="F362" s="686"/>
      <c r="G362" s="686"/>
      <c r="H362" s="686"/>
      <c r="I362" s="686"/>
      <c r="J362" s="686"/>
      <c r="K362" s="686"/>
      <c r="L362" s="686"/>
      <c r="M362" s="686"/>
      <c r="N362" s="686"/>
      <c r="O362" s="686"/>
      <c r="P362" s="686"/>
      <c r="Q362" s="686"/>
      <c r="R362" s="686"/>
      <c r="S362" s="686"/>
      <c r="T362" s="686"/>
      <c r="U362" s="686"/>
      <c r="V362" s="686"/>
      <c r="W362" s="686"/>
      <c r="X362" s="686"/>
      <c r="Y362" s="686"/>
      <c r="Z362" s="686"/>
    </row>
    <row r="363" customFormat="false" ht="12.75" hidden="false" customHeight="false" outlineLevel="1" collapsed="false">
      <c r="A363" s="685"/>
      <c r="B363" s="685"/>
      <c r="C363" s="685"/>
      <c r="D363" s="685"/>
      <c r="E363" s="686"/>
      <c r="F363" s="686"/>
      <c r="G363" s="686"/>
      <c r="H363" s="686"/>
      <c r="I363" s="686"/>
      <c r="J363" s="686"/>
      <c r="K363" s="686"/>
      <c r="L363" s="686"/>
      <c r="M363" s="686"/>
      <c r="N363" s="686"/>
      <c r="O363" s="686"/>
      <c r="P363" s="686"/>
      <c r="Q363" s="686"/>
      <c r="R363" s="686"/>
      <c r="S363" s="686"/>
      <c r="T363" s="686"/>
      <c r="U363" s="686"/>
      <c r="V363" s="686"/>
      <c r="W363" s="686"/>
      <c r="X363" s="686"/>
      <c r="Y363" s="686"/>
      <c r="Z363" s="686"/>
    </row>
    <row r="364" customFormat="false" ht="12.75" hidden="false" customHeight="false" outlineLevel="1" collapsed="false">
      <c r="A364" s="685"/>
      <c r="B364" s="685"/>
      <c r="C364" s="685"/>
      <c r="D364" s="685"/>
      <c r="E364" s="686"/>
      <c r="F364" s="686"/>
      <c r="G364" s="686"/>
      <c r="H364" s="686"/>
      <c r="I364" s="686"/>
      <c r="J364" s="686"/>
      <c r="K364" s="686"/>
      <c r="L364" s="686"/>
      <c r="M364" s="686"/>
      <c r="N364" s="686"/>
      <c r="O364" s="686"/>
      <c r="P364" s="686"/>
      <c r="Q364" s="686"/>
      <c r="R364" s="686"/>
      <c r="S364" s="686"/>
      <c r="T364" s="686"/>
      <c r="U364" s="686"/>
      <c r="V364" s="686"/>
      <c r="W364" s="686"/>
      <c r="X364" s="686"/>
      <c r="Y364" s="686"/>
      <c r="Z364" s="686"/>
    </row>
    <row r="365" customFormat="false" ht="12.75" hidden="false" customHeight="false" outlineLevel="1" collapsed="false">
      <c r="A365" s="685"/>
      <c r="B365" s="685"/>
      <c r="C365" s="685"/>
      <c r="D365" s="685"/>
      <c r="E365" s="686"/>
      <c r="F365" s="686"/>
      <c r="G365" s="686"/>
      <c r="H365" s="686"/>
      <c r="I365" s="686"/>
      <c r="J365" s="686"/>
      <c r="K365" s="686"/>
      <c r="L365" s="686"/>
      <c r="M365" s="686"/>
      <c r="N365" s="686"/>
      <c r="O365" s="686"/>
      <c r="P365" s="686"/>
      <c r="Q365" s="686"/>
      <c r="R365" s="686"/>
      <c r="S365" s="686"/>
      <c r="T365" s="686"/>
      <c r="U365" s="686"/>
      <c r="V365" s="686"/>
      <c r="W365" s="686"/>
      <c r="X365" s="686"/>
      <c r="Y365" s="686"/>
      <c r="Z365" s="686"/>
    </row>
    <row r="366" customFormat="false" ht="12.75" hidden="false" customHeight="false" outlineLevel="1" collapsed="false">
      <c r="A366" s="685"/>
      <c r="B366" s="70"/>
      <c r="C366" s="70"/>
      <c r="D366" s="70"/>
      <c r="E366" s="686"/>
      <c r="F366" s="686"/>
      <c r="G366" s="686"/>
      <c r="H366" s="686"/>
      <c r="I366" s="686"/>
      <c r="J366" s="686"/>
      <c r="K366" s="686"/>
      <c r="L366" s="686"/>
      <c r="M366" s="686"/>
      <c r="N366" s="686"/>
      <c r="O366" s="686"/>
      <c r="P366" s="686"/>
      <c r="Q366" s="686"/>
      <c r="R366" s="686"/>
      <c r="S366" s="686"/>
      <c r="T366" s="686"/>
      <c r="U366" s="686"/>
      <c r="V366" s="686"/>
      <c r="W366" s="686"/>
      <c r="X366" s="686"/>
      <c r="Y366" s="686"/>
      <c r="Z366" s="686"/>
    </row>
    <row r="367" customFormat="false" ht="12.75" hidden="false" customHeight="false" outlineLevel="1" collapsed="false">
      <c r="A367" s="395"/>
      <c r="B367" s="395"/>
      <c r="C367" s="395"/>
      <c r="D367" s="395"/>
      <c r="E367" s="686"/>
      <c r="F367" s="686"/>
      <c r="G367" s="686"/>
      <c r="H367" s="686"/>
      <c r="I367" s="686"/>
      <c r="J367" s="686"/>
      <c r="K367" s="686"/>
      <c r="L367" s="686"/>
      <c r="M367" s="686"/>
      <c r="N367" s="686"/>
      <c r="O367" s="686"/>
      <c r="P367" s="686"/>
      <c r="Q367" s="686"/>
      <c r="R367" s="686"/>
      <c r="S367" s="686"/>
      <c r="T367" s="686"/>
      <c r="U367" s="686"/>
      <c r="V367" s="686"/>
      <c r="W367" s="686"/>
      <c r="X367" s="686"/>
      <c r="Y367" s="686"/>
      <c r="Z367" s="686"/>
    </row>
    <row r="368" customFormat="false" ht="12.75" hidden="false" customHeight="false" outlineLevel="1" collapsed="false">
      <c r="A368" s="395"/>
      <c r="B368" s="395"/>
      <c r="C368" s="395"/>
      <c r="D368" s="395"/>
      <c r="E368" s="686"/>
      <c r="F368" s="686"/>
      <c r="G368" s="686"/>
      <c r="H368" s="686"/>
      <c r="I368" s="686"/>
      <c r="J368" s="686"/>
      <c r="K368" s="686"/>
      <c r="L368" s="686"/>
      <c r="M368" s="686"/>
      <c r="N368" s="686"/>
      <c r="O368" s="686"/>
      <c r="P368" s="686"/>
      <c r="Q368" s="686"/>
      <c r="R368" s="686"/>
      <c r="S368" s="686"/>
      <c r="T368" s="686"/>
      <c r="U368" s="686"/>
      <c r="V368" s="686"/>
      <c r="W368" s="686"/>
      <c r="X368" s="686"/>
      <c r="Y368" s="686"/>
      <c r="Z368" s="686"/>
    </row>
    <row r="369" customFormat="false" ht="12.75" hidden="false" customHeight="false" outlineLevel="1" collapsed="false">
      <c r="A369" s="685"/>
      <c r="B369" s="395"/>
      <c r="C369" s="395"/>
      <c r="D369" s="395"/>
      <c r="E369" s="686"/>
      <c r="F369" s="686"/>
      <c r="G369" s="686"/>
      <c r="H369" s="686"/>
      <c r="I369" s="686"/>
      <c r="J369" s="686"/>
      <c r="K369" s="686"/>
      <c r="L369" s="686"/>
      <c r="M369" s="686"/>
      <c r="N369" s="686"/>
      <c r="O369" s="686"/>
      <c r="P369" s="686"/>
      <c r="Q369" s="686"/>
      <c r="R369" s="686"/>
      <c r="S369" s="686"/>
      <c r="T369" s="686"/>
      <c r="U369" s="686"/>
      <c r="V369" s="686"/>
      <c r="W369" s="686"/>
      <c r="X369" s="686"/>
      <c r="Y369" s="686"/>
      <c r="Z369" s="686"/>
    </row>
    <row r="370" customFormat="false" ht="12.75" hidden="false" customHeight="false" outlineLevel="1" collapsed="false">
      <c r="A370" s="685"/>
      <c r="B370" s="395"/>
      <c r="C370" s="395"/>
      <c r="D370" s="395"/>
      <c r="E370" s="686"/>
      <c r="F370" s="686"/>
      <c r="G370" s="686"/>
      <c r="H370" s="686"/>
      <c r="I370" s="686"/>
      <c r="J370" s="686"/>
      <c r="K370" s="686"/>
      <c r="L370" s="686"/>
      <c r="M370" s="686"/>
      <c r="N370" s="686"/>
      <c r="O370" s="686"/>
      <c r="P370" s="686"/>
      <c r="Q370" s="686"/>
      <c r="R370" s="686"/>
      <c r="S370" s="686"/>
      <c r="T370" s="686"/>
      <c r="U370" s="686"/>
      <c r="V370" s="686"/>
      <c r="W370" s="686"/>
      <c r="X370" s="686"/>
      <c r="Y370" s="686"/>
      <c r="Z370" s="686"/>
    </row>
    <row r="371" customFormat="false" ht="12.75" hidden="false" customHeight="false" outlineLevel="1" collapsed="false">
      <c r="A371" s="685"/>
      <c r="B371" s="395"/>
      <c r="C371" s="395"/>
      <c r="D371" s="395"/>
      <c r="E371" s="686"/>
      <c r="F371" s="686"/>
      <c r="G371" s="686"/>
      <c r="H371" s="686"/>
      <c r="I371" s="686"/>
      <c r="J371" s="686"/>
      <c r="K371" s="686"/>
      <c r="L371" s="686"/>
      <c r="M371" s="686"/>
      <c r="N371" s="686"/>
      <c r="O371" s="686"/>
      <c r="P371" s="686"/>
      <c r="Q371" s="686"/>
      <c r="R371" s="686"/>
      <c r="S371" s="686"/>
      <c r="T371" s="686"/>
      <c r="U371" s="686"/>
      <c r="V371" s="686"/>
      <c r="W371" s="686"/>
      <c r="X371" s="686"/>
      <c r="Y371" s="686"/>
      <c r="Z371" s="686"/>
    </row>
    <row r="372" customFormat="false" ht="12.75" hidden="false" customHeight="false" outlineLevel="1" collapsed="false">
      <c r="A372" s="685"/>
      <c r="B372" s="395"/>
      <c r="C372" s="395"/>
      <c r="D372" s="395"/>
      <c r="E372" s="686"/>
      <c r="F372" s="686"/>
      <c r="G372" s="686"/>
      <c r="H372" s="686"/>
      <c r="I372" s="686"/>
      <c r="J372" s="686"/>
      <c r="K372" s="686"/>
      <c r="L372" s="686"/>
      <c r="M372" s="686"/>
      <c r="N372" s="686"/>
      <c r="O372" s="686"/>
      <c r="P372" s="686"/>
      <c r="Q372" s="686"/>
      <c r="R372" s="686"/>
      <c r="S372" s="686"/>
      <c r="T372" s="686"/>
      <c r="U372" s="686"/>
      <c r="V372" s="686"/>
      <c r="W372" s="686"/>
      <c r="X372" s="686"/>
      <c r="Y372" s="686"/>
      <c r="Z372" s="686"/>
    </row>
    <row r="373" customFormat="false" ht="12.75" hidden="false" customHeight="false" outlineLevel="1" collapsed="false">
      <c r="A373" s="685"/>
      <c r="B373" s="395"/>
      <c r="C373" s="395"/>
      <c r="D373" s="395"/>
      <c r="E373" s="686"/>
      <c r="F373" s="686"/>
      <c r="G373" s="686"/>
      <c r="H373" s="686"/>
      <c r="I373" s="686"/>
      <c r="J373" s="686"/>
      <c r="K373" s="686"/>
      <c r="L373" s="686"/>
      <c r="M373" s="686"/>
      <c r="N373" s="686"/>
      <c r="O373" s="686"/>
      <c r="P373" s="686"/>
      <c r="Q373" s="686"/>
      <c r="R373" s="686"/>
      <c r="S373" s="686"/>
      <c r="T373" s="686"/>
      <c r="U373" s="686"/>
      <c r="V373" s="686"/>
      <c r="W373" s="686"/>
      <c r="X373" s="686"/>
      <c r="Y373" s="686"/>
      <c r="Z373" s="686"/>
    </row>
    <row r="374" customFormat="false" ht="12.75" hidden="false" customHeight="false" outlineLevel="1" collapsed="false">
      <c r="A374" s="322"/>
      <c r="B374" s="687"/>
      <c r="C374" s="687"/>
      <c r="D374" s="687"/>
      <c r="E374" s="686"/>
      <c r="F374" s="686"/>
      <c r="G374" s="686"/>
      <c r="H374" s="686"/>
      <c r="I374" s="686"/>
      <c r="J374" s="686"/>
      <c r="K374" s="686"/>
      <c r="L374" s="686"/>
      <c r="M374" s="686"/>
      <c r="N374" s="686"/>
      <c r="O374" s="686"/>
      <c r="P374" s="686"/>
      <c r="Q374" s="686"/>
      <c r="R374" s="686"/>
      <c r="S374" s="686"/>
      <c r="T374" s="686"/>
      <c r="U374" s="686"/>
      <c r="V374" s="686"/>
      <c r="W374" s="686"/>
      <c r="X374" s="686"/>
      <c r="Y374" s="686"/>
      <c r="Z374" s="686"/>
    </row>
    <row r="375" customFormat="false" ht="12.75" hidden="false" customHeight="false" outlineLevel="1" collapsed="false">
      <c r="A375" s="395"/>
      <c r="B375" s="395"/>
      <c r="C375" s="395"/>
      <c r="D375" s="395"/>
      <c r="E375" s="686"/>
      <c r="F375" s="686"/>
      <c r="G375" s="686"/>
      <c r="H375" s="686"/>
      <c r="I375" s="686"/>
      <c r="J375" s="686"/>
      <c r="K375" s="686"/>
      <c r="L375" s="686"/>
      <c r="M375" s="686"/>
      <c r="N375" s="686"/>
      <c r="O375" s="686"/>
      <c r="P375" s="686"/>
      <c r="Q375" s="686"/>
      <c r="R375" s="686"/>
      <c r="S375" s="686"/>
      <c r="T375" s="686"/>
      <c r="U375" s="686"/>
      <c r="V375" s="686"/>
      <c r="W375" s="686"/>
      <c r="X375" s="686"/>
      <c r="Y375" s="686"/>
      <c r="Z375" s="686"/>
    </row>
    <row r="376" customFormat="false" ht="12.75" hidden="false" customHeight="false" outlineLevel="1" collapsed="false">
      <c r="A376" s="70"/>
      <c r="B376" s="70"/>
      <c r="C376" s="70"/>
      <c r="D376" s="70"/>
      <c r="E376" s="686"/>
      <c r="F376" s="686"/>
      <c r="G376" s="686"/>
      <c r="H376" s="686"/>
      <c r="I376" s="686"/>
      <c r="J376" s="686"/>
      <c r="K376" s="686"/>
      <c r="L376" s="686"/>
      <c r="M376" s="686"/>
      <c r="N376" s="686"/>
      <c r="O376" s="686"/>
      <c r="P376" s="686"/>
      <c r="Q376" s="686"/>
      <c r="R376" s="686"/>
      <c r="S376" s="686"/>
      <c r="T376" s="686"/>
      <c r="U376" s="686"/>
      <c r="V376" s="686"/>
      <c r="W376" s="686"/>
      <c r="X376" s="686"/>
      <c r="Y376" s="686"/>
      <c r="Z376" s="686"/>
    </row>
    <row r="377" customFormat="false" ht="12.75" hidden="false" customHeight="false" outlineLevel="1" collapsed="false">
      <c r="A377" s="395"/>
      <c r="B377" s="684"/>
      <c r="C377" s="684"/>
      <c r="D377" s="684"/>
      <c r="E377" s="686"/>
      <c r="F377" s="686"/>
      <c r="G377" s="686"/>
      <c r="H377" s="686"/>
      <c r="I377" s="686"/>
      <c r="J377" s="686"/>
      <c r="K377" s="686"/>
      <c r="L377" s="686"/>
      <c r="M377" s="686"/>
      <c r="N377" s="686"/>
      <c r="O377" s="686"/>
      <c r="P377" s="686"/>
      <c r="Q377" s="686"/>
      <c r="R377" s="686"/>
      <c r="S377" s="686"/>
      <c r="T377" s="686"/>
      <c r="U377" s="686"/>
      <c r="V377" s="686"/>
      <c r="W377" s="686"/>
      <c r="X377" s="686"/>
      <c r="Y377" s="686"/>
      <c r="Z377" s="686"/>
    </row>
    <row r="378" customFormat="false" ht="12.75" hidden="false" customHeight="false" outlineLevel="1" collapsed="false">
      <c r="A378" s="395"/>
      <c r="B378" s="684"/>
      <c r="C378" s="684"/>
      <c r="D378" s="684"/>
      <c r="E378" s="686"/>
      <c r="F378" s="686"/>
      <c r="G378" s="686"/>
      <c r="H378" s="686"/>
      <c r="I378" s="686"/>
      <c r="J378" s="686"/>
      <c r="K378" s="686"/>
      <c r="L378" s="686"/>
      <c r="M378" s="686"/>
      <c r="N378" s="686"/>
      <c r="O378" s="686"/>
      <c r="P378" s="686"/>
      <c r="Q378" s="686"/>
      <c r="R378" s="686"/>
      <c r="S378" s="686"/>
      <c r="T378" s="686"/>
      <c r="U378" s="686"/>
      <c r="V378" s="686"/>
      <c r="W378" s="686"/>
      <c r="X378" s="686"/>
      <c r="Y378" s="686"/>
      <c r="Z378" s="686"/>
    </row>
    <row r="379" customFormat="false" ht="12.75" hidden="false" customHeight="false" outlineLevel="1" collapsed="false">
      <c r="A379" s="395"/>
      <c r="B379" s="684"/>
      <c r="C379" s="684"/>
      <c r="D379" s="684"/>
      <c r="E379" s="686"/>
      <c r="F379" s="686"/>
      <c r="G379" s="686"/>
      <c r="H379" s="686"/>
      <c r="I379" s="686"/>
      <c r="J379" s="686"/>
      <c r="K379" s="686"/>
      <c r="L379" s="686"/>
      <c r="M379" s="686"/>
      <c r="N379" s="686"/>
      <c r="O379" s="686"/>
      <c r="P379" s="686"/>
      <c r="Q379" s="686"/>
      <c r="R379" s="686"/>
      <c r="S379" s="686"/>
      <c r="T379" s="686"/>
      <c r="U379" s="686"/>
      <c r="V379" s="686"/>
      <c r="W379" s="686"/>
      <c r="X379" s="686"/>
      <c r="Y379" s="686"/>
      <c r="Z379" s="686"/>
    </row>
    <row r="380" customFormat="false" ht="12.75" hidden="false" customHeight="false" outlineLevel="1" collapsed="false">
      <c r="A380" s="70"/>
      <c r="B380" s="70"/>
      <c r="C380" s="70"/>
      <c r="D380" s="70"/>
      <c r="E380" s="70"/>
      <c r="F380" s="70"/>
      <c r="G380" s="70"/>
      <c r="H380" s="70"/>
      <c r="I380" s="70"/>
      <c r="J380" s="70"/>
      <c r="K380" s="70"/>
      <c r="L380" s="70"/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70"/>
      <c r="X380" s="70"/>
      <c r="Y380" s="70"/>
      <c r="Z380" s="70"/>
    </row>
    <row r="381" customFormat="false" ht="12.75" hidden="false" customHeight="false" outlineLevel="1" collapsed="false">
      <c r="A381" s="70"/>
      <c r="B381" s="70"/>
      <c r="C381" s="70"/>
      <c r="D381" s="70"/>
      <c r="E381" s="70"/>
      <c r="F381" s="70"/>
      <c r="G381" s="70"/>
      <c r="H381" s="70"/>
      <c r="I381" s="70"/>
      <c r="J381" s="70"/>
      <c r="K381" s="70"/>
      <c r="L381" s="70"/>
      <c r="M381" s="70"/>
      <c r="N381" s="70"/>
      <c r="O381" s="70"/>
      <c r="P381" s="70"/>
      <c r="Q381" s="70"/>
      <c r="R381" s="70"/>
      <c r="S381" s="70"/>
      <c r="T381" s="70"/>
      <c r="U381" s="70"/>
      <c r="V381" s="70"/>
      <c r="W381" s="70"/>
      <c r="X381" s="70"/>
      <c r="Y381" s="70"/>
      <c r="Z381" s="70"/>
    </row>
    <row r="382" customFormat="false" ht="18.75" hidden="false" customHeight="false" outlineLevel="1" collapsed="false">
      <c r="A382" s="683"/>
      <c r="B382" s="683"/>
      <c r="C382" s="683"/>
      <c r="D382" s="683"/>
      <c r="E382" s="70"/>
      <c r="F382" s="70"/>
      <c r="G382" s="70"/>
      <c r="H382" s="70"/>
      <c r="I382" s="70"/>
      <c r="J382" s="70"/>
      <c r="K382" s="70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  <c r="Y382" s="70"/>
      <c r="Z382" s="70"/>
    </row>
    <row r="383" customFormat="false" ht="12.75" hidden="false" customHeight="false" outlineLevel="1" collapsed="false">
      <c r="A383" s="395"/>
      <c r="B383" s="395"/>
      <c r="C383" s="395"/>
      <c r="D383" s="395"/>
      <c r="E383" s="70"/>
      <c r="F383" s="70"/>
      <c r="G383" s="70"/>
      <c r="H383" s="70"/>
      <c r="I383" s="70"/>
      <c r="J383" s="70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  <c r="Z383" s="70"/>
    </row>
    <row r="384" customFormat="false" ht="12.75" hidden="false" customHeight="false" outlineLevel="1" collapsed="false">
      <c r="A384" s="395"/>
      <c r="B384" s="684"/>
      <c r="C384" s="684"/>
      <c r="D384" s="684"/>
      <c r="E384" s="70"/>
      <c r="F384" s="70"/>
      <c r="G384" s="70"/>
      <c r="H384" s="70"/>
      <c r="I384" s="70"/>
      <c r="J384" s="70"/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  <c r="Z384" s="70"/>
    </row>
    <row r="385" customFormat="false" ht="12.75" hidden="false" customHeight="false" outlineLevel="1" collapsed="false">
      <c r="A385" s="70"/>
      <c r="B385" s="70"/>
      <c r="C385" s="70"/>
      <c r="D385" s="70"/>
      <c r="E385" s="70"/>
      <c r="F385" s="70"/>
      <c r="G385" s="70"/>
      <c r="H385" s="70"/>
      <c r="I385" s="70"/>
      <c r="J385" s="70"/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  <c r="Z385" s="70"/>
    </row>
    <row r="386" customFormat="false" ht="12.75" hidden="false" customHeight="false" outlineLevel="1" collapsed="false">
      <c r="A386" s="322"/>
      <c r="B386" s="321"/>
      <c r="C386" s="321"/>
      <c r="D386" s="321"/>
      <c r="E386" s="321"/>
      <c r="F386" s="321"/>
      <c r="G386" s="321"/>
      <c r="H386" s="321"/>
      <c r="I386" s="321"/>
      <c r="J386" s="321"/>
      <c r="K386" s="321"/>
      <c r="L386" s="321"/>
      <c r="M386" s="321"/>
      <c r="N386" s="321"/>
      <c r="O386" s="321"/>
      <c r="P386" s="321"/>
      <c r="Q386" s="321"/>
      <c r="R386" s="321"/>
      <c r="S386" s="321"/>
      <c r="T386" s="70"/>
      <c r="U386" s="70"/>
      <c r="V386" s="70"/>
      <c r="W386" s="70"/>
      <c r="X386" s="70"/>
      <c r="Y386" s="70"/>
      <c r="Z386" s="70"/>
    </row>
    <row r="387" customFormat="false" ht="12.75" hidden="false" customHeight="false" outlineLevel="1" collapsed="false">
      <c r="A387" s="395"/>
      <c r="B387" s="395"/>
      <c r="C387" s="395"/>
      <c r="D387" s="395"/>
      <c r="E387" s="395"/>
      <c r="F387" s="70"/>
      <c r="G387" s="70"/>
      <c r="H387" s="70"/>
      <c r="I387" s="70"/>
      <c r="J387" s="70"/>
      <c r="K387" s="70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  <c r="Y387" s="70"/>
      <c r="Z387" s="70"/>
    </row>
    <row r="388" customFormat="false" ht="12.75" hidden="false" customHeight="false" outlineLevel="1" collapsed="false">
      <c r="A388" s="685"/>
      <c r="B388" s="395"/>
      <c r="C388" s="395"/>
      <c r="D388" s="395"/>
      <c r="E388" s="395"/>
      <c r="F388" s="701"/>
      <c r="G388" s="701"/>
      <c r="H388" s="701"/>
      <c r="I388" s="701"/>
      <c r="J388" s="701"/>
      <c r="K388" s="701"/>
      <c r="L388" s="701"/>
      <c r="M388" s="701"/>
      <c r="N388" s="701"/>
      <c r="O388" s="701"/>
      <c r="P388" s="701"/>
      <c r="Q388" s="701"/>
      <c r="R388" s="701"/>
      <c r="S388" s="701"/>
      <c r="T388" s="70"/>
      <c r="U388" s="70"/>
      <c r="V388" s="70"/>
      <c r="W388" s="70"/>
      <c r="X388" s="70"/>
      <c r="Y388" s="70"/>
      <c r="Z388" s="70"/>
    </row>
    <row r="389" customFormat="false" ht="12.75" hidden="false" customHeight="false" outlineLevel="1" collapsed="false">
      <c r="A389" s="685"/>
      <c r="B389" s="395"/>
      <c r="C389" s="395"/>
      <c r="D389" s="395"/>
      <c r="E389" s="395"/>
      <c r="F389" s="701"/>
      <c r="G389" s="701"/>
      <c r="H389" s="701"/>
      <c r="I389" s="701"/>
      <c r="J389" s="701"/>
      <c r="K389" s="701"/>
      <c r="L389" s="701"/>
      <c r="M389" s="701"/>
      <c r="N389" s="701"/>
      <c r="O389" s="701"/>
      <c r="P389" s="701"/>
      <c r="Q389" s="701"/>
      <c r="R389" s="701"/>
      <c r="S389" s="701"/>
      <c r="T389" s="70"/>
      <c r="U389" s="70"/>
      <c r="V389" s="70"/>
      <c r="W389" s="70"/>
      <c r="X389" s="70"/>
      <c r="Y389" s="70"/>
      <c r="Z389" s="70"/>
    </row>
    <row r="390" customFormat="false" ht="12.75" hidden="false" customHeight="false" outlineLevel="1" collapsed="false">
      <c r="A390" s="685"/>
      <c r="B390" s="685"/>
      <c r="C390" s="685"/>
      <c r="D390" s="685"/>
      <c r="E390" s="685"/>
      <c r="F390" s="701"/>
      <c r="G390" s="701"/>
      <c r="H390" s="701"/>
      <c r="I390" s="701"/>
      <c r="J390" s="701"/>
      <c r="K390" s="701"/>
      <c r="L390" s="701"/>
      <c r="M390" s="701"/>
      <c r="N390" s="701"/>
      <c r="O390" s="701"/>
      <c r="P390" s="701"/>
      <c r="Q390" s="701"/>
      <c r="R390" s="701"/>
      <c r="S390" s="701"/>
      <c r="T390" s="70"/>
      <c r="U390" s="70"/>
      <c r="V390" s="70"/>
      <c r="W390" s="70"/>
      <c r="X390" s="70"/>
      <c r="Y390" s="70"/>
      <c r="Z390" s="70"/>
    </row>
    <row r="391" customFormat="false" ht="12.75" hidden="false" customHeight="false" outlineLevel="1" collapsed="false">
      <c r="A391" s="685"/>
      <c r="B391" s="685"/>
      <c r="C391" s="685"/>
      <c r="D391" s="685"/>
      <c r="E391" s="685"/>
      <c r="F391" s="701"/>
      <c r="G391" s="701"/>
      <c r="H391" s="701"/>
      <c r="I391" s="701"/>
      <c r="J391" s="701"/>
      <c r="K391" s="701"/>
      <c r="L391" s="701"/>
      <c r="M391" s="701"/>
      <c r="N391" s="701"/>
      <c r="O391" s="701"/>
      <c r="P391" s="701"/>
      <c r="Q391" s="701"/>
      <c r="R391" s="701"/>
      <c r="S391" s="701"/>
      <c r="T391" s="70"/>
      <c r="U391" s="70"/>
      <c r="V391" s="70"/>
      <c r="W391" s="70"/>
      <c r="X391" s="70"/>
      <c r="Y391" s="70"/>
      <c r="Z391" s="70"/>
    </row>
    <row r="392" customFormat="false" ht="12.75" hidden="false" customHeight="false" outlineLevel="1" collapsed="false">
      <c r="A392" s="685"/>
      <c r="B392" s="322"/>
      <c r="C392" s="322"/>
      <c r="D392" s="322"/>
      <c r="E392" s="322"/>
      <c r="F392" s="701"/>
      <c r="G392" s="701"/>
      <c r="H392" s="701"/>
      <c r="I392" s="701"/>
      <c r="J392" s="701"/>
      <c r="K392" s="701"/>
      <c r="L392" s="701"/>
      <c r="M392" s="701"/>
      <c r="N392" s="701"/>
      <c r="O392" s="701"/>
      <c r="P392" s="701"/>
      <c r="Q392" s="701"/>
      <c r="R392" s="701"/>
      <c r="S392" s="701"/>
      <c r="T392" s="70"/>
      <c r="U392" s="70"/>
      <c r="V392" s="70"/>
      <c r="W392" s="70"/>
      <c r="X392" s="70"/>
      <c r="Y392" s="70"/>
      <c r="Z392" s="70"/>
    </row>
    <row r="393" customFormat="false" ht="12.75" hidden="false" customHeight="false" outlineLevel="1" collapsed="false">
      <c r="A393" s="685"/>
      <c r="B393" s="322"/>
      <c r="C393" s="322"/>
      <c r="D393" s="322"/>
      <c r="E393" s="322"/>
      <c r="F393" s="701"/>
      <c r="G393" s="701"/>
      <c r="H393" s="701"/>
      <c r="I393" s="701"/>
      <c r="J393" s="701"/>
      <c r="K393" s="701"/>
      <c r="L393" s="701"/>
      <c r="M393" s="701"/>
      <c r="N393" s="701"/>
      <c r="O393" s="701"/>
      <c r="P393" s="701"/>
      <c r="Q393" s="701"/>
      <c r="R393" s="701"/>
      <c r="S393" s="701"/>
      <c r="T393" s="70"/>
      <c r="U393" s="70"/>
      <c r="V393" s="70"/>
      <c r="W393" s="70"/>
      <c r="X393" s="70"/>
      <c r="Y393" s="70"/>
      <c r="Z393" s="70"/>
    </row>
    <row r="394" customFormat="false" ht="12.75" hidden="false" customHeight="false" outlineLevel="1" collapsed="false">
      <c r="A394" s="395"/>
      <c r="B394" s="395"/>
      <c r="C394" s="395"/>
      <c r="D394" s="395"/>
      <c r="E394" s="395"/>
      <c r="F394" s="701"/>
      <c r="G394" s="701"/>
      <c r="H394" s="701"/>
      <c r="I394" s="701"/>
      <c r="J394" s="701"/>
      <c r="K394" s="701"/>
      <c r="L394" s="701"/>
      <c r="M394" s="701"/>
      <c r="N394" s="701"/>
      <c r="O394" s="701"/>
      <c r="P394" s="701"/>
      <c r="Q394" s="701"/>
      <c r="R394" s="701"/>
      <c r="S394" s="701"/>
      <c r="T394" s="70"/>
      <c r="U394" s="70"/>
      <c r="V394" s="70"/>
      <c r="W394" s="70"/>
      <c r="X394" s="70"/>
      <c r="Y394" s="70"/>
      <c r="Z394" s="70"/>
    </row>
    <row r="395" customFormat="false" ht="12.75" hidden="false" customHeight="false" outlineLevel="1" collapsed="false">
      <c r="A395" s="685"/>
      <c r="B395" s="395"/>
      <c r="C395" s="395"/>
      <c r="D395" s="395"/>
      <c r="E395" s="395"/>
      <c r="F395" s="701"/>
      <c r="G395" s="701"/>
      <c r="H395" s="701"/>
      <c r="I395" s="701"/>
      <c r="J395" s="701"/>
      <c r="K395" s="701"/>
      <c r="L395" s="701"/>
      <c r="M395" s="701"/>
      <c r="N395" s="701"/>
      <c r="O395" s="701"/>
      <c r="P395" s="701"/>
      <c r="Q395" s="701"/>
      <c r="R395" s="701"/>
      <c r="S395" s="701"/>
      <c r="T395" s="70"/>
      <c r="U395" s="70"/>
      <c r="V395" s="70"/>
      <c r="W395" s="70"/>
      <c r="X395" s="70"/>
      <c r="Y395" s="70"/>
      <c r="Z395" s="70"/>
    </row>
    <row r="396" customFormat="false" ht="12.75" hidden="false" customHeight="false" outlineLevel="1" collapsed="false">
      <c r="A396" s="685"/>
      <c r="B396" s="395"/>
      <c r="C396" s="395"/>
      <c r="D396" s="395"/>
      <c r="E396" s="395"/>
      <c r="F396" s="701"/>
      <c r="G396" s="701"/>
      <c r="H396" s="701"/>
      <c r="I396" s="701"/>
      <c r="J396" s="701"/>
      <c r="K396" s="701"/>
      <c r="L396" s="701"/>
      <c r="M396" s="701"/>
      <c r="N396" s="701"/>
      <c r="O396" s="701"/>
      <c r="P396" s="701"/>
      <c r="Q396" s="701"/>
      <c r="R396" s="701"/>
      <c r="S396" s="701"/>
      <c r="T396" s="70"/>
      <c r="U396" s="70"/>
      <c r="V396" s="70"/>
      <c r="W396" s="70"/>
      <c r="X396" s="70"/>
      <c r="Y396" s="70"/>
      <c r="Z396" s="70"/>
    </row>
    <row r="397" customFormat="false" ht="12.75" hidden="false" customHeight="false" outlineLevel="1" collapsed="false">
      <c r="A397" s="685"/>
      <c r="B397" s="395"/>
      <c r="C397" s="395"/>
      <c r="D397" s="395"/>
      <c r="E397" s="395"/>
      <c r="F397" s="701"/>
      <c r="G397" s="701"/>
      <c r="H397" s="701"/>
      <c r="I397" s="701"/>
      <c r="J397" s="701"/>
      <c r="K397" s="701"/>
      <c r="L397" s="701"/>
      <c r="M397" s="701"/>
      <c r="N397" s="701"/>
      <c r="O397" s="701"/>
      <c r="P397" s="701"/>
      <c r="Q397" s="701"/>
      <c r="R397" s="701"/>
      <c r="S397" s="701"/>
      <c r="T397" s="70"/>
      <c r="U397" s="70"/>
      <c r="V397" s="70"/>
      <c r="W397" s="70"/>
      <c r="X397" s="70"/>
      <c r="Y397" s="70"/>
      <c r="Z397" s="70"/>
    </row>
    <row r="398" customFormat="false" ht="12.75" hidden="false" customHeight="false" outlineLevel="1" collapsed="false">
      <c r="A398" s="685"/>
      <c r="B398" s="395"/>
      <c r="C398" s="395"/>
      <c r="D398" s="395"/>
      <c r="E398" s="395"/>
      <c r="F398" s="701"/>
      <c r="G398" s="701"/>
      <c r="H398" s="701"/>
      <c r="I398" s="701"/>
      <c r="J398" s="701"/>
      <c r="K398" s="701"/>
      <c r="L398" s="701"/>
      <c r="M398" s="701"/>
      <c r="N398" s="701"/>
      <c r="O398" s="701"/>
      <c r="P398" s="701"/>
      <c r="Q398" s="701"/>
      <c r="R398" s="701"/>
      <c r="S398" s="701"/>
      <c r="T398" s="70"/>
      <c r="U398" s="70"/>
      <c r="V398" s="70"/>
      <c r="W398" s="70"/>
      <c r="X398" s="70"/>
      <c r="Y398" s="70"/>
      <c r="Z398" s="70"/>
    </row>
    <row r="399" customFormat="false" ht="12.75" hidden="false" customHeight="false" outlineLevel="1" collapsed="false">
      <c r="A399" s="685"/>
      <c r="B399" s="395"/>
      <c r="C399" s="395"/>
      <c r="D399" s="395"/>
      <c r="E399" s="395"/>
      <c r="F399" s="701"/>
      <c r="G399" s="701"/>
      <c r="H399" s="701"/>
      <c r="I399" s="701"/>
      <c r="J399" s="701"/>
      <c r="K399" s="701"/>
      <c r="L399" s="701"/>
      <c r="M399" s="701"/>
      <c r="N399" s="701"/>
      <c r="O399" s="701"/>
      <c r="P399" s="701"/>
      <c r="Q399" s="701"/>
      <c r="R399" s="701"/>
      <c r="S399" s="701"/>
      <c r="T399" s="70"/>
      <c r="U399" s="70"/>
      <c r="V399" s="70"/>
      <c r="W399" s="70"/>
      <c r="X399" s="70"/>
      <c r="Y399" s="70"/>
      <c r="Z399" s="70"/>
    </row>
    <row r="400" customFormat="false" ht="12.75" hidden="false" customHeight="false" outlineLevel="1" collapsed="false">
      <c r="A400" s="685"/>
      <c r="B400" s="395"/>
      <c r="C400" s="395"/>
      <c r="D400" s="395"/>
      <c r="E400" s="395"/>
      <c r="F400" s="701"/>
      <c r="G400" s="701"/>
      <c r="H400" s="701"/>
      <c r="I400" s="701"/>
      <c r="J400" s="701"/>
      <c r="K400" s="701"/>
      <c r="L400" s="701"/>
      <c r="M400" s="701"/>
      <c r="N400" s="701"/>
      <c r="O400" s="701"/>
      <c r="P400" s="701"/>
      <c r="Q400" s="701"/>
      <c r="R400" s="701"/>
      <c r="S400" s="701"/>
      <c r="T400" s="70"/>
      <c r="U400" s="70"/>
      <c r="V400" s="70"/>
      <c r="W400" s="70"/>
      <c r="X400" s="70"/>
      <c r="Y400" s="70"/>
      <c r="Z400" s="70"/>
    </row>
    <row r="401" customFormat="false" ht="12.75" hidden="false" customHeight="false" outlineLevel="1" collapsed="false">
      <c r="A401" s="685"/>
      <c r="B401" s="395"/>
      <c r="C401" s="395"/>
      <c r="D401" s="395"/>
      <c r="E401" s="395"/>
      <c r="F401" s="701"/>
      <c r="G401" s="701"/>
      <c r="H401" s="701"/>
      <c r="I401" s="701"/>
      <c r="J401" s="701"/>
      <c r="K401" s="701"/>
      <c r="L401" s="701"/>
      <c r="M401" s="701"/>
      <c r="N401" s="701"/>
      <c r="O401" s="701"/>
      <c r="P401" s="701"/>
      <c r="Q401" s="701"/>
      <c r="R401" s="701"/>
      <c r="S401" s="701"/>
      <c r="T401" s="70"/>
      <c r="U401" s="70"/>
      <c r="V401" s="70"/>
      <c r="W401" s="70"/>
      <c r="X401" s="70"/>
      <c r="Y401" s="70"/>
      <c r="Z401" s="70"/>
    </row>
    <row r="402" customFormat="false" ht="12.75" hidden="false" customHeight="false" outlineLevel="1" collapsed="false">
      <c r="A402" s="685"/>
      <c r="B402" s="395"/>
      <c r="C402" s="395"/>
      <c r="D402" s="395"/>
      <c r="E402" s="395"/>
      <c r="F402" s="701"/>
      <c r="G402" s="701"/>
      <c r="H402" s="701"/>
      <c r="I402" s="701"/>
      <c r="J402" s="701"/>
      <c r="K402" s="701"/>
      <c r="L402" s="701"/>
      <c r="M402" s="701"/>
      <c r="N402" s="701"/>
      <c r="O402" s="701"/>
      <c r="P402" s="701"/>
      <c r="Q402" s="701"/>
      <c r="R402" s="701"/>
      <c r="S402" s="701"/>
      <c r="T402" s="70"/>
      <c r="U402" s="70"/>
      <c r="V402" s="70"/>
      <c r="W402" s="70"/>
      <c r="X402" s="70"/>
      <c r="Y402" s="70"/>
      <c r="Z402" s="70"/>
    </row>
    <row r="403" customFormat="false" ht="12.75" hidden="false" customHeight="false" outlineLevel="1" collapsed="false">
      <c r="A403" s="685"/>
      <c r="B403" s="395"/>
      <c r="C403" s="395"/>
      <c r="D403" s="395"/>
      <c r="E403" s="395"/>
      <c r="F403" s="701"/>
      <c r="G403" s="701"/>
      <c r="H403" s="701"/>
      <c r="I403" s="701"/>
      <c r="J403" s="701"/>
      <c r="K403" s="701"/>
      <c r="L403" s="701"/>
      <c r="M403" s="701"/>
      <c r="N403" s="701"/>
      <c r="O403" s="701"/>
      <c r="P403" s="701"/>
      <c r="Q403" s="701"/>
      <c r="R403" s="701"/>
      <c r="S403" s="701"/>
      <c r="T403" s="70"/>
      <c r="U403" s="70"/>
      <c r="V403" s="70"/>
      <c r="W403" s="70"/>
      <c r="X403" s="70"/>
      <c r="Y403" s="70"/>
      <c r="Z403" s="70"/>
    </row>
    <row r="404" customFormat="false" ht="12.75" hidden="false" customHeight="false" outlineLevel="1" collapsed="false">
      <c r="A404" s="685"/>
      <c r="B404" s="395"/>
      <c r="C404" s="395"/>
      <c r="D404" s="395"/>
      <c r="E404" s="395"/>
      <c r="F404" s="701"/>
      <c r="G404" s="701"/>
      <c r="H404" s="701"/>
      <c r="I404" s="701"/>
      <c r="J404" s="701"/>
      <c r="K404" s="701"/>
      <c r="L404" s="701"/>
      <c r="M404" s="701"/>
      <c r="N404" s="701"/>
      <c r="O404" s="701"/>
      <c r="P404" s="701"/>
      <c r="Q404" s="701"/>
      <c r="R404" s="701"/>
      <c r="S404" s="701"/>
      <c r="T404" s="70"/>
      <c r="U404" s="70"/>
      <c r="V404" s="70"/>
      <c r="W404" s="70"/>
      <c r="X404" s="70"/>
      <c r="Y404" s="70"/>
      <c r="Z404" s="70"/>
    </row>
    <row r="405" customFormat="false" ht="12.75" hidden="false" customHeight="false" outlineLevel="1" collapsed="false">
      <c r="A405" s="685"/>
      <c r="B405" s="685"/>
      <c r="C405" s="685"/>
      <c r="D405" s="685"/>
      <c r="E405" s="685"/>
      <c r="F405" s="701"/>
      <c r="G405" s="701"/>
      <c r="H405" s="701"/>
      <c r="I405" s="701"/>
      <c r="J405" s="701"/>
      <c r="K405" s="701"/>
      <c r="L405" s="701"/>
      <c r="M405" s="701"/>
      <c r="N405" s="701"/>
      <c r="O405" s="701"/>
      <c r="P405" s="701"/>
      <c r="Q405" s="701"/>
      <c r="R405" s="701"/>
      <c r="S405" s="701"/>
      <c r="T405" s="70"/>
      <c r="U405" s="70"/>
      <c r="V405" s="70"/>
      <c r="W405" s="70"/>
      <c r="X405" s="70"/>
      <c r="Y405" s="70"/>
      <c r="Z405" s="70"/>
    </row>
    <row r="406" customFormat="false" ht="12.75" hidden="false" customHeight="false" outlineLevel="1" collapsed="false">
      <c r="A406" s="685"/>
      <c r="B406" s="685"/>
      <c r="C406" s="685"/>
      <c r="D406" s="685"/>
      <c r="E406" s="685"/>
      <c r="F406" s="701"/>
      <c r="G406" s="701"/>
      <c r="H406" s="701"/>
      <c r="I406" s="701"/>
      <c r="J406" s="701"/>
      <c r="K406" s="701"/>
      <c r="L406" s="701"/>
      <c r="M406" s="701"/>
      <c r="N406" s="701"/>
      <c r="O406" s="701"/>
      <c r="P406" s="701"/>
      <c r="Q406" s="701"/>
      <c r="R406" s="701"/>
      <c r="S406" s="701"/>
      <c r="T406" s="70"/>
      <c r="U406" s="70"/>
      <c r="V406" s="70"/>
      <c r="W406" s="70"/>
      <c r="X406" s="70"/>
      <c r="Y406" s="70"/>
      <c r="Z406" s="70"/>
    </row>
    <row r="407" customFormat="false" ht="12.75" hidden="false" customHeight="false" outlineLevel="1" collapsed="false">
      <c r="A407" s="395"/>
      <c r="B407" s="395"/>
      <c r="C407" s="395"/>
      <c r="D407" s="395"/>
      <c r="E407" s="395"/>
      <c r="F407" s="701"/>
      <c r="G407" s="701"/>
      <c r="H407" s="701"/>
      <c r="I407" s="701"/>
      <c r="J407" s="701"/>
      <c r="K407" s="701"/>
      <c r="L407" s="701"/>
      <c r="M407" s="701"/>
      <c r="N407" s="701"/>
      <c r="O407" s="701"/>
      <c r="P407" s="701"/>
      <c r="Q407" s="701"/>
      <c r="R407" s="701"/>
      <c r="S407" s="701"/>
      <c r="T407" s="70"/>
      <c r="U407" s="70"/>
      <c r="V407" s="70"/>
      <c r="W407" s="70"/>
      <c r="X407" s="70"/>
      <c r="Y407" s="70"/>
      <c r="Z407" s="70"/>
    </row>
    <row r="408" customFormat="false" ht="12.75" hidden="false" customHeight="false" outlineLevel="1" collapsed="false">
      <c r="A408" s="70"/>
      <c r="B408" s="395"/>
      <c r="C408" s="395"/>
      <c r="D408" s="395"/>
      <c r="E408" s="395"/>
      <c r="F408" s="701"/>
      <c r="G408" s="701"/>
      <c r="H408" s="701"/>
      <c r="I408" s="701"/>
      <c r="J408" s="701"/>
      <c r="K408" s="701"/>
      <c r="L408" s="701"/>
      <c r="M408" s="701"/>
      <c r="N408" s="701"/>
      <c r="O408" s="701"/>
      <c r="P408" s="701"/>
      <c r="Q408" s="701"/>
      <c r="R408" s="701"/>
      <c r="S408" s="701"/>
      <c r="T408" s="70"/>
      <c r="U408" s="70"/>
      <c r="V408" s="70"/>
      <c r="W408" s="70"/>
      <c r="X408" s="70"/>
      <c r="Y408" s="70"/>
      <c r="Z408" s="70"/>
    </row>
    <row r="409" customFormat="false" ht="12.75" hidden="false" customHeight="false" outlineLevel="1" collapsed="false">
      <c r="A409" s="685"/>
      <c r="B409" s="685"/>
      <c r="C409" s="685"/>
      <c r="D409" s="685"/>
      <c r="E409" s="685"/>
      <c r="F409" s="701"/>
      <c r="G409" s="701"/>
      <c r="H409" s="701"/>
      <c r="I409" s="701"/>
      <c r="J409" s="701"/>
      <c r="K409" s="701"/>
      <c r="L409" s="701"/>
      <c r="M409" s="701"/>
      <c r="N409" s="701"/>
      <c r="O409" s="701"/>
      <c r="P409" s="701"/>
      <c r="Q409" s="701"/>
      <c r="R409" s="701"/>
      <c r="S409" s="701"/>
      <c r="T409" s="70"/>
      <c r="U409" s="70"/>
      <c r="V409" s="70"/>
      <c r="W409" s="70"/>
      <c r="X409" s="70"/>
      <c r="Y409" s="70"/>
      <c r="Z409" s="70"/>
    </row>
    <row r="410" customFormat="false" ht="12.75" hidden="false" customHeight="false" outlineLevel="1" collapsed="false">
      <c r="A410" s="395"/>
      <c r="B410" s="395"/>
      <c r="C410" s="395"/>
      <c r="D410" s="395"/>
      <c r="E410" s="395"/>
      <c r="F410" s="701"/>
      <c r="G410" s="701"/>
      <c r="H410" s="701"/>
      <c r="I410" s="701"/>
      <c r="J410" s="701"/>
      <c r="K410" s="701"/>
      <c r="L410" s="701"/>
      <c r="M410" s="701"/>
      <c r="N410" s="701"/>
      <c r="O410" s="701"/>
      <c r="P410" s="701"/>
      <c r="Q410" s="701"/>
      <c r="R410" s="701"/>
      <c r="S410" s="701"/>
      <c r="T410" s="70"/>
      <c r="U410" s="70"/>
      <c r="V410" s="70"/>
      <c r="W410" s="70"/>
      <c r="X410" s="70"/>
      <c r="Y410" s="70"/>
      <c r="Z410" s="70"/>
    </row>
    <row r="411" customFormat="false" ht="12.75" hidden="false" customHeight="false" outlineLevel="1" collapsed="false">
      <c r="A411" s="685"/>
      <c r="B411" s="687"/>
      <c r="C411" s="687"/>
      <c r="D411" s="687"/>
      <c r="E411" s="687"/>
      <c r="F411" s="701"/>
      <c r="G411" s="701"/>
      <c r="H411" s="701"/>
      <c r="I411" s="701"/>
      <c r="J411" s="701"/>
      <c r="K411" s="701"/>
      <c r="L411" s="701"/>
      <c r="M411" s="701"/>
      <c r="N411" s="701"/>
      <c r="O411" s="701"/>
      <c r="P411" s="701"/>
      <c r="Q411" s="701"/>
      <c r="R411" s="701"/>
      <c r="S411" s="701"/>
      <c r="T411" s="70"/>
      <c r="U411" s="70"/>
      <c r="V411" s="70"/>
      <c r="W411" s="70"/>
      <c r="X411" s="70"/>
      <c r="Y411" s="70"/>
      <c r="Z411" s="70"/>
    </row>
    <row r="412" customFormat="false" ht="12.75" hidden="false" customHeight="false" outlineLevel="1" collapsed="false">
      <c r="A412" s="395"/>
      <c r="B412" s="395"/>
      <c r="C412" s="395"/>
      <c r="D412" s="395"/>
      <c r="E412" s="395"/>
      <c r="F412" s="701"/>
      <c r="G412" s="701"/>
      <c r="H412" s="701"/>
      <c r="I412" s="701"/>
      <c r="J412" s="701"/>
      <c r="K412" s="701"/>
      <c r="L412" s="701"/>
      <c r="M412" s="701"/>
      <c r="N412" s="701"/>
      <c r="O412" s="701"/>
      <c r="P412" s="701"/>
      <c r="Q412" s="701"/>
      <c r="R412" s="701"/>
      <c r="S412" s="701"/>
      <c r="T412" s="70"/>
      <c r="U412" s="70"/>
      <c r="V412" s="70"/>
      <c r="W412" s="70"/>
      <c r="X412" s="70"/>
      <c r="Y412" s="70"/>
      <c r="Z412" s="70"/>
    </row>
    <row r="413" customFormat="false" ht="12.75" hidden="false" customHeight="false" outlineLevel="1" collapsed="false">
      <c r="A413" s="395"/>
      <c r="B413" s="395"/>
      <c r="C413" s="395"/>
      <c r="D413" s="395"/>
      <c r="E413" s="395"/>
      <c r="F413" s="701"/>
      <c r="G413" s="701"/>
      <c r="H413" s="701"/>
      <c r="I413" s="701"/>
      <c r="J413" s="701"/>
      <c r="K413" s="701"/>
      <c r="L413" s="701"/>
      <c r="M413" s="701"/>
      <c r="N413" s="701"/>
      <c r="O413" s="701"/>
      <c r="P413" s="701"/>
      <c r="Q413" s="701"/>
      <c r="R413" s="701"/>
      <c r="S413" s="701"/>
      <c r="T413" s="70"/>
      <c r="U413" s="70"/>
      <c r="V413" s="70"/>
      <c r="W413" s="70"/>
      <c r="X413" s="70"/>
      <c r="Y413" s="70"/>
      <c r="Z413" s="70"/>
    </row>
    <row r="414" customFormat="false" ht="12.75" hidden="false" customHeight="false" outlineLevel="1" collapsed="false">
      <c r="A414" s="395"/>
      <c r="B414" s="395"/>
      <c r="C414" s="395"/>
      <c r="D414" s="395"/>
      <c r="E414" s="395"/>
      <c r="F414" s="701"/>
      <c r="G414" s="701"/>
      <c r="H414" s="701"/>
      <c r="I414" s="701"/>
      <c r="J414" s="701"/>
      <c r="K414" s="701"/>
      <c r="L414" s="701"/>
      <c r="M414" s="701"/>
      <c r="N414" s="701"/>
      <c r="O414" s="701"/>
      <c r="P414" s="701"/>
      <c r="Q414" s="701"/>
      <c r="R414" s="701"/>
      <c r="S414" s="701"/>
      <c r="T414" s="70"/>
      <c r="U414" s="70"/>
      <c r="V414" s="70"/>
      <c r="W414" s="70"/>
      <c r="X414" s="70"/>
      <c r="Y414" s="70"/>
      <c r="Z414" s="70"/>
    </row>
    <row r="415" customFormat="false" ht="12.75" hidden="false" customHeight="false" outlineLevel="1" collapsed="false">
      <c r="A415" s="395"/>
      <c r="B415" s="684"/>
      <c r="C415" s="684"/>
      <c r="D415" s="684"/>
      <c r="E415" s="684"/>
      <c r="F415" s="701"/>
      <c r="G415" s="701"/>
      <c r="H415" s="701"/>
      <c r="I415" s="701"/>
      <c r="J415" s="701"/>
      <c r="K415" s="701"/>
      <c r="L415" s="701"/>
      <c r="M415" s="701"/>
      <c r="N415" s="701"/>
      <c r="O415" s="701"/>
      <c r="P415" s="701"/>
      <c r="Q415" s="701"/>
      <c r="R415" s="701"/>
      <c r="S415" s="701"/>
      <c r="T415" s="70"/>
      <c r="U415" s="70"/>
      <c r="V415" s="70"/>
      <c r="W415" s="70"/>
      <c r="X415" s="70"/>
      <c r="Y415" s="70"/>
      <c r="Z415" s="70"/>
    </row>
    <row r="416" customFormat="false" ht="12.75" hidden="false" customHeight="false" outlineLevel="1" collapsed="false">
      <c r="A416" s="395"/>
      <c r="B416" s="684"/>
      <c r="C416" s="684"/>
      <c r="D416" s="684"/>
      <c r="E416" s="684"/>
      <c r="F416" s="701"/>
      <c r="G416" s="701"/>
      <c r="H416" s="701"/>
      <c r="I416" s="701"/>
      <c r="J416" s="701"/>
      <c r="K416" s="701"/>
      <c r="L416" s="701"/>
      <c r="M416" s="701"/>
      <c r="N416" s="701"/>
      <c r="O416" s="701"/>
      <c r="P416" s="701"/>
      <c r="Q416" s="701"/>
      <c r="R416" s="701"/>
      <c r="S416" s="701"/>
      <c r="T416" s="70"/>
      <c r="U416" s="70"/>
      <c r="V416" s="70"/>
      <c r="W416" s="70"/>
      <c r="X416" s="70"/>
      <c r="Y416" s="70"/>
      <c r="Z416" s="70"/>
    </row>
    <row r="417" customFormat="false" ht="12.75" hidden="false" customHeight="false" outlineLevel="1" collapsed="false">
      <c r="A417" s="395"/>
      <c r="B417" s="684"/>
      <c r="C417" s="684"/>
      <c r="D417" s="684"/>
      <c r="E417" s="684"/>
      <c r="F417" s="701"/>
      <c r="G417" s="701"/>
      <c r="H417" s="701"/>
      <c r="I417" s="701"/>
      <c r="J417" s="701"/>
      <c r="K417" s="701"/>
      <c r="L417" s="701"/>
      <c r="M417" s="701"/>
      <c r="N417" s="701"/>
      <c r="O417" s="701"/>
      <c r="P417" s="701"/>
      <c r="Q417" s="701"/>
      <c r="R417" s="701"/>
      <c r="S417" s="701"/>
      <c r="T417" s="70"/>
      <c r="U417" s="70"/>
      <c r="V417" s="70"/>
      <c r="W417" s="70"/>
      <c r="X417" s="70"/>
      <c r="Y417" s="70"/>
      <c r="Z417" s="70"/>
    </row>
    <row r="418" customFormat="false" ht="12.75" hidden="false" customHeight="false" outlineLevel="1" collapsed="false">
      <c r="A418" s="395"/>
      <c r="B418" s="684"/>
      <c r="C418" s="684"/>
      <c r="D418" s="684"/>
      <c r="E418" s="684"/>
      <c r="F418" s="701"/>
      <c r="G418" s="701"/>
      <c r="H418" s="701"/>
      <c r="I418" s="701"/>
      <c r="J418" s="701"/>
      <c r="K418" s="701"/>
      <c r="L418" s="701"/>
      <c r="M418" s="701"/>
      <c r="N418" s="701"/>
      <c r="O418" s="701"/>
      <c r="P418" s="701"/>
      <c r="Q418" s="701"/>
      <c r="R418" s="701"/>
      <c r="S418" s="701"/>
      <c r="T418" s="70"/>
      <c r="U418" s="70"/>
      <c r="V418" s="70"/>
      <c r="W418" s="70"/>
      <c r="X418" s="70"/>
      <c r="Y418" s="70"/>
      <c r="Z418" s="70"/>
    </row>
    <row r="419" customFormat="false" ht="12.75" hidden="false" customHeight="false" outlineLevel="1" collapsed="false">
      <c r="A419" s="395"/>
      <c r="B419" s="684"/>
      <c r="C419" s="684"/>
      <c r="D419" s="684"/>
      <c r="E419" s="684"/>
      <c r="F419" s="701"/>
      <c r="G419" s="701"/>
      <c r="H419" s="701"/>
      <c r="I419" s="701"/>
      <c r="J419" s="701"/>
      <c r="K419" s="701"/>
      <c r="L419" s="701"/>
      <c r="M419" s="701"/>
      <c r="N419" s="701"/>
      <c r="O419" s="701"/>
      <c r="P419" s="701"/>
      <c r="Q419" s="701"/>
      <c r="R419" s="701"/>
      <c r="S419" s="701"/>
      <c r="T419" s="70"/>
      <c r="U419" s="70"/>
      <c r="V419" s="70"/>
      <c r="W419" s="70"/>
      <c r="X419" s="70"/>
      <c r="Y419" s="70"/>
      <c r="Z419" s="70"/>
    </row>
    <row r="420" customFormat="false" ht="12.75" hidden="false" customHeight="false" outlineLevel="1" collapsed="false">
      <c r="A420" s="70"/>
      <c r="B420" s="684"/>
      <c r="C420" s="684"/>
      <c r="D420" s="684"/>
      <c r="E420" s="684"/>
      <c r="F420" s="701"/>
      <c r="G420" s="701"/>
      <c r="H420" s="701"/>
      <c r="I420" s="701"/>
      <c r="J420" s="701"/>
      <c r="K420" s="701"/>
      <c r="L420" s="701"/>
      <c r="M420" s="701"/>
      <c r="N420" s="701"/>
      <c r="O420" s="701"/>
      <c r="P420" s="701"/>
      <c r="Q420" s="701"/>
      <c r="R420" s="701"/>
      <c r="S420" s="701"/>
      <c r="T420" s="701"/>
      <c r="U420" s="701"/>
      <c r="V420" s="701"/>
      <c r="W420" s="701"/>
      <c r="X420" s="701"/>
      <c r="Y420" s="701"/>
      <c r="Z420" s="701"/>
    </row>
    <row r="421" customFormat="false" ht="12.75" hidden="false" customHeight="false" outlineLevel="1" collapsed="false">
      <c r="A421" s="70"/>
      <c r="B421" s="701"/>
      <c r="C421" s="701"/>
      <c r="D421" s="701"/>
      <c r="E421" s="684"/>
      <c r="F421" s="701"/>
      <c r="G421" s="701"/>
      <c r="H421" s="701"/>
      <c r="I421" s="701"/>
      <c r="J421" s="701"/>
      <c r="K421" s="701"/>
      <c r="L421" s="701"/>
      <c r="M421" s="701"/>
      <c r="N421" s="701"/>
      <c r="O421" s="701"/>
      <c r="P421" s="701"/>
      <c r="Q421" s="701"/>
      <c r="R421" s="701"/>
      <c r="S421" s="701"/>
      <c r="T421" s="701"/>
      <c r="U421" s="701"/>
      <c r="V421" s="701"/>
      <c r="W421" s="701"/>
      <c r="X421" s="701"/>
      <c r="Y421" s="701"/>
      <c r="Z421" s="701"/>
    </row>
    <row r="422" customFormat="false" ht="12.75" hidden="false" customHeight="false" outlineLevel="1" collapsed="false">
      <c r="A422" s="70"/>
      <c r="B422" s="684"/>
      <c r="C422" s="684"/>
      <c r="D422" s="684"/>
      <c r="E422" s="684"/>
      <c r="F422" s="701"/>
      <c r="G422" s="701"/>
      <c r="H422" s="701"/>
      <c r="I422" s="701"/>
      <c r="J422" s="701"/>
      <c r="K422" s="701"/>
      <c r="L422" s="701"/>
      <c r="M422" s="701"/>
      <c r="N422" s="701"/>
      <c r="O422" s="701"/>
      <c r="P422" s="701"/>
      <c r="Q422" s="701"/>
      <c r="R422" s="701"/>
      <c r="S422" s="701"/>
      <c r="T422" s="701"/>
      <c r="U422" s="701"/>
      <c r="V422" s="701"/>
      <c r="W422" s="701"/>
      <c r="X422" s="701"/>
      <c r="Y422" s="701"/>
      <c r="Z422" s="701"/>
    </row>
    <row r="423" customFormat="false" ht="12.75" hidden="false" customHeight="false" outlineLevel="1" collapsed="false">
      <c r="A423" s="70"/>
      <c r="B423" s="684"/>
      <c r="C423" s="684"/>
      <c r="D423" s="684"/>
      <c r="E423" s="684"/>
      <c r="F423" s="701"/>
      <c r="G423" s="701"/>
      <c r="H423" s="701"/>
      <c r="I423" s="701"/>
      <c r="J423" s="701"/>
      <c r="K423" s="701"/>
      <c r="L423" s="701"/>
      <c r="M423" s="701"/>
      <c r="N423" s="701"/>
      <c r="O423" s="701"/>
      <c r="P423" s="701"/>
      <c r="Q423" s="701"/>
      <c r="R423" s="701"/>
      <c r="S423" s="701"/>
      <c r="T423" s="701"/>
      <c r="U423" s="701"/>
      <c r="V423" s="701"/>
      <c r="W423" s="701"/>
      <c r="X423" s="701"/>
      <c r="Y423" s="701"/>
      <c r="Z423" s="701"/>
    </row>
    <row r="424" customFormat="false" ht="12.75" hidden="false" customHeight="false" outlineLevel="1" collapsed="false">
      <c r="A424" s="70"/>
      <c r="B424" s="684"/>
      <c r="C424" s="684"/>
      <c r="D424" s="684"/>
      <c r="E424" s="684"/>
      <c r="F424" s="701"/>
      <c r="G424" s="701"/>
      <c r="H424" s="701"/>
      <c r="I424" s="701"/>
      <c r="J424" s="701"/>
      <c r="K424" s="701"/>
      <c r="L424" s="701"/>
      <c r="M424" s="701"/>
      <c r="N424" s="701"/>
      <c r="O424" s="701"/>
      <c r="P424" s="701"/>
      <c r="Q424" s="701"/>
      <c r="R424" s="701"/>
      <c r="S424" s="701"/>
      <c r="T424" s="701"/>
      <c r="U424" s="701"/>
      <c r="V424" s="701"/>
      <c r="W424" s="701"/>
      <c r="X424" s="701"/>
      <c r="Y424" s="701"/>
      <c r="Z424" s="701"/>
    </row>
    <row r="425" customFormat="false" ht="12.75" hidden="false" customHeight="false" outlineLevel="1" collapsed="false">
      <c r="A425" s="70"/>
      <c r="B425" s="684"/>
      <c r="C425" s="684"/>
      <c r="D425" s="684"/>
      <c r="E425" s="684"/>
      <c r="F425" s="701"/>
      <c r="G425" s="701"/>
      <c r="H425" s="701"/>
      <c r="I425" s="701"/>
      <c r="J425" s="701"/>
      <c r="K425" s="701"/>
      <c r="L425" s="701"/>
      <c r="M425" s="701"/>
      <c r="N425" s="701"/>
      <c r="O425" s="701"/>
      <c r="P425" s="701"/>
      <c r="Q425" s="701"/>
      <c r="R425" s="701"/>
      <c r="S425" s="701"/>
      <c r="T425" s="701"/>
      <c r="U425" s="701"/>
      <c r="V425" s="701"/>
      <c r="W425" s="701"/>
      <c r="X425" s="701"/>
      <c r="Y425" s="701"/>
      <c r="Z425" s="701"/>
    </row>
    <row r="426" customFormat="false" ht="12.75" hidden="false" customHeight="false" outlineLevel="1" collapsed="false">
      <c r="A426" s="395"/>
      <c r="B426" s="684"/>
      <c r="C426" s="684"/>
      <c r="D426" s="684"/>
      <c r="E426" s="684"/>
      <c r="F426" s="701"/>
      <c r="G426" s="701"/>
      <c r="H426" s="701"/>
      <c r="I426" s="701"/>
      <c r="J426" s="701"/>
      <c r="K426" s="701"/>
      <c r="L426" s="701"/>
      <c r="M426" s="701"/>
      <c r="N426" s="701"/>
      <c r="O426" s="701"/>
      <c r="P426" s="701"/>
      <c r="Q426" s="701"/>
      <c r="R426" s="701"/>
      <c r="S426" s="701"/>
      <c r="T426" s="701"/>
      <c r="U426" s="701"/>
      <c r="V426" s="701"/>
      <c r="W426" s="701"/>
      <c r="X426" s="701"/>
      <c r="Y426" s="701"/>
      <c r="Z426" s="701"/>
    </row>
    <row r="427" customFormat="false" ht="12.75" hidden="false" customHeight="false" outlineLevel="1" collapsed="false">
      <c r="A427" s="70"/>
      <c r="B427" s="684"/>
      <c r="C427" s="684"/>
      <c r="D427" s="684"/>
      <c r="E427" s="684"/>
      <c r="F427" s="701"/>
      <c r="G427" s="701"/>
      <c r="H427" s="701"/>
      <c r="I427" s="701"/>
      <c r="J427" s="701"/>
      <c r="K427" s="701"/>
      <c r="L427" s="701"/>
      <c r="M427" s="701"/>
      <c r="N427" s="701"/>
      <c r="O427" s="701"/>
      <c r="P427" s="701"/>
      <c r="Q427" s="701"/>
      <c r="R427" s="701"/>
      <c r="S427" s="701"/>
      <c r="T427" s="701"/>
      <c r="U427" s="701"/>
      <c r="V427" s="701"/>
      <c r="W427" s="701"/>
      <c r="X427" s="701"/>
      <c r="Y427" s="701"/>
      <c r="Z427" s="701"/>
    </row>
    <row r="428" customFormat="false" ht="12.75" hidden="false" customHeight="false" outlineLevel="1" collapsed="false">
      <c r="A428" s="70"/>
      <c r="B428" s="684"/>
      <c r="C428" s="684"/>
      <c r="D428" s="684"/>
      <c r="E428" s="684"/>
      <c r="F428" s="701"/>
      <c r="G428" s="701"/>
      <c r="H428" s="701"/>
      <c r="I428" s="701"/>
      <c r="J428" s="701"/>
      <c r="K428" s="701"/>
      <c r="L428" s="701"/>
      <c r="M428" s="701"/>
      <c r="N428" s="701"/>
      <c r="O428" s="701"/>
      <c r="P428" s="701"/>
      <c r="Q428" s="701"/>
      <c r="R428" s="701"/>
      <c r="S428" s="701"/>
      <c r="T428" s="701"/>
      <c r="U428" s="701"/>
      <c r="V428" s="701"/>
      <c r="W428" s="701"/>
      <c r="X428" s="701"/>
      <c r="Y428" s="701"/>
      <c r="Z428" s="701"/>
    </row>
    <row r="429" customFormat="false" ht="12.75" hidden="false" customHeight="false" outlineLevel="1" collapsed="false">
      <c r="A429" s="395"/>
      <c r="B429" s="684"/>
      <c r="C429" s="684"/>
      <c r="D429" s="684"/>
      <c r="E429" s="684"/>
      <c r="F429" s="701"/>
      <c r="G429" s="701"/>
      <c r="H429" s="701"/>
      <c r="I429" s="701"/>
      <c r="J429" s="701"/>
      <c r="K429" s="701"/>
      <c r="L429" s="701"/>
      <c r="M429" s="701"/>
      <c r="N429" s="701"/>
      <c r="O429" s="701"/>
      <c r="P429" s="701"/>
      <c r="Q429" s="701"/>
      <c r="R429" s="701"/>
      <c r="S429" s="701"/>
      <c r="T429" s="701"/>
      <c r="U429" s="701"/>
      <c r="V429" s="701"/>
      <c r="W429" s="701"/>
      <c r="X429" s="701"/>
      <c r="Y429" s="701"/>
      <c r="Z429" s="701"/>
    </row>
    <row r="430" customFormat="false" ht="12.75" hidden="false" customHeight="false" outlineLevel="1" collapsed="false">
      <c r="A430" s="395"/>
      <c r="B430" s="684"/>
      <c r="C430" s="684"/>
      <c r="D430" s="684"/>
      <c r="E430" s="684"/>
      <c r="F430" s="701"/>
      <c r="G430" s="701"/>
      <c r="H430" s="701"/>
      <c r="I430" s="701"/>
      <c r="J430" s="701"/>
      <c r="K430" s="701"/>
      <c r="L430" s="701"/>
      <c r="M430" s="701"/>
      <c r="N430" s="701"/>
      <c r="O430" s="701"/>
      <c r="P430" s="701"/>
      <c r="Q430" s="701"/>
      <c r="R430" s="701"/>
      <c r="S430" s="701"/>
      <c r="T430" s="701"/>
      <c r="U430" s="701"/>
      <c r="V430" s="701"/>
      <c r="W430" s="701"/>
      <c r="X430" s="701"/>
      <c r="Y430" s="701"/>
      <c r="Z430" s="701"/>
    </row>
    <row r="431" customFormat="false" ht="12.75" hidden="false" customHeight="false" outlineLevel="1" collapsed="false">
      <c r="A431" s="70"/>
      <c r="B431" s="684"/>
      <c r="C431" s="684"/>
      <c r="D431" s="684"/>
      <c r="E431" s="684"/>
      <c r="F431" s="701"/>
      <c r="G431" s="701"/>
      <c r="H431" s="701"/>
      <c r="I431" s="701"/>
      <c r="J431" s="701"/>
      <c r="K431" s="701"/>
      <c r="L431" s="701"/>
      <c r="M431" s="701"/>
      <c r="N431" s="701"/>
      <c r="O431" s="701"/>
      <c r="P431" s="701"/>
      <c r="Q431" s="701"/>
      <c r="R431" s="701"/>
      <c r="S431" s="701"/>
      <c r="T431" s="701"/>
      <c r="U431" s="701"/>
      <c r="V431" s="701"/>
      <c r="W431" s="701"/>
      <c r="X431" s="701"/>
      <c r="Y431" s="701"/>
      <c r="Z431" s="701"/>
    </row>
    <row r="432" customFormat="false" ht="12.75" hidden="false" customHeight="false" outlineLevel="1" collapsed="false">
      <c r="A432" s="70"/>
      <c r="B432" s="684"/>
      <c r="C432" s="684"/>
      <c r="D432" s="684"/>
      <c r="E432" s="684"/>
      <c r="F432" s="701"/>
      <c r="G432" s="701"/>
      <c r="H432" s="701"/>
      <c r="I432" s="701"/>
      <c r="J432" s="701"/>
      <c r="K432" s="701"/>
      <c r="L432" s="701"/>
      <c r="M432" s="701"/>
      <c r="N432" s="701"/>
      <c r="O432" s="701"/>
      <c r="P432" s="701"/>
      <c r="Q432" s="701"/>
      <c r="R432" s="701"/>
      <c r="S432" s="701"/>
      <c r="T432" s="701"/>
      <c r="U432" s="701"/>
      <c r="V432" s="701"/>
      <c r="W432" s="701"/>
      <c r="X432" s="701"/>
      <c r="Y432" s="701"/>
      <c r="Z432" s="701"/>
    </row>
    <row r="433" customFormat="false" ht="12.75" hidden="false" customHeight="false" outlineLevel="1" collapsed="false">
      <c r="A433" s="70"/>
      <c r="B433" s="684"/>
      <c r="C433" s="684"/>
      <c r="D433" s="684"/>
      <c r="E433" s="684"/>
      <c r="F433" s="701"/>
      <c r="G433" s="701"/>
      <c r="H433" s="701"/>
      <c r="I433" s="701"/>
      <c r="J433" s="701"/>
      <c r="K433" s="701"/>
      <c r="L433" s="701"/>
      <c r="M433" s="701"/>
      <c r="N433" s="701"/>
      <c r="O433" s="701"/>
      <c r="P433" s="701"/>
      <c r="Q433" s="701"/>
      <c r="R433" s="701"/>
      <c r="S433" s="701"/>
      <c r="T433" s="701"/>
      <c r="U433" s="701"/>
      <c r="V433" s="701"/>
      <c r="W433" s="701"/>
      <c r="X433" s="701"/>
      <c r="Y433" s="701"/>
      <c r="Z433" s="701"/>
    </row>
    <row r="434" customFormat="false" ht="12.75" hidden="false" customHeight="false" outlineLevel="1" collapsed="false">
      <c r="A434" s="70"/>
      <c r="B434" s="684"/>
      <c r="C434" s="684"/>
      <c r="D434" s="684"/>
      <c r="E434" s="684"/>
      <c r="F434" s="701"/>
      <c r="G434" s="701"/>
      <c r="H434" s="701"/>
      <c r="I434" s="701"/>
      <c r="J434" s="701"/>
      <c r="K434" s="701"/>
      <c r="L434" s="701"/>
      <c r="M434" s="701"/>
      <c r="N434" s="701"/>
      <c r="O434" s="701"/>
      <c r="P434" s="701"/>
      <c r="Q434" s="701"/>
      <c r="R434" s="701"/>
      <c r="S434" s="701"/>
      <c r="T434" s="701"/>
      <c r="U434" s="701"/>
      <c r="V434" s="701"/>
      <c r="W434" s="701"/>
      <c r="X434" s="701"/>
      <c r="Y434" s="701"/>
      <c r="Z434" s="701"/>
    </row>
    <row r="435" customFormat="false" ht="12.75" hidden="false" customHeight="false" outlineLevel="1" collapsed="false">
      <c r="A435" s="70"/>
      <c r="B435" s="684"/>
      <c r="C435" s="684"/>
      <c r="D435" s="684"/>
      <c r="E435" s="684"/>
      <c r="F435" s="701"/>
      <c r="G435" s="701"/>
      <c r="H435" s="701"/>
      <c r="I435" s="701"/>
      <c r="J435" s="701"/>
      <c r="K435" s="701"/>
      <c r="L435" s="701"/>
      <c r="M435" s="701"/>
      <c r="N435" s="701"/>
      <c r="O435" s="701"/>
      <c r="P435" s="701"/>
      <c r="Q435" s="701"/>
      <c r="R435" s="701"/>
      <c r="S435" s="701"/>
      <c r="T435" s="701"/>
      <c r="U435" s="701"/>
      <c r="V435" s="701"/>
      <c r="W435" s="701"/>
      <c r="X435" s="701"/>
      <c r="Y435" s="701"/>
      <c r="Z435" s="701"/>
    </row>
    <row r="436" customFormat="false" ht="12.75" hidden="false" customHeight="false" outlineLevel="1" collapsed="false">
      <c r="A436" s="70"/>
      <c r="B436" s="684"/>
      <c r="C436" s="684"/>
      <c r="D436" s="684"/>
      <c r="E436" s="684"/>
      <c r="F436" s="701"/>
      <c r="G436" s="701"/>
      <c r="H436" s="701"/>
      <c r="I436" s="701"/>
      <c r="J436" s="701"/>
      <c r="K436" s="701"/>
      <c r="L436" s="701"/>
      <c r="M436" s="701"/>
      <c r="N436" s="701"/>
      <c r="O436" s="701"/>
      <c r="P436" s="701"/>
      <c r="Q436" s="701"/>
      <c r="R436" s="701"/>
      <c r="S436" s="701"/>
      <c r="T436" s="701"/>
      <c r="U436" s="701"/>
      <c r="V436" s="701"/>
      <c r="W436" s="701"/>
      <c r="X436" s="701"/>
      <c r="Y436" s="701"/>
      <c r="Z436" s="701"/>
    </row>
    <row r="437" customFormat="false" ht="12.75" hidden="false" customHeight="false" outlineLevel="1" collapsed="false">
      <c r="A437" s="70"/>
      <c r="B437" s="684"/>
      <c r="C437" s="684"/>
      <c r="D437" s="684"/>
      <c r="E437" s="684"/>
      <c r="F437" s="701"/>
      <c r="G437" s="701"/>
      <c r="H437" s="701"/>
      <c r="I437" s="701"/>
      <c r="J437" s="701"/>
      <c r="K437" s="701"/>
      <c r="L437" s="701"/>
      <c r="M437" s="701"/>
      <c r="N437" s="701"/>
      <c r="O437" s="701"/>
      <c r="P437" s="701"/>
      <c r="Q437" s="701"/>
      <c r="R437" s="701"/>
      <c r="S437" s="701"/>
      <c r="T437" s="701"/>
      <c r="U437" s="701"/>
      <c r="V437" s="701"/>
      <c r="W437" s="701"/>
      <c r="X437" s="701"/>
      <c r="Y437" s="701"/>
      <c r="Z437" s="701"/>
    </row>
    <row r="438" customFormat="false" ht="12.75" hidden="false" customHeight="false" outlineLevel="1" collapsed="false">
      <c r="A438" s="70"/>
      <c r="B438" s="684"/>
      <c r="C438" s="684"/>
      <c r="D438" s="684"/>
      <c r="E438" s="684"/>
      <c r="F438" s="701"/>
      <c r="G438" s="701"/>
      <c r="H438" s="701"/>
      <c r="I438" s="701"/>
      <c r="J438" s="701"/>
      <c r="K438" s="701"/>
      <c r="L438" s="701"/>
      <c r="M438" s="701"/>
      <c r="N438" s="701"/>
      <c r="O438" s="701"/>
      <c r="P438" s="701"/>
      <c r="Q438" s="701"/>
      <c r="R438" s="701"/>
      <c r="S438" s="701"/>
      <c r="T438" s="70"/>
      <c r="U438" s="70"/>
      <c r="V438" s="70"/>
      <c r="W438" s="70"/>
      <c r="X438" s="70"/>
      <c r="Y438" s="70"/>
      <c r="Z438" s="70"/>
    </row>
    <row r="439" customFormat="false" ht="12.75" hidden="false" customHeight="false" outlineLevel="1" collapsed="false">
      <c r="A439" s="395"/>
      <c r="B439" s="684"/>
      <c r="C439" s="684"/>
      <c r="D439" s="684"/>
      <c r="E439" s="684"/>
      <c r="F439" s="701"/>
      <c r="G439" s="701"/>
      <c r="H439" s="701"/>
      <c r="I439" s="701"/>
      <c r="J439" s="701"/>
      <c r="K439" s="701"/>
      <c r="L439" s="701"/>
      <c r="M439" s="701"/>
      <c r="N439" s="701"/>
      <c r="O439" s="701"/>
      <c r="P439" s="701"/>
      <c r="Q439" s="701"/>
      <c r="R439" s="701"/>
      <c r="S439" s="701"/>
      <c r="T439" s="70"/>
      <c r="U439" s="70"/>
      <c r="V439" s="70"/>
      <c r="W439" s="70"/>
      <c r="X439" s="70"/>
      <c r="Y439" s="70"/>
      <c r="Z439" s="70"/>
    </row>
    <row r="440" customFormat="false" ht="12.75" hidden="false" customHeight="false" outlineLevel="1" collapsed="false">
      <c r="A440" s="395"/>
      <c r="B440" s="684"/>
      <c r="C440" s="684"/>
      <c r="D440" s="684"/>
      <c r="E440" s="684"/>
      <c r="F440" s="701"/>
      <c r="G440" s="701"/>
      <c r="H440" s="701"/>
      <c r="I440" s="701"/>
      <c r="J440" s="701"/>
      <c r="K440" s="701"/>
      <c r="L440" s="701"/>
      <c r="M440" s="701"/>
      <c r="N440" s="701"/>
      <c r="O440" s="701"/>
      <c r="P440" s="701"/>
      <c r="Q440" s="701"/>
      <c r="R440" s="701"/>
      <c r="S440" s="701"/>
      <c r="T440" s="70"/>
      <c r="U440" s="70"/>
      <c r="V440" s="70"/>
      <c r="W440" s="70"/>
      <c r="X440" s="70"/>
      <c r="Y440" s="70"/>
      <c r="Z440" s="70"/>
    </row>
    <row r="441" customFormat="false" ht="12.75" hidden="false" customHeight="false" outlineLevel="1" collapsed="false">
      <c r="A441" s="395"/>
      <c r="B441" s="684"/>
      <c r="C441" s="684"/>
      <c r="D441" s="684"/>
      <c r="E441" s="684"/>
      <c r="F441" s="701"/>
      <c r="G441" s="701"/>
      <c r="H441" s="701"/>
      <c r="I441" s="701"/>
      <c r="J441" s="701"/>
      <c r="K441" s="701"/>
      <c r="L441" s="701"/>
      <c r="M441" s="701"/>
      <c r="N441" s="701"/>
      <c r="O441" s="701"/>
      <c r="P441" s="701"/>
      <c r="Q441" s="701"/>
      <c r="R441" s="701"/>
      <c r="S441" s="701"/>
      <c r="T441" s="70"/>
      <c r="U441" s="70"/>
      <c r="V441" s="70"/>
      <c r="W441" s="70"/>
      <c r="X441" s="70"/>
      <c r="Y441" s="70"/>
      <c r="Z441" s="70"/>
    </row>
    <row r="442" customFormat="false" ht="12.75" hidden="false" customHeight="false" outlineLevel="1" collapsed="false">
      <c r="A442" s="395"/>
      <c r="B442" s="684"/>
      <c r="C442" s="684"/>
      <c r="D442" s="684"/>
      <c r="E442" s="684"/>
      <c r="F442" s="701"/>
      <c r="G442" s="701"/>
      <c r="H442" s="701"/>
      <c r="I442" s="701"/>
      <c r="J442" s="701"/>
      <c r="K442" s="701"/>
      <c r="L442" s="701"/>
      <c r="M442" s="701"/>
      <c r="N442" s="701"/>
      <c r="O442" s="701"/>
      <c r="P442" s="701"/>
      <c r="Q442" s="701"/>
      <c r="R442" s="701"/>
      <c r="S442" s="701"/>
      <c r="T442" s="70"/>
      <c r="U442" s="70"/>
      <c r="V442" s="70"/>
      <c r="W442" s="70"/>
      <c r="X442" s="70"/>
      <c r="Y442" s="70"/>
      <c r="Z442" s="70"/>
    </row>
    <row r="443" customFormat="false" ht="12.75" hidden="false" customHeight="false" outlineLevel="1" collapsed="false">
      <c r="A443" s="395"/>
      <c r="B443" s="684"/>
      <c r="C443" s="684"/>
      <c r="D443" s="684"/>
      <c r="E443" s="684"/>
      <c r="F443" s="702"/>
      <c r="G443" s="702"/>
      <c r="H443" s="102"/>
      <c r="I443" s="102"/>
      <c r="J443" s="102"/>
      <c r="K443" s="102"/>
      <c r="L443" s="102"/>
      <c r="M443" s="102"/>
      <c r="N443" s="102"/>
      <c r="O443" s="102"/>
      <c r="P443" s="102"/>
      <c r="Q443" s="102"/>
      <c r="R443" s="102"/>
      <c r="S443" s="102"/>
      <c r="T443" s="70"/>
      <c r="U443" s="70"/>
      <c r="V443" s="70"/>
      <c r="W443" s="70"/>
      <c r="X443" s="70"/>
      <c r="Y443" s="70"/>
      <c r="Z443" s="70"/>
    </row>
    <row r="444" customFormat="false" ht="12.75" hidden="false" customHeight="false" outlineLevel="1" collapsed="false">
      <c r="A444" s="70"/>
      <c r="B444" s="70"/>
      <c r="C444" s="70"/>
      <c r="D444" s="70"/>
      <c r="E444" s="70"/>
      <c r="F444" s="70"/>
      <c r="G444" s="70"/>
      <c r="H444" s="70"/>
      <c r="I444" s="70"/>
      <c r="J444" s="70"/>
      <c r="K444" s="70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  <c r="Y444" s="70"/>
      <c r="Z444" s="70"/>
    </row>
    <row r="445" customFormat="false" ht="18.75" hidden="false" customHeight="false" outlineLevel="1" collapsed="false">
      <c r="A445" s="682"/>
      <c r="B445" s="70"/>
      <c r="C445" s="70"/>
      <c r="D445" s="70"/>
      <c r="E445" s="70"/>
      <c r="F445" s="70"/>
      <c r="G445" s="70"/>
      <c r="H445" s="70"/>
      <c r="I445" s="70"/>
      <c r="J445" s="70"/>
      <c r="K445" s="70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  <c r="Y445" s="70"/>
      <c r="Z445" s="70"/>
    </row>
    <row r="446" customFormat="false" ht="12.75" hidden="false" customHeight="false" outlineLevel="1" collapsed="false">
      <c r="A446" s="395"/>
      <c r="B446" s="70"/>
      <c r="C446" s="70"/>
      <c r="D446" s="70"/>
      <c r="E446" s="70"/>
      <c r="F446" s="70"/>
      <c r="G446" s="70"/>
      <c r="H446" s="70"/>
      <c r="I446" s="70"/>
      <c r="J446" s="70"/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  <c r="Z446" s="70"/>
    </row>
    <row r="447" customFormat="false" ht="12.75" hidden="false" customHeight="false" outlineLevel="1" collapsed="false">
      <c r="A447" s="70"/>
      <c r="B447" s="70"/>
      <c r="C447" s="70"/>
      <c r="D447" s="70"/>
      <c r="E447" s="70"/>
      <c r="F447" s="70"/>
      <c r="G447" s="70"/>
      <c r="H447" s="70"/>
      <c r="I447" s="70"/>
      <c r="J447" s="70"/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  <c r="Z447" s="70"/>
    </row>
    <row r="448" customFormat="false" ht="12.75" hidden="false" customHeight="false" outlineLevel="1" collapsed="false">
      <c r="A448" s="70"/>
      <c r="B448" s="70"/>
      <c r="C448" s="70"/>
      <c r="D448" s="70"/>
      <c r="E448" s="70"/>
      <c r="F448" s="70"/>
      <c r="G448" s="70"/>
      <c r="H448" s="70"/>
      <c r="I448" s="70"/>
      <c r="J448" s="70"/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  <c r="Z448" s="70"/>
    </row>
    <row r="449" customFormat="false" ht="12.75" hidden="false" customHeight="false" outlineLevel="1" collapsed="false">
      <c r="A449" s="322"/>
      <c r="B449" s="321"/>
      <c r="C449" s="321"/>
      <c r="D449" s="321"/>
      <c r="E449" s="321"/>
      <c r="F449" s="321"/>
      <c r="G449" s="321"/>
      <c r="H449" s="321"/>
      <c r="I449" s="321"/>
      <c r="J449" s="321"/>
      <c r="K449" s="321"/>
      <c r="L449" s="321"/>
      <c r="M449" s="321"/>
      <c r="N449" s="321"/>
      <c r="O449" s="321"/>
      <c r="P449" s="321"/>
      <c r="Q449" s="321"/>
      <c r="R449" s="321"/>
      <c r="S449" s="321"/>
      <c r="T449" s="321"/>
      <c r="U449" s="321"/>
      <c r="V449" s="321"/>
      <c r="W449" s="321"/>
      <c r="X449" s="321"/>
      <c r="Y449" s="321"/>
      <c r="Z449" s="321"/>
    </row>
    <row r="450" customFormat="false" ht="12.75" hidden="false" customHeight="false" outlineLevel="1" collapsed="false">
      <c r="A450" s="70"/>
      <c r="B450" s="70"/>
      <c r="C450" s="70"/>
      <c r="D450" s="70"/>
      <c r="E450" s="70"/>
      <c r="F450" s="70"/>
      <c r="G450" s="70"/>
      <c r="H450" s="674"/>
      <c r="I450" s="70"/>
      <c r="J450" s="70"/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  <c r="Z450" s="70"/>
    </row>
    <row r="451" customFormat="false" ht="12.75" hidden="false" customHeight="false" outlineLevel="1" collapsed="false">
      <c r="A451" s="395"/>
      <c r="B451" s="70"/>
      <c r="C451" s="70"/>
      <c r="D451" s="70"/>
      <c r="E451" s="70"/>
      <c r="F451" s="70"/>
      <c r="G451" s="70"/>
      <c r="H451" s="674"/>
      <c r="I451" s="686"/>
      <c r="J451" s="686"/>
      <c r="K451" s="686"/>
      <c r="L451" s="686"/>
      <c r="M451" s="686"/>
      <c r="N451" s="686"/>
      <c r="O451" s="686"/>
      <c r="P451" s="686"/>
      <c r="Q451" s="686"/>
      <c r="R451" s="686"/>
      <c r="S451" s="686"/>
      <c r="T451" s="70"/>
      <c r="U451" s="70"/>
      <c r="V451" s="70"/>
      <c r="W451" s="70"/>
      <c r="X451" s="70"/>
      <c r="Y451" s="70"/>
      <c r="Z451" s="70"/>
    </row>
    <row r="452" customFormat="false" ht="12.75" hidden="false" customHeight="false" outlineLevel="1" collapsed="false">
      <c r="A452" s="70"/>
      <c r="B452" s="70"/>
      <c r="C452" s="70"/>
      <c r="D452" s="70"/>
      <c r="E452" s="70"/>
      <c r="F452" s="70"/>
      <c r="G452" s="70"/>
      <c r="H452" s="674"/>
      <c r="I452" s="674"/>
      <c r="J452" s="674"/>
      <c r="K452" s="674"/>
      <c r="L452" s="674"/>
      <c r="M452" s="674"/>
      <c r="N452" s="674"/>
      <c r="O452" s="674"/>
      <c r="P452" s="674"/>
      <c r="Q452" s="674"/>
      <c r="R452" s="674"/>
      <c r="S452" s="674"/>
      <c r="T452" s="70"/>
      <c r="U452" s="70"/>
      <c r="V452" s="70"/>
      <c r="W452" s="70"/>
      <c r="X452" s="70"/>
      <c r="Y452" s="70"/>
      <c r="Z452" s="70"/>
    </row>
    <row r="453" customFormat="false" ht="12.75" hidden="false" customHeight="false" outlineLevel="1" collapsed="false">
      <c r="A453" s="70"/>
      <c r="B453" s="70"/>
      <c r="C453" s="70"/>
      <c r="D453" s="70"/>
      <c r="E453" s="70"/>
      <c r="F453" s="70"/>
      <c r="G453" s="70"/>
      <c r="H453" s="674"/>
      <c r="I453" s="686"/>
      <c r="J453" s="686"/>
      <c r="K453" s="686"/>
      <c r="L453" s="686"/>
      <c r="M453" s="686"/>
      <c r="N453" s="686"/>
      <c r="O453" s="686"/>
      <c r="P453" s="686"/>
      <c r="Q453" s="686"/>
      <c r="R453" s="686"/>
      <c r="S453" s="686"/>
      <c r="T453" s="70"/>
      <c r="U453" s="70"/>
      <c r="V453" s="70"/>
      <c r="W453" s="70"/>
      <c r="X453" s="70"/>
      <c r="Y453" s="70"/>
      <c r="Z453" s="70"/>
    </row>
    <row r="454" customFormat="false" ht="12.75" hidden="false" customHeight="false" outlineLevel="1" collapsed="false">
      <c r="A454" s="70"/>
      <c r="B454" s="70"/>
      <c r="C454" s="70"/>
      <c r="D454" s="70"/>
      <c r="E454" s="70"/>
      <c r="F454" s="70"/>
      <c r="G454" s="70"/>
      <c r="H454" s="674"/>
      <c r="I454" s="674"/>
      <c r="J454" s="674"/>
      <c r="K454" s="674"/>
      <c r="L454" s="674"/>
      <c r="M454" s="674"/>
      <c r="N454" s="674"/>
      <c r="O454" s="674"/>
      <c r="P454" s="674"/>
      <c r="Q454" s="674"/>
      <c r="R454" s="674"/>
      <c r="S454" s="674"/>
      <c r="T454" s="70"/>
      <c r="U454" s="70"/>
      <c r="V454" s="70"/>
      <c r="W454" s="70"/>
      <c r="X454" s="70"/>
      <c r="Y454" s="70"/>
      <c r="Z454" s="70"/>
    </row>
    <row r="455" customFormat="false" ht="12.75" hidden="false" customHeight="false" outlineLevel="1" collapsed="false">
      <c r="A455" s="70"/>
      <c r="B455" s="70"/>
      <c r="C455" s="70"/>
      <c r="D455" s="70"/>
      <c r="E455" s="70"/>
      <c r="F455" s="70"/>
      <c r="G455" s="70"/>
      <c r="H455" s="674"/>
      <c r="I455" s="674"/>
      <c r="J455" s="674"/>
      <c r="K455" s="674"/>
      <c r="L455" s="674"/>
      <c r="M455" s="674"/>
      <c r="N455" s="674"/>
      <c r="O455" s="674"/>
      <c r="P455" s="674"/>
      <c r="Q455" s="674"/>
      <c r="R455" s="674"/>
      <c r="S455" s="674"/>
      <c r="T455" s="70"/>
      <c r="U455" s="70"/>
      <c r="V455" s="70"/>
      <c r="W455" s="70"/>
      <c r="X455" s="70"/>
      <c r="Y455" s="70"/>
      <c r="Z455" s="70"/>
    </row>
    <row r="456" customFormat="false" ht="12.75" hidden="false" customHeight="false" outlineLevel="1" collapsed="false">
      <c r="A456" s="695"/>
      <c r="B456" s="70"/>
      <c r="C456" s="70"/>
      <c r="D456" s="70"/>
      <c r="E456" s="70"/>
      <c r="F456" s="70"/>
      <c r="G456" s="70"/>
      <c r="H456" s="674"/>
      <c r="I456" s="102"/>
      <c r="J456" s="102"/>
      <c r="K456" s="102"/>
      <c r="L456" s="102"/>
      <c r="M456" s="102"/>
      <c r="N456" s="102"/>
      <c r="O456" s="102"/>
      <c r="P456" s="102"/>
      <c r="Q456" s="102"/>
      <c r="R456" s="102"/>
      <c r="S456" s="102"/>
      <c r="T456" s="70"/>
      <c r="U456" s="70"/>
      <c r="V456" s="70"/>
      <c r="W456" s="70"/>
      <c r="X456" s="70"/>
      <c r="Y456" s="70"/>
      <c r="Z456" s="70"/>
    </row>
    <row r="457" customFormat="false" ht="12.75" hidden="false" customHeight="false" outlineLevel="1" collapsed="false">
      <c r="A457" s="695"/>
      <c r="B457" s="70"/>
      <c r="C457" s="70"/>
      <c r="D457" s="70"/>
      <c r="E457" s="70"/>
      <c r="F457" s="70"/>
      <c r="G457" s="70"/>
      <c r="H457" s="674"/>
      <c r="I457" s="102"/>
      <c r="J457" s="102"/>
      <c r="K457" s="102"/>
      <c r="L457" s="102"/>
      <c r="M457" s="102"/>
      <c r="N457" s="102"/>
      <c r="O457" s="102"/>
      <c r="P457" s="102"/>
      <c r="Q457" s="102"/>
      <c r="R457" s="102"/>
      <c r="S457" s="102"/>
      <c r="T457" s="70"/>
      <c r="U457" s="70"/>
      <c r="V457" s="70"/>
      <c r="W457" s="70"/>
      <c r="X457" s="70"/>
      <c r="Y457" s="70"/>
      <c r="Z457" s="70"/>
    </row>
    <row r="458" customFormat="false" ht="12.75" hidden="false" customHeight="false" outlineLevel="1" collapsed="false">
      <c r="A458" s="395"/>
      <c r="B458" s="70"/>
      <c r="C458" s="70"/>
      <c r="D458" s="70"/>
      <c r="E458" s="70"/>
      <c r="F458" s="70"/>
      <c r="G458" s="70"/>
      <c r="H458" s="674"/>
      <c r="I458" s="70"/>
      <c r="J458" s="70"/>
      <c r="K458" s="70"/>
      <c r="L458" s="70"/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70"/>
      <c r="X458" s="70"/>
      <c r="Y458" s="70"/>
      <c r="Z458" s="70"/>
    </row>
    <row r="459" customFormat="false" ht="12.75" hidden="false" customHeight="false" outlineLevel="1" collapsed="false">
      <c r="A459" s="70"/>
      <c r="B459" s="70"/>
      <c r="C459" s="70"/>
      <c r="D459" s="70"/>
      <c r="E459" s="702"/>
      <c r="F459" s="702"/>
      <c r="G459" s="702"/>
      <c r="H459" s="703"/>
      <c r="I459" s="703"/>
      <c r="J459" s="703"/>
      <c r="K459" s="703"/>
      <c r="L459" s="703"/>
      <c r="M459" s="703"/>
      <c r="N459" s="703"/>
      <c r="O459" s="703"/>
      <c r="P459" s="703"/>
      <c r="Q459" s="703"/>
      <c r="R459" s="703"/>
      <c r="S459" s="703"/>
      <c r="T459" s="70"/>
      <c r="U459" s="70"/>
      <c r="V459" s="70"/>
      <c r="W459" s="70"/>
      <c r="X459" s="70"/>
      <c r="Y459" s="70"/>
      <c r="Z459" s="70"/>
    </row>
    <row r="460" customFormat="false" ht="12.75" hidden="false" customHeight="false" outlineLevel="1" collapsed="false">
      <c r="A460" s="70"/>
      <c r="B460" s="70"/>
      <c r="C460" s="70"/>
      <c r="D460" s="70"/>
      <c r="E460" s="70"/>
      <c r="F460" s="70"/>
      <c r="G460" s="70"/>
      <c r="H460" s="674"/>
      <c r="I460" s="70"/>
      <c r="J460" s="70"/>
      <c r="K460" s="70"/>
      <c r="L460" s="70"/>
      <c r="M460" s="70"/>
      <c r="N460" s="70"/>
      <c r="O460" s="70"/>
      <c r="P460" s="70"/>
      <c r="Q460" s="70"/>
      <c r="R460" s="70"/>
      <c r="S460" s="70"/>
      <c r="T460" s="70"/>
      <c r="U460" s="70"/>
      <c r="V460" s="70"/>
      <c r="W460" s="70"/>
      <c r="X460" s="70"/>
      <c r="Y460" s="70"/>
      <c r="Z460" s="70"/>
    </row>
    <row r="461" customFormat="false" ht="12.75" hidden="false" customHeight="false" outlineLevel="1" collapsed="false">
      <c r="A461" s="395"/>
      <c r="B461" s="70"/>
      <c r="C461" s="70"/>
      <c r="D461" s="70"/>
      <c r="E461" s="70"/>
      <c r="F461" s="70"/>
      <c r="G461" s="70"/>
      <c r="H461" s="674"/>
      <c r="I461" s="399"/>
      <c r="J461" s="399"/>
      <c r="K461" s="399"/>
      <c r="L461" s="399"/>
      <c r="M461" s="399"/>
      <c r="N461" s="399"/>
      <c r="O461" s="399"/>
      <c r="P461" s="399"/>
      <c r="Q461" s="399"/>
      <c r="R461" s="399"/>
      <c r="S461" s="399"/>
      <c r="T461" s="70"/>
      <c r="U461" s="70"/>
      <c r="V461" s="70"/>
      <c r="W461" s="70"/>
      <c r="X461" s="70"/>
      <c r="Y461" s="70"/>
      <c r="Z461" s="70"/>
    </row>
    <row r="462" customFormat="false" ht="12.75" hidden="false" customHeight="false" outlineLevel="1" collapsed="false">
      <c r="A462" s="70"/>
      <c r="B462" s="704"/>
      <c r="C462" s="704"/>
      <c r="D462" s="704"/>
      <c r="E462" s="70"/>
      <c r="F462" s="70"/>
      <c r="G462" s="70"/>
      <c r="H462" s="674"/>
      <c r="I462" s="102"/>
      <c r="J462" s="102"/>
      <c r="K462" s="102"/>
      <c r="L462" s="102"/>
      <c r="M462" s="102"/>
      <c r="N462" s="102"/>
      <c r="O462" s="102"/>
      <c r="P462" s="102"/>
      <c r="Q462" s="102"/>
      <c r="R462" s="102"/>
      <c r="S462" s="102"/>
      <c r="T462" s="70"/>
      <c r="U462" s="70"/>
      <c r="V462" s="70"/>
      <c r="W462" s="70"/>
      <c r="X462" s="70"/>
      <c r="Y462" s="70"/>
      <c r="Z462" s="70"/>
    </row>
    <row r="463" customFormat="false" ht="12.75" hidden="false" customHeight="false" outlineLevel="1" collapsed="false">
      <c r="A463" s="395"/>
      <c r="B463" s="70"/>
      <c r="C463" s="70"/>
      <c r="D463" s="70"/>
      <c r="E463" s="70"/>
      <c r="F463" s="70"/>
      <c r="G463" s="70"/>
      <c r="H463" s="674"/>
      <c r="I463" s="102"/>
      <c r="J463" s="102"/>
      <c r="K463" s="102"/>
      <c r="L463" s="102"/>
      <c r="M463" s="102"/>
      <c r="N463" s="102"/>
      <c r="O463" s="102"/>
      <c r="P463" s="102"/>
      <c r="Q463" s="102"/>
      <c r="R463" s="102"/>
      <c r="S463" s="102"/>
      <c r="T463" s="70"/>
      <c r="U463" s="70"/>
      <c r="V463" s="70"/>
      <c r="W463" s="70"/>
      <c r="X463" s="70"/>
      <c r="Y463" s="70"/>
      <c r="Z463" s="70"/>
    </row>
    <row r="464" customFormat="false" ht="12.75" hidden="false" customHeight="false" outlineLevel="1" collapsed="false">
      <c r="A464" s="70"/>
      <c r="B464" s="70"/>
      <c r="C464" s="70"/>
      <c r="D464" s="70"/>
      <c r="E464" s="70"/>
      <c r="F464" s="70"/>
      <c r="G464" s="70"/>
      <c r="H464" s="70"/>
      <c r="I464" s="70"/>
      <c r="J464" s="70"/>
      <c r="K464" s="70"/>
      <c r="L464" s="70"/>
      <c r="M464" s="70"/>
      <c r="N464" s="70"/>
      <c r="O464" s="70"/>
      <c r="P464" s="70"/>
      <c r="Q464" s="70"/>
      <c r="R464" s="70"/>
      <c r="S464" s="70"/>
      <c r="T464" s="70"/>
      <c r="U464" s="70"/>
      <c r="V464" s="70"/>
      <c r="W464" s="70"/>
      <c r="X464" s="70"/>
      <c r="Y464" s="70"/>
      <c r="Z464" s="70"/>
    </row>
    <row r="465" customFormat="false" ht="12.75" hidden="false" customHeight="false" outlineLevel="1" collapsed="false">
      <c r="A465" s="70"/>
      <c r="B465" s="70"/>
      <c r="C465" s="70"/>
      <c r="D465" s="70"/>
      <c r="E465" s="70"/>
      <c r="F465" s="70"/>
      <c r="G465" s="70"/>
      <c r="H465" s="70"/>
      <c r="I465" s="70"/>
      <c r="J465" s="70"/>
      <c r="K465" s="70"/>
      <c r="L465" s="70"/>
      <c r="M465" s="70"/>
      <c r="N465" s="70"/>
      <c r="O465" s="70"/>
      <c r="P465" s="70"/>
      <c r="Q465" s="70"/>
      <c r="R465" s="70"/>
      <c r="S465" s="70"/>
      <c r="T465" s="70"/>
      <c r="U465" s="70"/>
      <c r="V465" s="70"/>
      <c r="W465" s="70"/>
      <c r="X465" s="70"/>
      <c r="Y465" s="70"/>
      <c r="Z465" s="70"/>
    </row>
    <row r="466" customFormat="false" ht="18.75" hidden="false" customHeight="false" outlineLevel="1" collapsed="false">
      <c r="A466" s="705"/>
      <c r="B466" s="706"/>
      <c r="C466" s="706"/>
      <c r="D466" s="706"/>
      <c r="E466" s="706"/>
      <c r="F466" s="706"/>
      <c r="G466" s="706"/>
      <c r="H466" s="706"/>
      <c r="I466" s="707"/>
      <c r="J466" s="707"/>
      <c r="K466" s="707"/>
      <c r="L466" s="707"/>
      <c r="M466" s="707"/>
      <c r="N466" s="707"/>
      <c r="O466" s="707"/>
      <c r="P466" s="707"/>
      <c r="Q466" s="707"/>
      <c r="R466" s="707"/>
      <c r="S466" s="707"/>
      <c r="T466" s="707"/>
      <c r="U466" s="707"/>
      <c r="V466" s="707"/>
      <c r="W466" s="707"/>
      <c r="X466" s="707"/>
      <c r="Y466" s="707"/>
      <c r="Z466" s="707"/>
      <c r="AA466" s="707"/>
      <c r="AB466" s="707"/>
      <c r="AC466" s="707"/>
      <c r="AD466" s="707"/>
      <c r="AE466" s="707"/>
      <c r="AF466" s="707"/>
      <c r="AG466" s="707"/>
      <c r="AH466" s="707"/>
      <c r="AI466" s="707"/>
      <c r="AJ466" s="707"/>
      <c r="AK466" s="707"/>
      <c r="AL466" s="707"/>
      <c r="AM466" s="707"/>
      <c r="AN466" s="707"/>
      <c r="AO466" s="707"/>
      <c r="AP466" s="707"/>
      <c r="AQ466" s="707"/>
      <c r="AR466" s="707"/>
      <c r="AS466" s="707"/>
      <c r="AT466" s="707"/>
      <c r="AU466" s="707"/>
      <c r="AV466" s="707"/>
      <c r="AW466" s="707"/>
      <c r="AX466" s="707"/>
      <c r="AY466" s="707"/>
      <c r="AZ466" s="707"/>
      <c r="BA466" s="707"/>
      <c r="BB466" s="707"/>
      <c r="BC466" s="707"/>
      <c r="BD466" s="707"/>
      <c r="BE466" s="707"/>
      <c r="BF466" s="707"/>
      <c r="BG466" s="707"/>
      <c r="BH466" s="707"/>
      <c r="BI466" s="707"/>
      <c r="BJ466" s="707"/>
      <c r="BK466" s="707"/>
      <c r="BL466" s="707"/>
      <c r="BM466" s="707"/>
      <c r="BN466" s="707"/>
      <c r="BO466" s="707"/>
      <c r="BP466" s="707"/>
      <c r="BQ466" s="707"/>
      <c r="BR466" s="707"/>
      <c r="BS466" s="707"/>
      <c r="BT466" s="707"/>
      <c r="BU466" s="707"/>
      <c r="BV466" s="707"/>
      <c r="BW466" s="707"/>
      <c r="BX466" s="707"/>
      <c r="BY466" s="707"/>
      <c r="BZ466" s="707"/>
      <c r="CA466" s="707"/>
      <c r="CB466" s="707"/>
      <c r="CC466" s="707"/>
      <c r="CD466" s="707"/>
      <c r="CE466" s="707"/>
      <c r="CF466" s="707"/>
      <c r="CG466" s="707"/>
      <c r="CH466" s="707"/>
      <c r="CI466" s="707"/>
      <c r="CJ466" s="707"/>
      <c r="CK466" s="707"/>
      <c r="CL466" s="707"/>
      <c r="CM466" s="707"/>
      <c r="CN466" s="707"/>
      <c r="CO466" s="707"/>
      <c r="CP466" s="707"/>
      <c r="CQ466" s="707"/>
      <c r="CR466" s="707"/>
      <c r="CS466" s="707"/>
      <c r="CT466" s="707"/>
      <c r="CU466" s="707"/>
      <c r="CV466" s="707"/>
      <c r="CW466" s="707"/>
      <c r="CX466" s="707"/>
      <c r="CY466" s="707"/>
      <c r="CZ466" s="707"/>
      <c r="DA466" s="707"/>
      <c r="DB466" s="707"/>
      <c r="DC466" s="707"/>
      <c r="DD466" s="707"/>
      <c r="DE466" s="707"/>
      <c r="DF466" s="707"/>
      <c r="DG466" s="707"/>
      <c r="DH466" s="707"/>
      <c r="DI466" s="707"/>
      <c r="DJ466" s="707"/>
      <c r="DK466" s="707"/>
      <c r="DL466" s="707"/>
      <c r="DM466" s="707"/>
      <c r="DN466" s="707"/>
      <c r="DO466" s="707"/>
      <c r="DP466" s="707"/>
      <c r="DQ466" s="707"/>
      <c r="DR466" s="707"/>
      <c r="DS466" s="707"/>
      <c r="DT466" s="707"/>
      <c r="DU466" s="707"/>
      <c r="DV466" s="707"/>
      <c r="DW466" s="707"/>
      <c r="DX466" s="707"/>
      <c r="DY466" s="707"/>
      <c r="DZ466" s="707"/>
      <c r="EA466" s="707"/>
      <c r="EB466" s="707"/>
      <c r="EC466" s="707"/>
      <c r="ED466" s="707"/>
      <c r="EE466" s="707"/>
      <c r="EF466" s="707"/>
      <c r="EG466" s="707"/>
      <c r="EH466" s="707"/>
      <c r="EI466" s="707"/>
      <c r="EJ466" s="707"/>
      <c r="EK466" s="707"/>
      <c r="EL466" s="707"/>
      <c r="EM466" s="707"/>
      <c r="EN466" s="707"/>
      <c r="EO466" s="707"/>
      <c r="EP466" s="707"/>
      <c r="EQ466" s="707"/>
      <c r="ER466" s="707"/>
      <c r="ES466" s="707"/>
      <c r="ET466" s="707"/>
      <c r="EU466" s="707"/>
      <c r="EV466" s="707"/>
      <c r="EW466" s="707"/>
      <c r="EX466" s="707"/>
      <c r="EY466" s="707"/>
      <c r="EZ466" s="707"/>
      <c r="FA466" s="707"/>
      <c r="FB466" s="707"/>
      <c r="FC466" s="707"/>
      <c r="FD466" s="707"/>
      <c r="FE466" s="707"/>
      <c r="FF466" s="707"/>
      <c r="FG466" s="707"/>
      <c r="FH466" s="707"/>
      <c r="FI466" s="707"/>
      <c r="FJ466" s="707"/>
      <c r="FK466" s="707"/>
      <c r="FL466" s="707"/>
      <c r="FM466" s="707"/>
      <c r="FN466" s="707"/>
      <c r="FO466" s="707"/>
      <c r="FP466" s="707"/>
      <c r="FQ466" s="707"/>
      <c r="FR466" s="707"/>
      <c r="FS466" s="707"/>
      <c r="FT466" s="707"/>
      <c r="FU466" s="707"/>
      <c r="FV466" s="707"/>
      <c r="FW466" s="707"/>
      <c r="FX466" s="707"/>
      <c r="FY466" s="707"/>
      <c r="FZ466" s="707"/>
      <c r="GA466" s="707"/>
      <c r="GB466" s="707"/>
      <c r="GC466" s="707"/>
      <c r="GD466" s="707"/>
      <c r="GE466" s="707"/>
      <c r="GF466" s="707"/>
      <c r="GG466" s="707"/>
      <c r="GH466" s="707"/>
      <c r="GI466" s="707"/>
      <c r="GJ466" s="707"/>
      <c r="GK466" s="707"/>
      <c r="GL466" s="707"/>
      <c r="GM466" s="707"/>
      <c r="GN466" s="707"/>
      <c r="GO466" s="707"/>
      <c r="GP466" s="707"/>
      <c r="GQ466" s="707"/>
      <c r="GR466" s="707"/>
      <c r="GS466" s="707"/>
      <c r="GT466" s="707"/>
      <c r="GU466" s="707"/>
      <c r="GV466" s="707"/>
      <c r="GW466" s="707"/>
      <c r="GX466" s="707"/>
      <c r="GY466" s="707"/>
      <c r="GZ466" s="707"/>
      <c r="HA466" s="707"/>
      <c r="HB466" s="707"/>
      <c r="HC466" s="707"/>
      <c r="HD466" s="707"/>
      <c r="HE466" s="707"/>
      <c r="HF466" s="707"/>
      <c r="HG466" s="707"/>
      <c r="HH466" s="707"/>
      <c r="HI466" s="707"/>
      <c r="HJ466" s="707"/>
      <c r="HK466" s="707"/>
      <c r="HL466" s="707"/>
      <c r="HM466" s="707"/>
      <c r="HN466" s="707"/>
      <c r="HO466" s="707"/>
      <c r="HP466" s="707"/>
      <c r="HQ466" s="707"/>
      <c r="HR466" s="707"/>
      <c r="HS466" s="707"/>
      <c r="HT466" s="707"/>
      <c r="HU466" s="707"/>
      <c r="HV466" s="707"/>
      <c r="HW466" s="707"/>
      <c r="HX466" s="707"/>
      <c r="HY466" s="707"/>
      <c r="HZ466" s="707"/>
      <c r="IA466" s="707"/>
      <c r="IB466" s="707"/>
      <c r="IC466" s="707"/>
      <c r="ID466" s="707"/>
      <c r="IE466" s="707"/>
      <c r="IF466" s="707"/>
      <c r="IG466" s="707"/>
      <c r="IH466" s="707"/>
      <c r="II466" s="707"/>
      <c r="IJ466" s="707"/>
      <c r="IK466" s="707"/>
      <c r="IL466" s="707"/>
      <c r="IM466" s="707"/>
      <c r="IN466" s="707"/>
      <c r="IO466" s="707"/>
      <c r="IP466" s="707"/>
      <c r="IQ466" s="707"/>
      <c r="IR466" s="707"/>
      <c r="IS466" s="707"/>
      <c r="IT466" s="707"/>
      <c r="IU466" s="707"/>
      <c r="IV466" s="707"/>
      <c r="IW466" s="707"/>
    </row>
    <row r="467" customFormat="false" ht="12.75" hidden="false" customHeight="false" outlineLevel="1" collapsed="false">
      <c r="A467" s="706"/>
      <c r="B467" s="706"/>
      <c r="C467" s="706"/>
      <c r="D467" s="706"/>
      <c r="E467" s="706"/>
      <c r="F467" s="706"/>
      <c r="G467" s="708"/>
      <c r="H467" s="709"/>
      <c r="I467" s="706"/>
      <c r="J467" s="710"/>
      <c r="K467" s="707"/>
      <c r="L467" s="707"/>
      <c r="M467" s="707"/>
      <c r="N467" s="707"/>
      <c r="O467" s="707"/>
      <c r="P467" s="707"/>
      <c r="Q467" s="707"/>
      <c r="R467" s="707"/>
      <c r="S467" s="707"/>
      <c r="T467" s="707"/>
      <c r="U467" s="707"/>
      <c r="V467" s="707"/>
      <c r="W467" s="707"/>
      <c r="X467" s="707"/>
      <c r="Y467" s="707"/>
      <c r="Z467" s="707"/>
      <c r="AA467" s="707"/>
      <c r="AB467" s="707"/>
      <c r="AC467" s="707"/>
      <c r="AD467" s="707"/>
      <c r="AE467" s="707"/>
      <c r="AF467" s="707"/>
      <c r="AG467" s="707"/>
      <c r="AH467" s="707"/>
      <c r="AI467" s="707"/>
      <c r="AJ467" s="707"/>
      <c r="AK467" s="707"/>
      <c r="AL467" s="707"/>
      <c r="AM467" s="707"/>
      <c r="AN467" s="707"/>
      <c r="AO467" s="707"/>
      <c r="AP467" s="707"/>
      <c r="AQ467" s="707"/>
      <c r="AR467" s="707"/>
      <c r="AS467" s="707"/>
      <c r="AT467" s="707"/>
      <c r="AU467" s="707"/>
      <c r="AV467" s="707"/>
      <c r="AW467" s="707"/>
      <c r="AX467" s="707"/>
      <c r="AY467" s="707"/>
      <c r="AZ467" s="707"/>
      <c r="BA467" s="707"/>
      <c r="BB467" s="707"/>
      <c r="BC467" s="707"/>
      <c r="BD467" s="707"/>
      <c r="BE467" s="707"/>
      <c r="BF467" s="707"/>
      <c r="BG467" s="707"/>
      <c r="BH467" s="707"/>
      <c r="BI467" s="707"/>
      <c r="BJ467" s="707"/>
      <c r="BK467" s="707"/>
      <c r="BL467" s="707"/>
      <c r="BM467" s="707"/>
      <c r="BN467" s="707"/>
      <c r="BO467" s="707"/>
      <c r="BP467" s="707"/>
      <c r="BQ467" s="707"/>
      <c r="BR467" s="707"/>
      <c r="BS467" s="707"/>
      <c r="BT467" s="707"/>
      <c r="BU467" s="707"/>
      <c r="BV467" s="707"/>
      <c r="BW467" s="707"/>
      <c r="BX467" s="707"/>
      <c r="BY467" s="707"/>
      <c r="BZ467" s="707"/>
      <c r="CA467" s="707"/>
      <c r="CB467" s="707"/>
      <c r="CC467" s="707"/>
      <c r="CD467" s="707"/>
      <c r="CE467" s="707"/>
      <c r="CF467" s="707"/>
      <c r="CG467" s="707"/>
      <c r="CH467" s="707"/>
      <c r="CI467" s="707"/>
      <c r="CJ467" s="707"/>
      <c r="CK467" s="707"/>
      <c r="CL467" s="707"/>
      <c r="CM467" s="707"/>
      <c r="CN467" s="707"/>
      <c r="CO467" s="707"/>
      <c r="CP467" s="707"/>
      <c r="CQ467" s="707"/>
      <c r="CR467" s="707"/>
      <c r="CS467" s="707"/>
      <c r="CT467" s="707"/>
      <c r="CU467" s="707"/>
      <c r="CV467" s="707"/>
      <c r="CW467" s="707"/>
      <c r="CX467" s="707"/>
      <c r="CY467" s="707"/>
      <c r="CZ467" s="707"/>
      <c r="DA467" s="707"/>
      <c r="DB467" s="707"/>
      <c r="DC467" s="707"/>
      <c r="DD467" s="707"/>
      <c r="DE467" s="707"/>
      <c r="DF467" s="707"/>
      <c r="DG467" s="707"/>
      <c r="DH467" s="707"/>
      <c r="DI467" s="707"/>
      <c r="DJ467" s="707"/>
      <c r="DK467" s="707"/>
      <c r="DL467" s="707"/>
      <c r="DM467" s="707"/>
      <c r="DN467" s="707"/>
      <c r="DO467" s="707"/>
      <c r="DP467" s="707"/>
      <c r="DQ467" s="707"/>
      <c r="DR467" s="707"/>
      <c r="DS467" s="707"/>
      <c r="DT467" s="707"/>
      <c r="DU467" s="707"/>
      <c r="DV467" s="707"/>
      <c r="DW467" s="707"/>
      <c r="DX467" s="707"/>
      <c r="DY467" s="707"/>
      <c r="DZ467" s="707"/>
      <c r="EA467" s="707"/>
      <c r="EB467" s="707"/>
      <c r="EC467" s="707"/>
      <c r="ED467" s="707"/>
      <c r="EE467" s="707"/>
      <c r="EF467" s="707"/>
      <c r="EG467" s="707"/>
      <c r="EH467" s="707"/>
      <c r="EI467" s="707"/>
      <c r="EJ467" s="707"/>
      <c r="EK467" s="707"/>
      <c r="EL467" s="707"/>
      <c r="EM467" s="707"/>
      <c r="EN467" s="707"/>
      <c r="EO467" s="707"/>
      <c r="EP467" s="707"/>
      <c r="EQ467" s="707"/>
      <c r="ER467" s="707"/>
      <c r="ES467" s="707"/>
      <c r="ET467" s="707"/>
      <c r="EU467" s="707"/>
      <c r="EV467" s="707"/>
      <c r="EW467" s="707"/>
      <c r="EX467" s="707"/>
      <c r="EY467" s="707"/>
      <c r="EZ467" s="707"/>
      <c r="FA467" s="707"/>
      <c r="FB467" s="707"/>
      <c r="FC467" s="707"/>
      <c r="FD467" s="707"/>
      <c r="FE467" s="707"/>
      <c r="FF467" s="707"/>
      <c r="FG467" s="707"/>
      <c r="FH467" s="707"/>
      <c r="FI467" s="707"/>
      <c r="FJ467" s="707"/>
      <c r="FK467" s="707"/>
      <c r="FL467" s="707"/>
      <c r="FM467" s="707"/>
      <c r="FN467" s="707"/>
      <c r="FO467" s="707"/>
      <c r="FP467" s="707"/>
      <c r="FQ467" s="707"/>
      <c r="FR467" s="707"/>
      <c r="FS467" s="707"/>
      <c r="FT467" s="707"/>
      <c r="FU467" s="707"/>
      <c r="FV467" s="707"/>
      <c r="FW467" s="707"/>
      <c r="FX467" s="707"/>
      <c r="FY467" s="707"/>
      <c r="FZ467" s="707"/>
      <c r="GA467" s="707"/>
      <c r="GB467" s="707"/>
      <c r="GC467" s="707"/>
      <c r="GD467" s="707"/>
      <c r="GE467" s="707"/>
      <c r="GF467" s="707"/>
      <c r="GG467" s="707"/>
      <c r="GH467" s="707"/>
      <c r="GI467" s="707"/>
      <c r="GJ467" s="707"/>
      <c r="GK467" s="707"/>
      <c r="GL467" s="707"/>
      <c r="GM467" s="707"/>
      <c r="GN467" s="707"/>
      <c r="GO467" s="707"/>
      <c r="GP467" s="707"/>
      <c r="GQ467" s="707"/>
      <c r="GR467" s="707"/>
      <c r="GS467" s="707"/>
      <c r="GT467" s="707"/>
      <c r="GU467" s="707"/>
      <c r="GV467" s="707"/>
      <c r="GW467" s="707"/>
      <c r="GX467" s="707"/>
      <c r="GY467" s="707"/>
      <c r="GZ467" s="707"/>
      <c r="HA467" s="707"/>
      <c r="HB467" s="707"/>
      <c r="HC467" s="707"/>
      <c r="HD467" s="707"/>
      <c r="HE467" s="707"/>
      <c r="HF467" s="707"/>
      <c r="HG467" s="707"/>
      <c r="HH467" s="707"/>
      <c r="HI467" s="707"/>
      <c r="HJ467" s="707"/>
      <c r="HK467" s="707"/>
      <c r="HL467" s="707"/>
      <c r="HM467" s="707"/>
      <c r="HN467" s="707"/>
      <c r="HO467" s="707"/>
      <c r="HP467" s="707"/>
      <c r="HQ467" s="707"/>
      <c r="HR467" s="707"/>
      <c r="HS467" s="707"/>
      <c r="HT467" s="707"/>
      <c r="HU467" s="707"/>
      <c r="HV467" s="707"/>
      <c r="HW467" s="707"/>
      <c r="HX467" s="707"/>
      <c r="HY467" s="707"/>
      <c r="HZ467" s="707"/>
      <c r="IA467" s="707"/>
      <c r="IB467" s="707"/>
      <c r="IC467" s="707"/>
      <c r="ID467" s="707"/>
      <c r="IE467" s="707"/>
      <c r="IF467" s="707"/>
      <c r="IG467" s="707"/>
      <c r="IH467" s="707"/>
      <c r="II467" s="707"/>
      <c r="IJ467" s="707"/>
      <c r="IK467" s="707"/>
      <c r="IL467" s="707"/>
      <c r="IM467" s="707"/>
      <c r="IN467" s="707"/>
      <c r="IO467" s="707"/>
      <c r="IP467" s="707"/>
      <c r="IQ467" s="707"/>
      <c r="IR467" s="707"/>
      <c r="IS467" s="707"/>
      <c r="IT467" s="707"/>
      <c r="IU467" s="707"/>
      <c r="IV467" s="707"/>
      <c r="IW467" s="707"/>
    </row>
    <row r="468" customFormat="false" ht="12.75" hidden="false" customHeight="false" outlineLevel="1" collapsed="false">
      <c r="A468" s="706"/>
      <c r="B468" s="709"/>
      <c r="C468" s="709"/>
      <c r="D468" s="709"/>
      <c r="E468" s="709"/>
      <c r="F468" s="709"/>
      <c r="G468" s="711"/>
      <c r="H468" s="688"/>
      <c r="I468" s="688"/>
      <c r="J468" s="710"/>
      <c r="K468" s="707"/>
      <c r="L468" s="707"/>
      <c r="M468" s="707"/>
      <c r="N468" s="707"/>
      <c r="O468" s="707"/>
      <c r="P468" s="707"/>
      <c r="Q468" s="707"/>
      <c r="R468" s="707"/>
      <c r="S468" s="707"/>
      <c r="T468" s="707"/>
      <c r="U468" s="707"/>
      <c r="V468" s="707"/>
      <c r="W468" s="707"/>
      <c r="X468" s="707"/>
      <c r="Y468" s="707"/>
      <c r="Z468" s="707"/>
      <c r="AA468" s="707"/>
      <c r="AB468" s="707"/>
      <c r="AC468" s="707"/>
      <c r="AD468" s="707"/>
      <c r="AE468" s="707"/>
      <c r="AF468" s="707"/>
      <c r="AG468" s="707"/>
      <c r="AH468" s="707"/>
      <c r="AI468" s="707"/>
      <c r="AJ468" s="707"/>
      <c r="AK468" s="707"/>
      <c r="AL468" s="707"/>
      <c r="AM468" s="707"/>
      <c r="AN468" s="707"/>
      <c r="AO468" s="707"/>
      <c r="AP468" s="707"/>
      <c r="AQ468" s="707"/>
      <c r="AR468" s="707"/>
      <c r="AS468" s="707"/>
      <c r="AT468" s="707"/>
      <c r="AU468" s="707"/>
      <c r="AV468" s="707"/>
      <c r="AW468" s="707"/>
      <c r="AX468" s="707"/>
      <c r="AY468" s="707"/>
      <c r="AZ468" s="707"/>
      <c r="BA468" s="707"/>
      <c r="BB468" s="707"/>
      <c r="BC468" s="707"/>
      <c r="BD468" s="707"/>
      <c r="BE468" s="707"/>
      <c r="BF468" s="707"/>
      <c r="BG468" s="707"/>
      <c r="BH468" s="707"/>
      <c r="BI468" s="707"/>
      <c r="BJ468" s="707"/>
      <c r="BK468" s="707"/>
      <c r="BL468" s="707"/>
      <c r="BM468" s="707"/>
      <c r="BN468" s="707"/>
      <c r="BO468" s="707"/>
      <c r="BP468" s="707"/>
      <c r="BQ468" s="707"/>
      <c r="BR468" s="707"/>
      <c r="BS468" s="707"/>
      <c r="BT468" s="707"/>
      <c r="BU468" s="707"/>
      <c r="BV468" s="707"/>
      <c r="BW468" s="707"/>
      <c r="BX468" s="707"/>
      <c r="BY468" s="707"/>
      <c r="BZ468" s="707"/>
      <c r="CA468" s="707"/>
      <c r="CB468" s="707"/>
      <c r="CC468" s="707"/>
      <c r="CD468" s="707"/>
      <c r="CE468" s="707"/>
      <c r="CF468" s="707"/>
      <c r="CG468" s="707"/>
      <c r="CH468" s="707"/>
      <c r="CI468" s="707"/>
      <c r="CJ468" s="707"/>
      <c r="CK468" s="707"/>
      <c r="CL468" s="707"/>
      <c r="CM468" s="707"/>
      <c r="CN468" s="707"/>
      <c r="CO468" s="707"/>
      <c r="CP468" s="707"/>
      <c r="CQ468" s="707"/>
      <c r="CR468" s="707"/>
      <c r="CS468" s="707"/>
      <c r="CT468" s="707"/>
      <c r="CU468" s="707"/>
      <c r="CV468" s="707"/>
      <c r="CW468" s="707"/>
      <c r="CX468" s="707"/>
      <c r="CY468" s="707"/>
      <c r="CZ468" s="707"/>
      <c r="DA468" s="707"/>
      <c r="DB468" s="707"/>
      <c r="DC468" s="707"/>
      <c r="DD468" s="707"/>
      <c r="DE468" s="707"/>
      <c r="DF468" s="707"/>
      <c r="DG468" s="707"/>
      <c r="DH468" s="707"/>
      <c r="DI468" s="707"/>
      <c r="DJ468" s="707"/>
      <c r="DK468" s="707"/>
      <c r="DL468" s="707"/>
      <c r="DM468" s="707"/>
      <c r="DN468" s="707"/>
      <c r="DO468" s="707"/>
      <c r="DP468" s="707"/>
      <c r="DQ468" s="707"/>
      <c r="DR468" s="707"/>
      <c r="DS468" s="707"/>
      <c r="DT468" s="707"/>
      <c r="DU468" s="707"/>
      <c r="DV468" s="707"/>
      <c r="DW468" s="707"/>
      <c r="DX468" s="707"/>
      <c r="DY468" s="707"/>
      <c r="DZ468" s="707"/>
      <c r="EA468" s="707"/>
      <c r="EB468" s="707"/>
      <c r="EC468" s="707"/>
      <c r="ED468" s="707"/>
      <c r="EE468" s="707"/>
      <c r="EF468" s="707"/>
      <c r="EG468" s="707"/>
      <c r="EH468" s="707"/>
      <c r="EI468" s="707"/>
      <c r="EJ468" s="707"/>
      <c r="EK468" s="707"/>
      <c r="EL468" s="707"/>
      <c r="EM468" s="707"/>
      <c r="EN468" s="707"/>
      <c r="EO468" s="707"/>
      <c r="EP468" s="707"/>
      <c r="EQ468" s="707"/>
      <c r="ER468" s="707"/>
      <c r="ES468" s="707"/>
      <c r="ET468" s="707"/>
      <c r="EU468" s="707"/>
      <c r="EV468" s="707"/>
      <c r="EW468" s="707"/>
      <c r="EX468" s="707"/>
      <c r="EY468" s="707"/>
      <c r="EZ468" s="707"/>
      <c r="FA468" s="707"/>
      <c r="FB468" s="707"/>
      <c r="FC468" s="707"/>
      <c r="FD468" s="707"/>
      <c r="FE468" s="707"/>
      <c r="FF468" s="707"/>
      <c r="FG468" s="707"/>
      <c r="FH468" s="707"/>
      <c r="FI468" s="707"/>
      <c r="FJ468" s="707"/>
      <c r="FK468" s="707"/>
      <c r="FL468" s="707"/>
      <c r="FM468" s="707"/>
      <c r="FN468" s="707"/>
      <c r="FO468" s="707"/>
      <c r="FP468" s="707"/>
      <c r="FQ468" s="707"/>
      <c r="FR468" s="707"/>
      <c r="FS468" s="707"/>
      <c r="FT468" s="707"/>
      <c r="FU468" s="707"/>
      <c r="FV468" s="707"/>
      <c r="FW468" s="707"/>
      <c r="FX468" s="707"/>
      <c r="FY468" s="707"/>
      <c r="FZ468" s="707"/>
      <c r="GA468" s="707"/>
      <c r="GB468" s="707"/>
      <c r="GC468" s="707"/>
      <c r="GD468" s="707"/>
      <c r="GE468" s="707"/>
      <c r="GF468" s="707"/>
      <c r="GG468" s="707"/>
      <c r="GH468" s="707"/>
      <c r="GI468" s="707"/>
      <c r="GJ468" s="707"/>
      <c r="GK468" s="707"/>
      <c r="GL468" s="707"/>
      <c r="GM468" s="707"/>
      <c r="GN468" s="707"/>
      <c r="GO468" s="707"/>
      <c r="GP468" s="707"/>
      <c r="GQ468" s="707"/>
      <c r="GR468" s="707"/>
      <c r="GS468" s="707"/>
      <c r="GT468" s="707"/>
      <c r="GU468" s="707"/>
      <c r="GV468" s="707"/>
      <c r="GW468" s="707"/>
      <c r="GX468" s="707"/>
      <c r="GY468" s="707"/>
      <c r="GZ468" s="707"/>
      <c r="HA468" s="707"/>
      <c r="HB468" s="707"/>
      <c r="HC468" s="707"/>
      <c r="HD468" s="707"/>
      <c r="HE468" s="707"/>
      <c r="HF468" s="707"/>
      <c r="HG468" s="707"/>
      <c r="HH468" s="707"/>
      <c r="HI468" s="707"/>
      <c r="HJ468" s="707"/>
      <c r="HK468" s="707"/>
      <c r="HL468" s="707"/>
      <c r="HM468" s="707"/>
      <c r="HN468" s="707"/>
      <c r="HO468" s="707"/>
      <c r="HP468" s="707"/>
      <c r="HQ468" s="707"/>
      <c r="HR468" s="707"/>
      <c r="HS468" s="707"/>
      <c r="HT468" s="707"/>
      <c r="HU468" s="707"/>
      <c r="HV468" s="707"/>
      <c r="HW468" s="707"/>
      <c r="HX468" s="707"/>
      <c r="HY468" s="707"/>
      <c r="HZ468" s="707"/>
      <c r="IA468" s="707"/>
      <c r="IB468" s="707"/>
      <c r="IC468" s="707"/>
      <c r="ID468" s="707"/>
      <c r="IE468" s="707"/>
      <c r="IF468" s="707"/>
      <c r="IG468" s="707"/>
      <c r="IH468" s="707"/>
      <c r="II468" s="707"/>
      <c r="IJ468" s="707"/>
      <c r="IK468" s="707"/>
      <c r="IL468" s="707"/>
      <c r="IM468" s="707"/>
      <c r="IN468" s="707"/>
      <c r="IO468" s="707"/>
      <c r="IP468" s="707"/>
      <c r="IQ468" s="707"/>
      <c r="IR468" s="707"/>
      <c r="IS468" s="707"/>
      <c r="IT468" s="707"/>
      <c r="IU468" s="707"/>
      <c r="IV468" s="707"/>
      <c r="IW468" s="707"/>
    </row>
    <row r="469" customFormat="false" ht="12.75" hidden="false" customHeight="false" outlineLevel="1" collapsed="false">
      <c r="A469" s="706"/>
      <c r="B469" s="688"/>
      <c r="C469" s="688"/>
      <c r="D469" s="688"/>
      <c r="E469" s="688"/>
      <c r="F469" s="688"/>
      <c r="G469" s="688"/>
      <c r="H469" s="710"/>
      <c r="I469" s="688"/>
      <c r="J469" s="711"/>
      <c r="K469" s="707"/>
      <c r="L469" s="707"/>
      <c r="M469" s="707"/>
      <c r="N469" s="707"/>
      <c r="O469" s="707"/>
      <c r="P469" s="707"/>
      <c r="Q469" s="707"/>
      <c r="R469" s="707"/>
      <c r="S469" s="707"/>
      <c r="T469" s="707"/>
      <c r="U469" s="707"/>
      <c r="V469" s="707"/>
      <c r="W469" s="707"/>
      <c r="X469" s="707"/>
      <c r="Y469" s="707"/>
      <c r="Z469" s="707"/>
      <c r="AA469" s="707"/>
      <c r="AB469" s="707"/>
      <c r="AC469" s="707"/>
      <c r="AD469" s="707"/>
      <c r="AE469" s="707"/>
      <c r="AF469" s="707"/>
      <c r="AG469" s="707"/>
      <c r="AH469" s="707"/>
      <c r="AI469" s="707"/>
      <c r="AJ469" s="707"/>
      <c r="AK469" s="707"/>
      <c r="AL469" s="707"/>
      <c r="AM469" s="707"/>
      <c r="AN469" s="707"/>
      <c r="AO469" s="707"/>
      <c r="AP469" s="707"/>
      <c r="AQ469" s="707"/>
      <c r="AR469" s="707"/>
      <c r="AS469" s="707"/>
      <c r="AT469" s="707"/>
      <c r="AU469" s="707"/>
      <c r="AV469" s="707"/>
      <c r="AW469" s="707"/>
      <c r="AX469" s="707"/>
      <c r="AY469" s="707"/>
      <c r="AZ469" s="707"/>
      <c r="BA469" s="707"/>
      <c r="BB469" s="707"/>
      <c r="BC469" s="707"/>
      <c r="BD469" s="707"/>
      <c r="BE469" s="707"/>
      <c r="BF469" s="707"/>
      <c r="BG469" s="707"/>
      <c r="BH469" s="707"/>
      <c r="BI469" s="707"/>
      <c r="BJ469" s="707"/>
      <c r="BK469" s="707"/>
      <c r="BL469" s="707"/>
      <c r="BM469" s="707"/>
      <c r="BN469" s="707"/>
      <c r="BO469" s="707"/>
      <c r="BP469" s="707"/>
      <c r="BQ469" s="707"/>
      <c r="BR469" s="707"/>
      <c r="BS469" s="707"/>
      <c r="BT469" s="707"/>
      <c r="BU469" s="707"/>
      <c r="BV469" s="707"/>
      <c r="BW469" s="707"/>
      <c r="BX469" s="707"/>
      <c r="BY469" s="707"/>
      <c r="BZ469" s="707"/>
      <c r="CA469" s="707"/>
      <c r="CB469" s="707"/>
      <c r="CC469" s="707"/>
      <c r="CD469" s="707"/>
      <c r="CE469" s="707"/>
      <c r="CF469" s="707"/>
      <c r="CG469" s="707"/>
      <c r="CH469" s="707"/>
      <c r="CI469" s="707"/>
      <c r="CJ469" s="707"/>
      <c r="CK469" s="707"/>
      <c r="CL469" s="707"/>
      <c r="CM469" s="707"/>
      <c r="CN469" s="707"/>
      <c r="CO469" s="707"/>
      <c r="CP469" s="707"/>
      <c r="CQ469" s="707"/>
      <c r="CR469" s="707"/>
      <c r="CS469" s="707"/>
      <c r="CT469" s="707"/>
      <c r="CU469" s="707"/>
      <c r="CV469" s="707"/>
      <c r="CW469" s="707"/>
      <c r="CX469" s="707"/>
      <c r="CY469" s="707"/>
      <c r="CZ469" s="707"/>
      <c r="DA469" s="707"/>
      <c r="DB469" s="707"/>
      <c r="DC469" s="707"/>
      <c r="DD469" s="707"/>
      <c r="DE469" s="707"/>
      <c r="DF469" s="707"/>
      <c r="DG469" s="707"/>
      <c r="DH469" s="707"/>
      <c r="DI469" s="707"/>
      <c r="DJ469" s="707"/>
      <c r="DK469" s="707"/>
      <c r="DL469" s="707"/>
      <c r="DM469" s="707"/>
      <c r="DN469" s="707"/>
      <c r="DO469" s="707"/>
      <c r="DP469" s="707"/>
      <c r="DQ469" s="707"/>
      <c r="DR469" s="707"/>
      <c r="DS469" s="707"/>
      <c r="DT469" s="707"/>
      <c r="DU469" s="707"/>
      <c r="DV469" s="707"/>
      <c r="DW469" s="707"/>
      <c r="DX469" s="707"/>
      <c r="DY469" s="707"/>
      <c r="DZ469" s="707"/>
      <c r="EA469" s="707"/>
      <c r="EB469" s="707"/>
      <c r="EC469" s="707"/>
      <c r="ED469" s="707"/>
      <c r="EE469" s="707"/>
      <c r="EF469" s="707"/>
      <c r="EG469" s="707"/>
      <c r="EH469" s="707"/>
      <c r="EI469" s="707"/>
      <c r="EJ469" s="707"/>
      <c r="EK469" s="707"/>
      <c r="EL469" s="707"/>
      <c r="EM469" s="707"/>
      <c r="EN469" s="707"/>
      <c r="EO469" s="707"/>
      <c r="EP469" s="707"/>
      <c r="EQ469" s="707"/>
      <c r="ER469" s="707"/>
      <c r="ES469" s="707"/>
      <c r="ET469" s="707"/>
      <c r="EU469" s="707"/>
      <c r="EV469" s="707"/>
      <c r="EW469" s="707"/>
      <c r="EX469" s="707"/>
      <c r="EY469" s="707"/>
      <c r="EZ469" s="707"/>
      <c r="FA469" s="707"/>
      <c r="FB469" s="707"/>
      <c r="FC469" s="707"/>
      <c r="FD469" s="707"/>
      <c r="FE469" s="707"/>
      <c r="FF469" s="707"/>
      <c r="FG469" s="707"/>
      <c r="FH469" s="707"/>
      <c r="FI469" s="707"/>
      <c r="FJ469" s="707"/>
      <c r="FK469" s="707"/>
      <c r="FL469" s="707"/>
      <c r="FM469" s="707"/>
      <c r="FN469" s="707"/>
      <c r="FO469" s="707"/>
      <c r="FP469" s="707"/>
      <c r="FQ469" s="707"/>
      <c r="FR469" s="707"/>
      <c r="FS469" s="707"/>
      <c r="FT469" s="707"/>
      <c r="FU469" s="707"/>
      <c r="FV469" s="707"/>
      <c r="FW469" s="707"/>
      <c r="FX469" s="707"/>
      <c r="FY469" s="707"/>
      <c r="FZ469" s="707"/>
      <c r="GA469" s="707"/>
      <c r="GB469" s="707"/>
      <c r="GC469" s="707"/>
      <c r="GD469" s="707"/>
      <c r="GE469" s="707"/>
      <c r="GF469" s="707"/>
      <c r="GG469" s="707"/>
      <c r="GH469" s="707"/>
      <c r="GI469" s="707"/>
      <c r="GJ469" s="707"/>
      <c r="GK469" s="707"/>
      <c r="GL469" s="707"/>
      <c r="GM469" s="707"/>
      <c r="GN469" s="707"/>
      <c r="GO469" s="707"/>
      <c r="GP469" s="707"/>
      <c r="GQ469" s="707"/>
      <c r="GR469" s="707"/>
      <c r="GS469" s="707"/>
      <c r="GT469" s="707"/>
      <c r="GU469" s="707"/>
      <c r="GV469" s="707"/>
      <c r="GW469" s="707"/>
      <c r="GX469" s="707"/>
      <c r="GY469" s="707"/>
      <c r="GZ469" s="707"/>
      <c r="HA469" s="707"/>
      <c r="HB469" s="707"/>
      <c r="HC469" s="707"/>
      <c r="HD469" s="707"/>
      <c r="HE469" s="707"/>
      <c r="HF469" s="707"/>
      <c r="HG469" s="707"/>
      <c r="HH469" s="707"/>
      <c r="HI469" s="707"/>
      <c r="HJ469" s="707"/>
      <c r="HK469" s="707"/>
      <c r="HL469" s="707"/>
      <c r="HM469" s="707"/>
      <c r="HN469" s="707"/>
      <c r="HO469" s="707"/>
      <c r="HP469" s="707"/>
      <c r="HQ469" s="707"/>
      <c r="HR469" s="707"/>
      <c r="HS469" s="707"/>
      <c r="HT469" s="707"/>
      <c r="HU469" s="707"/>
      <c r="HV469" s="707"/>
      <c r="HW469" s="707"/>
      <c r="HX469" s="707"/>
      <c r="HY469" s="707"/>
      <c r="HZ469" s="707"/>
      <c r="IA469" s="707"/>
      <c r="IB469" s="707"/>
      <c r="IC469" s="707"/>
      <c r="ID469" s="707"/>
      <c r="IE469" s="707"/>
      <c r="IF469" s="707"/>
      <c r="IG469" s="707"/>
      <c r="IH469" s="707"/>
      <c r="II469" s="707"/>
      <c r="IJ469" s="707"/>
      <c r="IK469" s="707"/>
      <c r="IL469" s="707"/>
      <c r="IM469" s="707"/>
      <c r="IN469" s="707"/>
      <c r="IO469" s="707"/>
      <c r="IP469" s="707"/>
      <c r="IQ469" s="707"/>
      <c r="IR469" s="707"/>
      <c r="IS469" s="707"/>
      <c r="IT469" s="707"/>
      <c r="IU469" s="707"/>
      <c r="IV469" s="707"/>
      <c r="IW469" s="707"/>
    </row>
    <row r="470" customFormat="false" ht="12.75" hidden="false" customHeight="false" outlineLevel="1" collapsed="false">
      <c r="A470" s="712"/>
      <c r="B470" s="708"/>
      <c r="C470" s="708"/>
      <c r="D470" s="708"/>
      <c r="E470" s="708"/>
      <c r="F470" s="708"/>
      <c r="G470" s="708"/>
      <c r="H470" s="708"/>
      <c r="I470" s="708"/>
      <c r="J470" s="708"/>
      <c r="K470" s="708"/>
      <c r="L470" s="708"/>
      <c r="M470" s="708"/>
      <c r="N470" s="708"/>
      <c r="O470" s="708"/>
      <c r="P470" s="708"/>
      <c r="Q470" s="708"/>
      <c r="R470" s="708"/>
      <c r="S470" s="708"/>
      <c r="T470" s="708"/>
      <c r="U470" s="708"/>
      <c r="V470" s="708"/>
      <c r="W470" s="708"/>
      <c r="X470" s="708"/>
      <c r="Y470" s="708"/>
      <c r="Z470" s="708"/>
      <c r="AA470" s="707"/>
      <c r="AB470" s="707"/>
      <c r="AC470" s="707"/>
      <c r="AD470" s="707"/>
      <c r="AE470" s="707"/>
      <c r="AF470" s="707"/>
      <c r="AG470" s="707"/>
      <c r="AH470" s="707"/>
      <c r="AI470" s="707"/>
      <c r="AJ470" s="707"/>
      <c r="AK470" s="707"/>
      <c r="AL470" s="707"/>
      <c r="AM470" s="707"/>
      <c r="AN470" s="707"/>
      <c r="AO470" s="707"/>
      <c r="AP470" s="707"/>
      <c r="AQ470" s="707"/>
      <c r="AR470" s="707"/>
      <c r="AS470" s="707"/>
      <c r="AT470" s="707"/>
      <c r="AU470" s="707"/>
      <c r="AV470" s="707"/>
      <c r="AW470" s="707"/>
      <c r="AX470" s="707"/>
      <c r="AY470" s="707"/>
      <c r="AZ470" s="707"/>
      <c r="BA470" s="707"/>
      <c r="BB470" s="707"/>
      <c r="BC470" s="707"/>
      <c r="BD470" s="707"/>
      <c r="BE470" s="707"/>
      <c r="BF470" s="707"/>
      <c r="BG470" s="707"/>
      <c r="BH470" s="707"/>
      <c r="BI470" s="707"/>
      <c r="BJ470" s="707"/>
      <c r="BK470" s="707"/>
      <c r="BL470" s="707"/>
      <c r="BM470" s="707"/>
      <c r="BN470" s="707"/>
      <c r="BO470" s="707"/>
      <c r="BP470" s="707"/>
      <c r="BQ470" s="707"/>
      <c r="BR470" s="707"/>
      <c r="BS470" s="707"/>
      <c r="BT470" s="707"/>
      <c r="BU470" s="707"/>
      <c r="BV470" s="707"/>
      <c r="BW470" s="707"/>
      <c r="BX470" s="707"/>
      <c r="BY470" s="707"/>
      <c r="BZ470" s="707"/>
      <c r="CA470" s="707"/>
      <c r="CB470" s="707"/>
      <c r="CC470" s="707"/>
      <c r="CD470" s="707"/>
      <c r="CE470" s="707"/>
      <c r="CF470" s="707"/>
      <c r="CG470" s="707"/>
      <c r="CH470" s="707"/>
      <c r="CI470" s="707"/>
      <c r="CJ470" s="707"/>
      <c r="CK470" s="707"/>
      <c r="CL470" s="707"/>
      <c r="CM470" s="707"/>
      <c r="CN470" s="707"/>
      <c r="CO470" s="707"/>
      <c r="CP470" s="707"/>
      <c r="CQ470" s="707"/>
      <c r="CR470" s="707"/>
      <c r="CS470" s="707"/>
      <c r="CT470" s="707"/>
      <c r="CU470" s="707"/>
      <c r="CV470" s="707"/>
      <c r="CW470" s="707"/>
      <c r="CX470" s="707"/>
      <c r="CY470" s="707"/>
      <c r="CZ470" s="707"/>
      <c r="DA470" s="707"/>
      <c r="DB470" s="707"/>
      <c r="DC470" s="707"/>
      <c r="DD470" s="707"/>
      <c r="DE470" s="707"/>
      <c r="DF470" s="707"/>
      <c r="DG470" s="707"/>
      <c r="DH470" s="707"/>
      <c r="DI470" s="707"/>
      <c r="DJ470" s="707"/>
      <c r="DK470" s="707"/>
      <c r="DL470" s="707"/>
      <c r="DM470" s="707"/>
      <c r="DN470" s="707"/>
      <c r="DO470" s="707"/>
      <c r="DP470" s="707"/>
      <c r="DQ470" s="707"/>
      <c r="DR470" s="707"/>
      <c r="DS470" s="707"/>
      <c r="DT470" s="707"/>
      <c r="DU470" s="707"/>
      <c r="DV470" s="707"/>
      <c r="DW470" s="707"/>
      <c r="DX470" s="707"/>
      <c r="DY470" s="707"/>
      <c r="DZ470" s="707"/>
      <c r="EA470" s="707"/>
      <c r="EB470" s="707"/>
      <c r="EC470" s="707"/>
      <c r="ED470" s="707"/>
      <c r="EE470" s="707"/>
      <c r="EF470" s="707"/>
      <c r="EG470" s="707"/>
      <c r="EH470" s="707"/>
      <c r="EI470" s="707"/>
      <c r="EJ470" s="707"/>
      <c r="EK470" s="707"/>
      <c r="EL470" s="707"/>
      <c r="EM470" s="707"/>
      <c r="EN470" s="707"/>
      <c r="EO470" s="707"/>
      <c r="EP470" s="707"/>
      <c r="EQ470" s="707"/>
      <c r="ER470" s="707"/>
      <c r="ES470" s="707"/>
      <c r="ET470" s="707"/>
      <c r="EU470" s="707"/>
      <c r="EV470" s="707"/>
      <c r="EW470" s="707"/>
      <c r="EX470" s="707"/>
      <c r="EY470" s="707"/>
      <c r="EZ470" s="707"/>
      <c r="FA470" s="707"/>
      <c r="FB470" s="707"/>
      <c r="FC470" s="707"/>
      <c r="FD470" s="707"/>
      <c r="FE470" s="707"/>
      <c r="FF470" s="707"/>
      <c r="FG470" s="707"/>
      <c r="FH470" s="707"/>
      <c r="FI470" s="707"/>
      <c r="FJ470" s="707"/>
      <c r="FK470" s="707"/>
      <c r="FL470" s="707"/>
      <c r="FM470" s="707"/>
      <c r="FN470" s="707"/>
      <c r="FO470" s="707"/>
      <c r="FP470" s="707"/>
      <c r="FQ470" s="707"/>
      <c r="FR470" s="707"/>
      <c r="FS470" s="707"/>
      <c r="FT470" s="707"/>
      <c r="FU470" s="707"/>
      <c r="FV470" s="707"/>
      <c r="FW470" s="707"/>
      <c r="FX470" s="707"/>
      <c r="FY470" s="707"/>
      <c r="FZ470" s="707"/>
      <c r="GA470" s="707"/>
      <c r="GB470" s="707"/>
      <c r="GC470" s="707"/>
      <c r="GD470" s="707"/>
      <c r="GE470" s="707"/>
      <c r="GF470" s="707"/>
      <c r="GG470" s="707"/>
      <c r="GH470" s="707"/>
      <c r="GI470" s="707"/>
      <c r="GJ470" s="707"/>
      <c r="GK470" s="707"/>
      <c r="GL470" s="707"/>
      <c r="GM470" s="707"/>
      <c r="GN470" s="707"/>
      <c r="GO470" s="707"/>
      <c r="GP470" s="707"/>
      <c r="GQ470" s="707"/>
      <c r="GR470" s="707"/>
      <c r="GS470" s="707"/>
      <c r="GT470" s="707"/>
      <c r="GU470" s="707"/>
      <c r="GV470" s="707"/>
      <c r="GW470" s="707"/>
      <c r="GX470" s="707"/>
      <c r="GY470" s="707"/>
      <c r="GZ470" s="707"/>
      <c r="HA470" s="707"/>
      <c r="HB470" s="707"/>
      <c r="HC470" s="707"/>
      <c r="HD470" s="707"/>
      <c r="HE470" s="707"/>
      <c r="HF470" s="707"/>
      <c r="HG470" s="707"/>
      <c r="HH470" s="707"/>
      <c r="HI470" s="707"/>
      <c r="HJ470" s="707"/>
      <c r="HK470" s="707"/>
      <c r="HL470" s="707"/>
      <c r="HM470" s="707"/>
      <c r="HN470" s="707"/>
      <c r="HO470" s="707"/>
      <c r="HP470" s="707"/>
      <c r="HQ470" s="707"/>
      <c r="HR470" s="707"/>
      <c r="HS470" s="707"/>
      <c r="HT470" s="707"/>
      <c r="HU470" s="707"/>
      <c r="HV470" s="707"/>
      <c r="HW470" s="707"/>
      <c r="HX470" s="707"/>
      <c r="HY470" s="707"/>
      <c r="HZ470" s="707"/>
      <c r="IA470" s="707"/>
      <c r="IB470" s="707"/>
      <c r="IC470" s="707"/>
      <c r="ID470" s="707"/>
      <c r="IE470" s="707"/>
      <c r="IF470" s="707"/>
      <c r="IG470" s="707"/>
      <c r="IH470" s="707"/>
      <c r="II470" s="707"/>
      <c r="IJ470" s="707"/>
      <c r="IK470" s="707"/>
      <c r="IL470" s="707"/>
      <c r="IM470" s="707"/>
      <c r="IN470" s="707"/>
      <c r="IO470" s="707"/>
      <c r="IP470" s="707"/>
      <c r="IQ470" s="707"/>
      <c r="IR470" s="707"/>
      <c r="IS470" s="707"/>
      <c r="IT470" s="707"/>
      <c r="IU470" s="707"/>
      <c r="IV470" s="707"/>
      <c r="IW470" s="707"/>
    </row>
    <row r="471" customFormat="false" ht="12.75" hidden="false" customHeight="false" outlineLevel="1" collapsed="false">
      <c r="A471" s="388"/>
      <c r="B471" s="706"/>
      <c r="C471" s="706"/>
      <c r="D471" s="706"/>
      <c r="E471" s="706"/>
      <c r="F471" s="706"/>
      <c r="G471" s="706"/>
      <c r="H471" s="713"/>
      <c r="I471" s="713"/>
      <c r="J471" s="713"/>
      <c r="K471" s="713"/>
      <c r="L471" s="713"/>
      <c r="M471" s="713"/>
      <c r="N471" s="713"/>
      <c r="O471" s="713"/>
      <c r="P471" s="713"/>
      <c r="Q471" s="713"/>
      <c r="R471" s="713"/>
      <c r="S471" s="713"/>
      <c r="T471" s="713"/>
      <c r="U471" s="713"/>
      <c r="V471" s="713"/>
      <c r="W471" s="713"/>
      <c r="X471" s="713"/>
      <c r="Y471" s="713"/>
      <c r="Z471" s="713"/>
      <c r="AA471" s="707"/>
      <c r="AB471" s="707"/>
      <c r="AC471" s="707"/>
      <c r="AD471" s="707"/>
      <c r="AE471" s="707"/>
      <c r="AF471" s="707"/>
      <c r="AG471" s="707"/>
      <c r="AH471" s="707"/>
      <c r="AI471" s="707"/>
      <c r="AJ471" s="707"/>
      <c r="AK471" s="707"/>
      <c r="AL471" s="707"/>
      <c r="AM471" s="707"/>
      <c r="AN471" s="707"/>
      <c r="AO471" s="707"/>
      <c r="AP471" s="707"/>
      <c r="AQ471" s="707"/>
      <c r="AR471" s="707"/>
      <c r="AS471" s="707"/>
      <c r="AT471" s="707"/>
      <c r="AU471" s="707"/>
      <c r="AV471" s="707"/>
      <c r="AW471" s="707"/>
      <c r="AX471" s="707"/>
      <c r="AY471" s="707"/>
      <c r="AZ471" s="707"/>
      <c r="BA471" s="707"/>
      <c r="BB471" s="707"/>
      <c r="BC471" s="707"/>
      <c r="BD471" s="707"/>
      <c r="BE471" s="707"/>
      <c r="BF471" s="707"/>
      <c r="BG471" s="707"/>
      <c r="BH471" s="707"/>
      <c r="BI471" s="707"/>
      <c r="BJ471" s="707"/>
      <c r="BK471" s="707"/>
      <c r="BL471" s="707"/>
      <c r="BM471" s="707"/>
      <c r="BN471" s="707"/>
      <c r="BO471" s="707"/>
      <c r="BP471" s="707"/>
      <c r="BQ471" s="707"/>
      <c r="BR471" s="707"/>
      <c r="BS471" s="707"/>
      <c r="BT471" s="707"/>
      <c r="BU471" s="707"/>
      <c r="BV471" s="707"/>
      <c r="BW471" s="707"/>
      <c r="BX471" s="707"/>
      <c r="BY471" s="707"/>
      <c r="BZ471" s="707"/>
      <c r="CA471" s="707"/>
      <c r="CB471" s="707"/>
      <c r="CC471" s="707"/>
      <c r="CD471" s="707"/>
      <c r="CE471" s="707"/>
      <c r="CF471" s="707"/>
      <c r="CG471" s="707"/>
      <c r="CH471" s="707"/>
      <c r="CI471" s="707"/>
      <c r="CJ471" s="707"/>
      <c r="CK471" s="707"/>
      <c r="CL471" s="707"/>
      <c r="CM471" s="707"/>
      <c r="CN471" s="707"/>
      <c r="CO471" s="707"/>
      <c r="CP471" s="707"/>
      <c r="CQ471" s="707"/>
      <c r="CR471" s="707"/>
      <c r="CS471" s="707"/>
      <c r="CT471" s="707"/>
      <c r="CU471" s="707"/>
      <c r="CV471" s="707"/>
      <c r="CW471" s="707"/>
      <c r="CX471" s="707"/>
      <c r="CY471" s="707"/>
      <c r="CZ471" s="707"/>
      <c r="DA471" s="707"/>
      <c r="DB471" s="707"/>
      <c r="DC471" s="707"/>
      <c r="DD471" s="707"/>
      <c r="DE471" s="707"/>
      <c r="DF471" s="707"/>
      <c r="DG471" s="707"/>
      <c r="DH471" s="707"/>
      <c r="DI471" s="707"/>
      <c r="DJ471" s="707"/>
      <c r="DK471" s="707"/>
      <c r="DL471" s="707"/>
      <c r="DM471" s="707"/>
      <c r="DN471" s="707"/>
      <c r="DO471" s="707"/>
      <c r="DP471" s="707"/>
      <c r="DQ471" s="707"/>
      <c r="DR471" s="707"/>
      <c r="DS471" s="707"/>
      <c r="DT471" s="707"/>
      <c r="DU471" s="707"/>
      <c r="DV471" s="707"/>
      <c r="DW471" s="707"/>
      <c r="DX471" s="707"/>
      <c r="DY471" s="707"/>
      <c r="DZ471" s="707"/>
      <c r="EA471" s="707"/>
      <c r="EB471" s="707"/>
      <c r="EC471" s="707"/>
      <c r="ED471" s="707"/>
      <c r="EE471" s="707"/>
      <c r="EF471" s="707"/>
      <c r="EG471" s="707"/>
      <c r="EH471" s="707"/>
      <c r="EI471" s="707"/>
      <c r="EJ471" s="707"/>
      <c r="EK471" s="707"/>
      <c r="EL471" s="707"/>
      <c r="EM471" s="707"/>
      <c r="EN471" s="707"/>
      <c r="EO471" s="707"/>
      <c r="EP471" s="707"/>
      <c r="EQ471" s="707"/>
      <c r="ER471" s="707"/>
      <c r="ES471" s="707"/>
      <c r="ET471" s="707"/>
      <c r="EU471" s="707"/>
      <c r="EV471" s="707"/>
      <c r="EW471" s="707"/>
      <c r="EX471" s="707"/>
      <c r="EY471" s="707"/>
      <c r="EZ471" s="707"/>
      <c r="FA471" s="707"/>
      <c r="FB471" s="707"/>
      <c r="FC471" s="707"/>
      <c r="FD471" s="707"/>
      <c r="FE471" s="707"/>
      <c r="FF471" s="707"/>
      <c r="FG471" s="707"/>
      <c r="FH471" s="707"/>
      <c r="FI471" s="707"/>
      <c r="FJ471" s="707"/>
      <c r="FK471" s="707"/>
      <c r="FL471" s="707"/>
      <c r="FM471" s="707"/>
      <c r="FN471" s="707"/>
      <c r="FO471" s="707"/>
      <c r="FP471" s="707"/>
      <c r="FQ471" s="707"/>
      <c r="FR471" s="707"/>
      <c r="FS471" s="707"/>
      <c r="FT471" s="707"/>
      <c r="FU471" s="707"/>
      <c r="FV471" s="707"/>
      <c r="FW471" s="707"/>
      <c r="FX471" s="707"/>
      <c r="FY471" s="707"/>
      <c r="FZ471" s="707"/>
      <c r="GA471" s="707"/>
      <c r="GB471" s="707"/>
      <c r="GC471" s="707"/>
      <c r="GD471" s="707"/>
      <c r="GE471" s="707"/>
      <c r="GF471" s="707"/>
      <c r="GG471" s="707"/>
      <c r="GH471" s="707"/>
      <c r="GI471" s="707"/>
      <c r="GJ471" s="707"/>
      <c r="GK471" s="707"/>
      <c r="GL471" s="707"/>
      <c r="GM471" s="707"/>
      <c r="GN471" s="707"/>
      <c r="GO471" s="707"/>
      <c r="GP471" s="707"/>
      <c r="GQ471" s="707"/>
      <c r="GR471" s="707"/>
      <c r="GS471" s="707"/>
      <c r="GT471" s="707"/>
      <c r="GU471" s="707"/>
      <c r="GV471" s="707"/>
      <c r="GW471" s="707"/>
      <c r="GX471" s="707"/>
      <c r="GY471" s="707"/>
      <c r="GZ471" s="707"/>
      <c r="HA471" s="707"/>
      <c r="HB471" s="707"/>
      <c r="HC471" s="707"/>
      <c r="HD471" s="707"/>
      <c r="HE471" s="707"/>
      <c r="HF471" s="707"/>
      <c r="HG471" s="707"/>
      <c r="HH471" s="707"/>
      <c r="HI471" s="707"/>
      <c r="HJ471" s="707"/>
      <c r="HK471" s="707"/>
      <c r="HL471" s="707"/>
      <c r="HM471" s="707"/>
      <c r="HN471" s="707"/>
      <c r="HO471" s="707"/>
      <c r="HP471" s="707"/>
      <c r="HQ471" s="707"/>
      <c r="HR471" s="707"/>
      <c r="HS471" s="707"/>
      <c r="HT471" s="707"/>
      <c r="HU471" s="707"/>
      <c r="HV471" s="707"/>
      <c r="HW471" s="707"/>
      <c r="HX471" s="707"/>
      <c r="HY471" s="707"/>
      <c r="HZ471" s="707"/>
      <c r="IA471" s="707"/>
      <c r="IB471" s="707"/>
      <c r="IC471" s="707"/>
      <c r="ID471" s="707"/>
      <c r="IE471" s="707"/>
      <c r="IF471" s="707"/>
      <c r="IG471" s="707"/>
      <c r="IH471" s="707"/>
      <c r="II471" s="707"/>
      <c r="IJ471" s="707"/>
      <c r="IK471" s="707"/>
      <c r="IL471" s="707"/>
      <c r="IM471" s="707"/>
      <c r="IN471" s="707"/>
      <c r="IO471" s="707"/>
      <c r="IP471" s="707"/>
      <c r="IQ471" s="707"/>
      <c r="IR471" s="707"/>
      <c r="IS471" s="707"/>
      <c r="IT471" s="707"/>
      <c r="IU471" s="707"/>
      <c r="IV471" s="707"/>
      <c r="IW471" s="707"/>
    </row>
    <row r="472" customFormat="false" ht="12.75" hidden="false" customHeight="false" outlineLevel="1" collapsed="false">
      <c r="A472" s="367"/>
      <c r="B472" s="706"/>
      <c r="C472" s="706"/>
      <c r="D472" s="706"/>
      <c r="E472" s="713"/>
      <c r="F472" s="713"/>
      <c r="G472" s="713"/>
      <c r="H472" s="713"/>
      <c r="I472" s="713"/>
      <c r="J472" s="713"/>
      <c r="K472" s="713"/>
      <c r="L472" s="713"/>
      <c r="M472" s="713"/>
      <c r="N472" s="713"/>
      <c r="O472" s="713"/>
      <c r="P472" s="713"/>
      <c r="Q472" s="713"/>
      <c r="R472" s="713"/>
      <c r="S472" s="713"/>
      <c r="T472" s="713"/>
      <c r="U472" s="713"/>
      <c r="V472" s="713"/>
      <c r="W472" s="713"/>
      <c r="X472" s="713"/>
      <c r="Y472" s="713"/>
      <c r="Z472" s="713"/>
      <c r="AA472" s="707"/>
      <c r="AB472" s="707"/>
      <c r="AC472" s="707"/>
      <c r="AD472" s="707"/>
      <c r="AE472" s="707"/>
      <c r="AF472" s="707"/>
      <c r="AG472" s="707"/>
      <c r="AH472" s="707"/>
      <c r="AI472" s="707"/>
      <c r="AJ472" s="707"/>
      <c r="AK472" s="707"/>
      <c r="AL472" s="707"/>
      <c r="AM472" s="707"/>
      <c r="AN472" s="707"/>
      <c r="AO472" s="707"/>
      <c r="AP472" s="707"/>
      <c r="AQ472" s="707"/>
      <c r="AR472" s="707"/>
      <c r="AS472" s="707"/>
      <c r="AT472" s="707"/>
      <c r="AU472" s="707"/>
      <c r="AV472" s="707"/>
      <c r="AW472" s="707"/>
      <c r="AX472" s="707"/>
      <c r="AY472" s="707"/>
      <c r="AZ472" s="707"/>
      <c r="BA472" s="707"/>
      <c r="BB472" s="707"/>
      <c r="BC472" s="707"/>
      <c r="BD472" s="707"/>
      <c r="BE472" s="707"/>
      <c r="BF472" s="707"/>
      <c r="BG472" s="707"/>
      <c r="BH472" s="707"/>
      <c r="BI472" s="707"/>
      <c r="BJ472" s="707"/>
      <c r="BK472" s="707"/>
      <c r="BL472" s="707"/>
      <c r="BM472" s="707"/>
      <c r="BN472" s="707"/>
      <c r="BO472" s="707"/>
      <c r="BP472" s="707"/>
      <c r="BQ472" s="707"/>
      <c r="BR472" s="707"/>
      <c r="BS472" s="707"/>
      <c r="BT472" s="707"/>
      <c r="BU472" s="707"/>
      <c r="BV472" s="707"/>
      <c r="BW472" s="707"/>
      <c r="BX472" s="707"/>
      <c r="BY472" s="707"/>
      <c r="BZ472" s="707"/>
      <c r="CA472" s="707"/>
      <c r="CB472" s="707"/>
      <c r="CC472" s="707"/>
      <c r="CD472" s="707"/>
      <c r="CE472" s="707"/>
      <c r="CF472" s="707"/>
      <c r="CG472" s="707"/>
      <c r="CH472" s="707"/>
      <c r="CI472" s="707"/>
      <c r="CJ472" s="707"/>
      <c r="CK472" s="707"/>
      <c r="CL472" s="707"/>
      <c r="CM472" s="707"/>
      <c r="CN472" s="707"/>
      <c r="CO472" s="707"/>
      <c r="CP472" s="707"/>
      <c r="CQ472" s="707"/>
      <c r="CR472" s="707"/>
      <c r="CS472" s="707"/>
      <c r="CT472" s="707"/>
      <c r="CU472" s="707"/>
      <c r="CV472" s="707"/>
      <c r="CW472" s="707"/>
      <c r="CX472" s="707"/>
      <c r="CY472" s="707"/>
      <c r="CZ472" s="707"/>
      <c r="DA472" s="707"/>
      <c r="DB472" s="707"/>
      <c r="DC472" s="707"/>
      <c r="DD472" s="707"/>
      <c r="DE472" s="707"/>
      <c r="DF472" s="707"/>
      <c r="DG472" s="707"/>
      <c r="DH472" s="707"/>
      <c r="DI472" s="707"/>
      <c r="DJ472" s="707"/>
      <c r="DK472" s="707"/>
      <c r="DL472" s="707"/>
      <c r="DM472" s="707"/>
      <c r="DN472" s="707"/>
      <c r="DO472" s="707"/>
      <c r="DP472" s="707"/>
      <c r="DQ472" s="707"/>
      <c r="DR472" s="707"/>
      <c r="DS472" s="707"/>
      <c r="DT472" s="707"/>
      <c r="DU472" s="707"/>
      <c r="DV472" s="707"/>
      <c r="DW472" s="707"/>
      <c r="DX472" s="707"/>
      <c r="DY472" s="707"/>
      <c r="DZ472" s="707"/>
      <c r="EA472" s="707"/>
      <c r="EB472" s="707"/>
      <c r="EC472" s="707"/>
      <c r="ED472" s="707"/>
      <c r="EE472" s="707"/>
      <c r="EF472" s="707"/>
      <c r="EG472" s="707"/>
      <c r="EH472" s="707"/>
      <c r="EI472" s="707"/>
      <c r="EJ472" s="707"/>
      <c r="EK472" s="707"/>
      <c r="EL472" s="707"/>
      <c r="EM472" s="707"/>
      <c r="EN472" s="707"/>
      <c r="EO472" s="707"/>
      <c r="EP472" s="707"/>
      <c r="EQ472" s="707"/>
      <c r="ER472" s="707"/>
      <c r="ES472" s="707"/>
      <c r="ET472" s="707"/>
      <c r="EU472" s="707"/>
      <c r="EV472" s="707"/>
      <c r="EW472" s="707"/>
      <c r="EX472" s="707"/>
      <c r="EY472" s="707"/>
      <c r="EZ472" s="707"/>
      <c r="FA472" s="707"/>
      <c r="FB472" s="707"/>
      <c r="FC472" s="707"/>
      <c r="FD472" s="707"/>
      <c r="FE472" s="707"/>
      <c r="FF472" s="707"/>
      <c r="FG472" s="707"/>
      <c r="FH472" s="707"/>
      <c r="FI472" s="707"/>
      <c r="FJ472" s="707"/>
      <c r="FK472" s="707"/>
      <c r="FL472" s="707"/>
      <c r="FM472" s="707"/>
      <c r="FN472" s="707"/>
      <c r="FO472" s="707"/>
      <c r="FP472" s="707"/>
      <c r="FQ472" s="707"/>
      <c r="FR472" s="707"/>
      <c r="FS472" s="707"/>
      <c r="FT472" s="707"/>
      <c r="FU472" s="707"/>
      <c r="FV472" s="707"/>
      <c r="FW472" s="707"/>
      <c r="FX472" s="707"/>
      <c r="FY472" s="707"/>
      <c r="FZ472" s="707"/>
      <c r="GA472" s="707"/>
      <c r="GB472" s="707"/>
      <c r="GC472" s="707"/>
      <c r="GD472" s="707"/>
      <c r="GE472" s="707"/>
      <c r="GF472" s="707"/>
      <c r="GG472" s="707"/>
      <c r="GH472" s="707"/>
      <c r="GI472" s="707"/>
      <c r="GJ472" s="707"/>
      <c r="GK472" s="707"/>
      <c r="GL472" s="707"/>
      <c r="GM472" s="707"/>
      <c r="GN472" s="707"/>
      <c r="GO472" s="707"/>
      <c r="GP472" s="707"/>
      <c r="GQ472" s="707"/>
      <c r="GR472" s="707"/>
      <c r="GS472" s="707"/>
      <c r="GT472" s="707"/>
      <c r="GU472" s="707"/>
      <c r="GV472" s="707"/>
      <c r="GW472" s="707"/>
      <c r="GX472" s="707"/>
      <c r="GY472" s="707"/>
      <c r="GZ472" s="707"/>
      <c r="HA472" s="707"/>
      <c r="HB472" s="707"/>
      <c r="HC472" s="707"/>
      <c r="HD472" s="707"/>
      <c r="HE472" s="707"/>
      <c r="HF472" s="707"/>
      <c r="HG472" s="707"/>
      <c r="HH472" s="707"/>
      <c r="HI472" s="707"/>
      <c r="HJ472" s="707"/>
      <c r="HK472" s="707"/>
      <c r="HL472" s="707"/>
      <c r="HM472" s="707"/>
      <c r="HN472" s="707"/>
      <c r="HO472" s="707"/>
      <c r="HP472" s="707"/>
      <c r="HQ472" s="707"/>
      <c r="HR472" s="707"/>
      <c r="HS472" s="707"/>
      <c r="HT472" s="707"/>
      <c r="HU472" s="707"/>
      <c r="HV472" s="707"/>
      <c r="HW472" s="707"/>
      <c r="HX472" s="707"/>
      <c r="HY472" s="707"/>
      <c r="HZ472" s="707"/>
      <c r="IA472" s="707"/>
      <c r="IB472" s="707"/>
      <c r="IC472" s="707"/>
      <c r="ID472" s="707"/>
      <c r="IE472" s="707"/>
      <c r="IF472" s="707"/>
      <c r="IG472" s="707"/>
      <c r="IH472" s="707"/>
      <c r="II472" s="707"/>
      <c r="IJ472" s="707"/>
      <c r="IK472" s="707"/>
      <c r="IL472" s="707"/>
      <c r="IM472" s="707"/>
      <c r="IN472" s="707"/>
      <c r="IO472" s="707"/>
      <c r="IP472" s="707"/>
      <c r="IQ472" s="707"/>
      <c r="IR472" s="707"/>
      <c r="IS472" s="707"/>
      <c r="IT472" s="707"/>
      <c r="IU472" s="707"/>
      <c r="IV472" s="707"/>
      <c r="IW472" s="707"/>
    </row>
    <row r="473" customFormat="false" ht="12.75" hidden="false" customHeight="false" outlineLevel="1" collapsed="false">
      <c r="A473" s="367"/>
      <c r="B473" s="714"/>
      <c r="C473" s="714"/>
      <c r="D473" s="714"/>
      <c r="E473" s="713"/>
      <c r="F473" s="713"/>
      <c r="G473" s="713"/>
      <c r="H473" s="713"/>
      <c r="I473" s="713"/>
      <c r="J473" s="713"/>
      <c r="K473" s="713"/>
      <c r="L473" s="713"/>
      <c r="M473" s="713"/>
      <c r="N473" s="713"/>
      <c r="O473" s="713"/>
      <c r="P473" s="713"/>
      <c r="Q473" s="713"/>
      <c r="R473" s="713"/>
      <c r="S473" s="713"/>
      <c r="T473" s="713"/>
      <c r="U473" s="713"/>
      <c r="V473" s="713"/>
      <c r="W473" s="713"/>
      <c r="X473" s="713"/>
      <c r="Y473" s="713"/>
      <c r="Z473" s="713"/>
      <c r="AA473" s="707"/>
      <c r="AB473" s="707"/>
      <c r="AC473" s="707"/>
      <c r="AD473" s="707"/>
      <c r="AE473" s="707"/>
      <c r="AF473" s="707"/>
      <c r="AG473" s="707"/>
      <c r="AH473" s="707"/>
      <c r="AI473" s="707"/>
      <c r="AJ473" s="707"/>
      <c r="AK473" s="707"/>
      <c r="AL473" s="707"/>
      <c r="AM473" s="707"/>
      <c r="AN473" s="707"/>
      <c r="AO473" s="707"/>
      <c r="AP473" s="707"/>
      <c r="AQ473" s="707"/>
      <c r="AR473" s="707"/>
      <c r="AS473" s="707"/>
      <c r="AT473" s="707"/>
      <c r="AU473" s="707"/>
      <c r="AV473" s="707"/>
      <c r="AW473" s="707"/>
      <c r="AX473" s="707"/>
      <c r="AY473" s="707"/>
      <c r="AZ473" s="707"/>
      <c r="BA473" s="707"/>
      <c r="BB473" s="707"/>
      <c r="BC473" s="707"/>
      <c r="BD473" s="707"/>
      <c r="BE473" s="707"/>
      <c r="BF473" s="707"/>
      <c r="BG473" s="707"/>
      <c r="BH473" s="707"/>
      <c r="BI473" s="707"/>
      <c r="BJ473" s="707"/>
      <c r="BK473" s="707"/>
      <c r="BL473" s="707"/>
      <c r="BM473" s="707"/>
      <c r="BN473" s="707"/>
      <c r="BO473" s="707"/>
      <c r="BP473" s="707"/>
      <c r="BQ473" s="707"/>
      <c r="BR473" s="707"/>
      <c r="BS473" s="707"/>
      <c r="BT473" s="707"/>
      <c r="BU473" s="707"/>
      <c r="BV473" s="707"/>
      <c r="BW473" s="707"/>
      <c r="BX473" s="707"/>
      <c r="BY473" s="707"/>
      <c r="BZ473" s="707"/>
      <c r="CA473" s="707"/>
      <c r="CB473" s="707"/>
      <c r="CC473" s="707"/>
      <c r="CD473" s="707"/>
      <c r="CE473" s="707"/>
      <c r="CF473" s="707"/>
      <c r="CG473" s="707"/>
      <c r="CH473" s="707"/>
      <c r="CI473" s="707"/>
      <c r="CJ473" s="707"/>
      <c r="CK473" s="707"/>
      <c r="CL473" s="707"/>
      <c r="CM473" s="707"/>
      <c r="CN473" s="707"/>
      <c r="CO473" s="707"/>
      <c r="CP473" s="707"/>
      <c r="CQ473" s="707"/>
      <c r="CR473" s="707"/>
      <c r="CS473" s="707"/>
      <c r="CT473" s="707"/>
      <c r="CU473" s="707"/>
      <c r="CV473" s="707"/>
      <c r="CW473" s="707"/>
      <c r="CX473" s="707"/>
      <c r="CY473" s="707"/>
      <c r="CZ473" s="707"/>
      <c r="DA473" s="707"/>
      <c r="DB473" s="707"/>
      <c r="DC473" s="707"/>
      <c r="DD473" s="707"/>
      <c r="DE473" s="707"/>
      <c r="DF473" s="707"/>
      <c r="DG473" s="707"/>
      <c r="DH473" s="707"/>
      <c r="DI473" s="707"/>
      <c r="DJ473" s="707"/>
      <c r="DK473" s="707"/>
      <c r="DL473" s="707"/>
      <c r="DM473" s="707"/>
      <c r="DN473" s="707"/>
      <c r="DO473" s="707"/>
      <c r="DP473" s="707"/>
      <c r="DQ473" s="707"/>
      <c r="DR473" s="707"/>
      <c r="DS473" s="707"/>
      <c r="DT473" s="707"/>
      <c r="DU473" s="707"/>
      <c r="DV473" s="707"/>
      <c r="DW473" s="707"/>
      <c r="DX473" s="707"/>
      <c r="DY473" s="707"/>
      <c r="DZ473" s="707"/>
      <c r="EA473" s="707"/>
      <c r="EB473" s="707"/>
      <c r="EC473" s="707"/>
      <c r="ED473" s="707"/>
      <c r="EE473" s="707"/>
      <c r="EF473" s="707"/>
      <c r="EG473" s="707"/>
      <c r="EH473" s="707"/>
      <c r="EI473" s="707"/>
      <c r="EJ473" s="707"/>
      <c r="EK473" s="707"/>
      <c r="EL473" s="707"/>
      <c r="EM473" s="707"/>
      <c r="EN473" s="707"/>
      <c r="EO473" s="707"/>
      <c r="EP473" s="707"/>
      <c r="EQ473" s="707"/>
      <c r="ER473" s="707"/>
      <c r="ES473" s="707"/>
      <c r="ET473" s="707"/>
      <c r="EU473" s="707"/>
      <c r="EV473" s="707"/>
      <c r="EW473" s="707"/>
      <c r="EX473" s="707"/>
      <c r="EY473" s="707"/>
      <c r="EZ473" s="707"/>
      <c r="FA473" s="707"/>
      <c r="FB473" s="707"/>
      <c r="FC473" s="707"/>
      <c r="FD473" s="707"/>
      <c r="FE473" s="707"/>
      <c r="FF473" s="707"/>
      <c r="FG473" s="707"/>
      <c r="FH473" s="707"/>
      <c r="FI473" s="707"/>
      <c r="FJ473" s="707"/>
      <c r="FK473" s="707"/>
      <c r="FL473" s="707"/>
      <c r="FM473" s="707"/>
      <c r="FN473" s="707"/>
      <c r="FO473" s="707"/>
      <c r="FP473" s="707"/>
      <c r="FQ473" s="707"/>
      <c r="FR473" s="707"/>
      <c r="FS473" s="707"/>
      <c r="FT473" s="707"/>
      <c r="FU473" s="707"/>
      <c r="FV473" s="707"/>
      <c r="FW473" s="707"/>
      <c r="FX473" s="707"/>
      <c r="FY473" s="707"/>
      <c r="FZ473" s="707"/>
      <c r="GA473" s="707"/>
      <c r="GB473" s="707"/>
      <c r="GC473" s="707"/>
      <c r="GD473" s="707"/>
      <c r="GE473" s="707"/>
      <c r="GF473" s="707"/>
      <c r="GG473" s="707"/>
      <c r="GH473" s="707"/>
      <c r="GI473" s="707"/>
      <c r="GJ473" s="707"/>
      <c r="GK473" s="707"/>
      <c r="GL473" s="707"/>
      <c r="GM473" s="707"/>
      <c r="GN473" s="707"/>
      <c r="GO473" s="707"/>
      <c r="GP473" s="707"/>
      <c r="GQ473" s="707"/>
      <c r="GR473" s="707"/>
      <c r="GS473" s="707"/>
      <c r="GT473" s="707"/>
      <c r="GU473" s="707"/>
      <c r="GV473" s="707"/>
      <c r="GW473" s="707"/>
      <c r="GX473" s="707"/>
      <c r="GY473" s="707"/>
      <c r="GZ473" s="707"/>
      <c r="HA473" s="707"/>
      <c r="HB473" s="707"/>
      <c r="HC473" s="707"/>
      <c r="HD473" s="707"/>
      <c r="HE473" s="707"/>
      <c r="HF473" s="707"/>
      <c r="HG473" s="707"/>
      <c r="HH473" s="707"/>
      <c r="HI473" s="707"/>
      <c r="HJ473" s="707"/>
      <c r="HK473" s="707"/>
      <c r="HL473" s="707"/>
      <c r="HM473" s="707"/>
      <c r="HN473" s="707"/>
      <c r="HO473" s="707"/>
      <c r="HP473" s="707"/>
      <c r="HQ473" s="707"/>
      <c r="HR473" s="707"/>
      <c r="HS473" s="707"/>
      <c r="HT473" s="707"/>
      <c r="HU473" s="707"/>
      <c r="HV473" s="707"/>
      <c r="HW473" s="707"/>
      <c r="HX473" s="707"/>
      <c r="HY473" s="707"/>
      <c r="HZ473" s="707"/>
      <c r="IA473" s="707"/>
      <c r="IB473" s="707"/>
      <c r="IC473" s="707"/>
      <c r="ID473" s="707"/>
      <c r="IE473" s="707"/>
      <c r="IF473" s="707"/>
      <c r="IG473" s="707"/>
      <c r="IH473" s="707"/>
      <c r="II473" s="707"/>
      <c r="IJ473" s="707"/>
      <c r="IK473" s="707"/>
      <c r="IL473" s="707"/>
      <c r="IM473" s="707"/>
      <c r="IN473" s="707"/>
      <c r="IO473" s="707"/>
      <c r="IP473" s="707"/>
      <c r="IQ473" s="707"/>
      <c r="IR473" s="707"/>
      <c r="IS473" s="707"/>
      <c r="IT473" s="707"/>
      <c r="IU473" s="707"/>
      <c r="IV473" s="707"/>
      <c r="IW473" s="707"/>
    </row>
    <row r="474" customFormat="false" ht="12.75" hidden="false" customHeight="false" outlineLevel="1" collapsed="false">
      <c r="A474" s="367"/>
      <c r="B474" s="715"/>
      <c r="C474" s="715"/>
      <c r="D474" s="715"/>
      <c r="E474" s="713"/>
      <c r="F474" s="713"/>
      <c r="G474" s="713"/>
      <c r="H474" s="713"/>
      <c r="I474" s="713"/>
      <c r="J474" s="713"/>
      <c r="K474" s="713"/>
      <c r="L474" s="713"/>
      <c r="M474" s="713"/>
      <c r="N474" s="713"/>
      <c r="O474" s="713"/>
      <c r="P474" s="713"/>
      <c r="Q474" s="713"/>
      <c r="R474" s="713"/>
      <c r="S474" s="713"/>
      <c r="T474" s="713"/>
      <c r="U474" s="713"/>
      <c r="V474" s="713"/>
      <c r="W474" s="713"/>
      <c r="X474" s="713"/>
      <c r="Y474" s="713"/>
      <c r="Z474" s="713"/>
      <c r="AA474" s="707"/>
      <c r="AB474" s="707"/>
      <c r="AC474" s="707"/>
      <c r="AD474" s="707"/>
      <c r="AE474" s="707"/>
      <c r="AF474" s="707"/>
      <c r="AG474" s="707"/>
      <c r="AH474" s="707"/>
      <c r="AI474" s="707"/>
      <c r="AJ474" s="707"/>
      <c r="AK474" s="707"/>
      <c r="AL474" s="707"/>
      <c r="AM474" s="707"/>
      <c r="AN474" s="707"/>
      <c r="AO474" s="707"/>
      <c r="AP474" s="707"/>
      <c r="AQ474" s="707"/>
      <c r="AR474" s="707"/>
      <c r="AS474" s="707"/>
      <c r="AT474" s="707"/>
      <c r="AU474" s="707"/>
      <c r="AV474" s="707"/>
      <c r="AW474" s="707"/>
      <c r="AX474" s="707"/>
      <c r="AY474" s="707"/>
      <c r="AZ474" s="707"/>
      <c r="BA474" s="707"/>
      <c r="BB474" s="707"/>
      <c r="BC474" s="707"/>
      <c r="BD474" s="707"/>
      <c r="BE474" s="707"/>
      <c r="BF474" s="707"/>
      <c r="BG474" s="707"/>
      <c r="BH474" s="707"/>
      <c r="BI474" s="707"/>
      <c r="BJ474" s="707"/>
      <c r="BK474" s="707"/>
      <c r="BL474" s="707"/>
      <c r="BM474" s="707"/>
      <c r="BN474" s="707"/>
      <c r="BO474" s="707"/>
      <c r="BP474" s="707"/>
      <c r="BQ474" s="707"/>
      <c r="BR474" s="707"/>
      <c r="BS474" s="707"/>
      <c r="BT474" s="707"/>
      <c r="BU474" s="707"/>
      <c r="BV474" s="707"/>
      <c r="BW474" s="707"/>
      <c r="BX474" s="707"/>
      <c r="BY474" s="707"/>
      <c r="BZ474" s="707"/>
      <c r="CA474" s="707"/>
      <c r="CB474" s="707"/>
      <c r="CC474" s="707"/>
      <c r="CD474" s="707"/>
      <c r="CE474" s="707"/>
      <c r="CF474" s="707"/>
      <c r="CG474" s="707"/>
      <c r="CH474" s="707"/>
      <c r="CI474" s="707"/>
      <c r="CJ474" s="707"/>
      <c r="CK474" s="707"/>
      <c r="CL474" s="707"/>
      <c r="CM474" s="707"/>
      <c r="CN474" s="707"/>
      <c r="CO474" s="707"/>
      <c r="CP474" s="707"/>
      <c r="CQ474" s="707"/>
      <c r="CR474" s="707"/>
      <c r="CS474" s="707"/>
      <c r="CT474" s="707"/>
      <c r="CU474" s="707"/>
      <c r="CV474" s="707"/>
      <c r="CW474" s="707"/>
      <c r="CX474" s="707"/>
      <c r="CY474" s="707"/>
      <c r="CZ474" s="707"/>
      <c r="DA474" s="707"/>
      <c r="DB474" s="707"/>
      <c r="DC474" s="707"/>
      <c r="DD474" s="707"/>
      <c r="DE474" s="707"/>
      <c r="DF474" s="707"/>
      <c r="DG474" s="707"/>
      <c r="DH474" s="707"/>
      <c r="DI474" s="707"/>
      <c r="DJ474" s="707"/>
      <c r="DK474" s="707"/>
      <c r="DL474" s="707"/>
      <c r="DM474" s="707"/>
      <c r="DN474" s="707"/>
      <c r="DO474" s="707"/>
      <c r="DP474" s="707"/>
      <c r="DQ474" s="707"/>
      <c r="DR474" s="707"/>
      <c r="DS474" s="707"/>
      <c r="DT474" s="707"/>
      <c r="DU474" s="707"/>
      <c r="DV474" s="707"/>
      <c r="DW474" s="707"/>
      <c r="DX474" s="707"/>
      <c r="DY474" s="707"/>
      <c r="DZ474" s="707"/>
      <c r="EA474" s="707"/>
      <c r="EB474" s="707"/>
      <c r="EC474" s="707"/>
      <c r="ED474" s="707"/>
      <c r="EE474" s="707"/>
      <c r="EF474" s="707"/>
      <c r="EG474" s="707"/>
      <c r="EH474" s="707"/>
      <c r="EI474" s="707"/>
      <c r="EJ474" s="707"/>
      <c r="EK474" s="707"/>
      <c r="EL474" s="707"/>
      <c r="EM474" s="707"/>
      <c r="EN474" s="707"/>
      <c r="EO474" s="707"/>
      <c r="EP474" s="707"/>
      <c r="EQ474" s="707"/>
      <c r="ER474" s="707"/>
      <c r="ES474" s="707"/>
      <c r="ET474" s="707"/>
      <c r="EU474" s="707"/>
      <c r="EV474" s="707"/>
      <c r="EW474" s="707"/>
      <c r="EX474" s="707"/>
      <c r="EY474" s="707"/>
      <c r="EZ474" s="707"/>
      <c r="FA474" s="707"/>
      <c r="FB474" s="707"/>
      <c r="FC474" s="707"/>
      <c r="FD474" s="707"/>
      <c r="FE474" s="707"/>
      <c r="FF474" s="707"/>
      <c r="FG474" s="707"/>
      <c r="FH474" s="707"/>
      <c r="FI474" s="707"/>
      <c r="FJ474" s="707"/>
      <c r="FK474" s="707"/>
      <c r="FL474" s="707"/>
      <c r="FM474" s="707"/>
      <c r="FN474" s="707"/>
      <c r="FO474" s="707"/>
      <c r="FP474" s="707"/>
      <c r="FQ474" s="707"/>
      <c r="FR474" s="707"/>
      <c r="FS474" s="707"/>
      <c r="FT474" s="707"/>
      <c r="FU474" s="707"/>
      <c r="FV474" s="707"/>
      <c r="FW474" s="707"/>
      <c r="FX474" s="707"/>
      <c r="FY474" s="707"/>
      <c r="FZ474" s="707"/>
      <c r="GA474" s="707"/>
      <c r="GB474" s="707"/>
      <c r="GC474" s="707"/>
      <c r="GD474" s="707"/>
      <c r="GE474" s="707"/>
      <c r="GF474" s="707"/>
      <c r="GG474" s="707"/>
      <c r="GH474" s="707"/>
      <c r="GI474" s="707"/>
      <c r="GJ474" s="707"/>
      <c r="GK474" s="707"/>
      <c r="GL474" s="707"/>
      <c r="GM474" s="707"/>
      <c r="GN474" s="707"/>
      <c r="GO474" s="707"/>
      <c r="GP474" s="707"/>
      <c r="GQ474" s="707"/>
      <c r="GR474" s="707"/>
      <c r="GS474" s="707"/>
      <c r="GT474" s="707"/>
      <c r="GU474" s="707"/>
      <c r="GV474" s="707"/>
      <c r="GW474" s="707"/>
      <c r="GX474" s="707"/>
      <c r="GY474" s="707"/>
      <c r="GZ474" s="707"/>
      <c r="HA474" s="707"/>
      <c r="HB474" s="707"/>
      <c r="HC474" s="707"/>
      <c r="HD474" s="707"/>
      <c r="HE474" s="707"/>
      <c r="HF474" s="707"/>
      <c r="HG474" s="707"/>
      <c r="HH474" s="707"/>
      <c r="HI474" s="707"/>
      <c r="HJ474" s="707"/>
      <c r="HK474" s="707"/>
      <c r="HL474" s="707"/>
      <c r="HM474" s="707"/>
      <c r="HN474" s="707"/>
      <c r="HO474" s="707"/>
      <c r="HP474" s="707"/>
      <c r="HQ474" s="707"/>
      <c r="HR474" s="707"/>
      <c r="HS474" s="707"/>
      <c r="HT474" s="707"/>
      <c r="HU474" s="707"/>
      <c r="HV474" s="707"/>
      <c r="HW474" s="707"/>
      <c r="HX474" s="707"/>
      <c r="HY474" s="707"/>
      <c r="HZ474" s="707"/>
      <c r="IA474" s="707"/>
      <c r="IB474" s="707"/>
      <c r="IC474" s="707"/>
      <c r="ID474" s="707"/>
      <c r="IE474" s="707"/>
      <c r="IF474" s="707"/>
      <c r="IG474" s="707"/>
      <c r="IH474" s="707"/>
      <c r="II474" s="707"/>
      <c r="IJ474" s="707"/>
      <c r="IK474" s="707"/>
      <c r="IL474" s="707"/>
      <c r="IM474" s="707"/>
      <c r="IN474" s="707"/>
      <c r="IO474" s="707"/>
      <c r="IP474" s="707"/>
      <c r="IQ474" s="707"/>
      <c r="IR474" s="707"/>
      <c r="IS474" s="707"/>
      <c r="IT474" s="707"/>
      <c r="IU474" s="707"/>
      <c r="IV474" s="707"/>
      <c r="IW474" s="707"/>
    </row>
    <row r="475" customFormat="false" ht="12.75" hidden="false" customHeight="false" outlineLevel="1" collapsed="false">
      <c r="A475" s="366"/>
      <c r="B475" s="712"/>
      <c r="C475" s="712"/>
      <c r="D475" s="712"/>
      <c r="E475" s="713"/>
      <c r="F475" s="713"/>
      <c r="G475" s="713"/>
      <c r="H475" s="713"/>
      <c r="I475" s="713"/>
      <c r="J475" s="713"/>
      <c r="K475" s="713"/>
      <c r="L475" s="713"/>
      <c r="M475" s="713"/>
      <c r="N475" s="713"/>
      <c r="O475" s="713"/>
      <c r="P475" s="713"/>
      <c r="Q475" s="713"/>
      <c r="R475" s="713"/>
      <c r="S475" s="713"/>
      <c r="T475" s="713"/>
      <c r="U475" s="713"/>
      <c r="V475" s="713"/>
      <c r="W475" s="713"/>
      <c r="X475" s="713"/>
      <c r="Y475" s="713"/>
      <c r="Z475" s="713"/>
      <c r="AA475" s="707"/>
      <c r="AB475" s="707"/>
      <c r="AC475" s="707"/>
      <c r="AD475" s="707"/>
      <c r="AE475" s="707"/>
      <c r="AF475" s="707"/>
      <c r="AG475" s="707"/>
      <c r="AH475" s="707"/>
      <c r="AI475" s="707"/>
      <c r="AJ475" s="707"/>
      <c r="AK475" s="707"/>
      <c r="AL475" s="707"/>
      <c r="AM475" s="707"/>
      <c r="AN475" s="707"/>
      <c r="AO475" s="707"/>
      <c r="AP475" s="707"/>
      <c r="AQ475" s="707"/>
      <c r="AR475" s="707"/>
      <c r="AS475" s="707"/>
      <c r="AT475" s="707"/>
      <c r="AU475" s="707"/>
      <c r="AV475" s="707"/>
      <c r="AW475" s="707"/>
      <c r="AX475" s="707"/>
      <c r="AY475" s="707"/>
      <c r="AZ475" s="707"/>
      <c r="BA475" s="707"/>
      <c r="BB475" s="707"/>
      <c r="BC475" s="707"/>
      <c r="BD475" s="707"/>
      <c r="BE475" s="707"/>
      <c r="BF475" s="707"/>
      <c r="BG475" s="707"/>
      <c r="BH475" s="707"/>
      <c r="BI475" s="707"/>
      <c r="BJ475" s="707"/>
      <c r="BK475" s="707"/>
      <c r="BL475" s="707"/>
      <c r="BM475" s="707"/>
      <c r="BN475" s="707"/>
      <c r="BO475" s="707"/>
      <c r="BP475" s="707"/>
      <c r="BQ475" s="707"/>
      <c r="BR475" s="707"/>
      <c r="BS475" s="707"/>
      <c r="BT475" s="707"/>
      <c r="BU475" s="707"/>
      <c r="BV475" s="707"/>
      <c r="BW475" s="707"/>
      <c r="BX475" s="707"/>
      <c r="BY475" s="707"/>
      <c r="BZ475" s="707"/>
      <c r="CA475" s="707"/>
      <c r="CB475" s="707"/>
      <c r="CC475" s="707"/>
      <c r="CD475" s="707"/>
      <c r="CE475" s="707"/>
      <c r="CF475" s="707"/>
      <c r="CG475" s="707"/>
      <c r="CH475" s="707"/>
      <c r="CI475" s="707"/>
      <c r="CJ475" s="707"/>
      <c r="CK475" s="707"/>
      <c r="CL475" s="707"/>
      <c r="CM475" s="707"/>
      <c r="CN475" s="707"/>
      <c r="CO475" s="707"/>
      <c r="CP475" s="707"/>
      <c r="CQ475" s="707"/>
      <c r="CR475" s="707"/>
      <c r="CS475" s="707"/>
      <c r="CT475" s="707"/>
      <c r="CU475" s="707"/>
      <c r="CV475" s="707"/>
      <c r="CW475" s="707"/>
      <c r="CX475" s="707"/>
      <c r="CY475" s="707"/>
      <c r="CZ475" s="707"/>
      <c r="DA475" s="707"/>
      <c r="DB475" s="707"/>
      <c r="DC475" s="707"/>
      <c r="DD475" s="707"/>
      <c r="DE475" s="707"/>
      <c r="DF475" s="707"/>
      <c r="DG475" s="707"/>
      <c r="DH475" s="707"/>
      <c r="DI475" s="707"/>
      <c r="DJ475" s="707"/>
      <c r="DK475" s="707"/>
      <c r="DL475" s="707"/>
      <c r="DM475" s="707"/>
      <c r="DN475" s="707"/>
      <c r="DO475" s="707"/>
      <c r="DP475" s="707"/>
      <c r="DQ475" s="707"/>
      <c r="DR475" s="707"/>
      <c r="DS475" s="707"/>
      <c r="DT475" s="707"/>
      <c r="DU475" s="707"/>
      <c r="DV475" s="707"/>
      <c r="DW475" s="707"/>
      <c r="DX475" s="707"/>
      <c r="DY475" s="707"/>
      <c r="DZ475" s="707"/>
      <c r="EA475" s="707"/>
      <c r="EB475" s="707"/>
      <c r="EC475" s="707"/>
      <c r="ED475" s="707"/>
      <c r="EE475" s="707"/>
      <c r="EF475" s="707"/>
      <c r="EG475" s="707"/>
      <c r="EH475" s="707"/>
      <c r="EI475" s="707"/>
      <c r="EJ475" s="707"/>
      <c r="EK475" s="707"/>
      <c r="EL475" s="707"/>
      <c r="EM475" s="707"/>
      <c r="EN475" s="707"/>
      <c r="EO475" s="707"/>
      <c r="EP475" s="707"/>
      <c r="EQ475" s="707"/>
      <c r="ER475" s="707"/>
      <c r="ES475" s="707"/>
      <c r="ET475" s="707"/>
      <c r="EU475" s="707"/>
      <c r="EV475" s="707"/>
      <c r="EW475" s="707"/>
      <c r="EX475" s="707"/>
      <c r="EY475" s="707"/>
      <c r="EZ475" s="707"/>
      <c r="FA475" s="707"/>
      <c r="FB475" s="707"/>
      <c r="FC475" s="707"/>
      <c r="FD475" s="707"/>
      <c r="FE475" s="707"/>
      <c r="FF475" s="707"/>
      <c r="FG475" s="707"/>
      <c r="FH475" s="707"/>
      <c r="FI475" s="707"/>
      <c r="FJ475" s="707"/>
      <c r="FK475" s="707"/>
      <c r="FL475" s="707"/>
      <c r="FM475" s="707"/>
      <c r="FN475" s="707"/>
      <c r="FO475" s="707"/>
      <c r="FP475" s="707"/>
      <c r="FQ475" s="707"/>
      <c r="FR475" s="707"/>
      <c r="FS475" s="707"/>
      <c r="FT475" s="707"/>
      <c r="FU475" s="707"/>
      <c r="FV475" s="707"/>
      <c r="FW475" s="707"/>
      <c r="FX475" s="707"/>
      <c r="FY475" s="707"/>
      <c r="FZ475" s="707"/>
      <c r="GA475" s="707"/>
      <c r="GB475" s="707"/>
      <c r="GC475" s="707"/>
      <c r="GD475" s="707"/>
      <c r="GE475" s="707"/>
      <c r="GF475" s="707"/>
      <c r="GG475" s="707"/>
      <c r="GH475" s="707"/>
      <c r="GI475" s="707"/>
      <c r="GJ475" s="707"/>
      <c r="GK475" s="707"/>
      <c r="GL475" s="707"/>
      <c r="GM475" s="707"/>
      <c r="GN475" s="707"/>
      <c r="GO475" s="707"/>
      <c r="GP475" s="707"/>
      <c r="GQ475" s="707"/>
      <c r="GR475" s="707"/>
      <c r="GS475" s="707"/>
      <c r="GT475" s="707"/>
      <c r="GU475" s="707"/>
      <c r="GV475" s="707"/>
      <c r="GW475" s="707"/>
      <c r="GX475" s="707"/>
      <c r="GY475" s="707"/>
      <c r="GZ475" s="707"/>
      <c r="HA475" s="707"/>
      <c r="HB475" s="707"/>
      <c r="HC475" s="707"/>
      <c r="HD475" s="707"/>
      <c r="HE475" s="707"/>
      <c r="HF475" s="707"/>
      <c r="HG475" s="707"/>
      <c r="HH475" s="707"/>
      <c r="HI475" s="707"/>
      <c r="HJ475" s="707"/>
      <c r="HK475" s="707"/>
      <c r="HL475" s="707"/>
      <c r="HM475" s="707"/>
      <c r="HN475" s="707"/>
      <c r="HO475" s="707"/>
      <c r="HP475" s="707"/>
      <c r="HQ475" s="707"/>
      <c r="HR475" s="707"/>
      <c r="HS475" s="707"/>
      <c r="HT475" s="707"/>
      <c r="HU475" s="707"/>
      <c r="HV475" s="707"/>
      <c r="HW475" s="707"/>
      <c r="HX475" s="707"/>
      <c r="HY475" s="707"/>
      <c r="HZ475" s="707"/>
      <c r="IA475" s="707"/>
      <c r="IB475" s="707"/>
      <c r="IC475" s="707"/>
      <c r="ID475" s="707"/>
      <c r="IE475" s="707"/>
      <c r="IF475" s="707"/>
      <c r="IG475" s="707"/>
      <c r="IH475" s="707"/>
      <c r="II475" s="707"/>
      <c r="IJ475" s="707"/>
      <c r="IK475" s="707"/>
      <c r="IL475" s="707"/>
      <c r="IM475" s="707"/>
      <c r="IN475" s="707"/>
      <c r="IO475" s="707"/>
      <c r="IP475" s="707"/>
      <c r="IQ475" s="707"/>
      <c r="IR475" s="707"/>
      <c r="IS475" s="707"/>
      <c r="IT475" s="707"/>
      <c r="IU475" s="707"/>
      <c r="IV475" s="707"/>
      <c r="IW475" s="707"/>
    </row>
    <row r="476" customFormat="false" ht="12.75" hidden="false" customHeight="false" outlineLevel="1" collapsed="false">
      <c r="A476" s="245"/>
      <c r="B476" s="707"/>
      <c r="C476" s="707"/>
      <c r="D476" s="707"/>
      <c r="E476" s="713"/>
      <c r="F476" s="713"/>
      <c r="G476" s="713"/>
      <c r="H476" s="713"/>
      <c r="I476" s="713"/>
      <c r="J476" s="713"/>
      <c r="K476" s="713"/>
      <c r="L476" s="713"/>
      <c r="M476" s="713"/>
      <c r="N476" s="713"/>
      <c r="O476" s="713"/>
      <c r="P476" s="713"/>
      <c r="Q476" s="713"/>
      <c r="R476" s="713"/>
      <c r="S476" s="713"/>
      <c r="T476" s="713"/>
      <c r="U476" s="713"/>
      <c r="V476" s="713"/>
      <c r="W476" s="713"/>
      <c r="X476" s="713"/>
      <c r="Y476" s="713"/>
      <c r="Z476" s="713"/>
      <c r="AA476" s="707"/>
      <c r="AB476" s="707"/>
      <c r="AC476" s="707"/>
      <c r="AD476" s="707"/>
      <c r="AE476" s="707"/>
      <c r="AF476" s="707"/>
      <c r="AG476" s="707"/>
      <c r="AH476" s="707"/>
      <c r="AI476" s="707"/>
      <c r="AJ476" s="707"/>
      <c r="AK476" s="707"/>
      <c r="AL476" s="707"/>
      <c r="AM476" s="707"/>
      <c r="AN476" s="707"/>
      <c r="AO476" s="707"/>
      <c r="AP476" s="707"/>
      <c r="AQ476" s="707"/>
      <c r="AR476" s="707"/>
      <c r="AS476" s="707"/>
      <c r="AT476" s="707"/>
      <c r="AU476" s="707"/>
      <c r="AV476" s="707"/>
      <c r="AW476" s="707"/>
      <c r="AX476" s="707"/>
      <c r="AY476" s="707"/>
      <c r="AZ476" s="707"/>
      <c r="BA476" s="707"/>
      <c r="BB476" s="707"/>
      <c r="BC476" s="707"/>
      <c r="BD476" s="707"/>
      <c r="BE476" s="707"/>
      <c r="BF476" s="707"/>
      <c r="BG476" s="707"/>
      <c r="BH476" s="707"/>
      <c r="BI476" s="707"/>
      <c r="BJ476" s="707"/>
      <c r="BK476" s="707"/>
      <c r="BL476" s="707"/>
      <c r="BM476" s="707"/>
      <c r="BN476" s="707"/>
      <c r="BO476" s="707"/>
      <c r="BP476" s="707"/>
      <c r="BQ476" s="707"/>
      <c r="BR476" s="707"/>
      <c r="BS476" s="707"/>
      <c r="BT476" s="707"/>
      <c r="BU476" s="707"/>
      <c r="BV476" s="707"/>
      <c r="BW476" s="707"/>
      <c r="BX476" s="707"/>
      <c r="BY476" s="707"/>
      <c r="BZ476" s="707"/>
      <c r="CA476" s="707"/>
      <c r="CB476" s="707"/>
      <c r="CC476" s="707"/>
      <c r="CD476" s="707"/>
      <c r="CE476" s="707"/>
      <c r="CF476" s="707"/>
      <c r="CG476" s="707"/>
      <c r="CH476" s="707"/>
      <c r="CI476" s="707"/>
      <c r="CJ476" s="707"/>
      <c r="CK476" s="707"/>
      <c r="CL476" s="707"/>
      <c r="CM476" s="707"/>
      <c r="CN476" s="707"/>
      <c r="CO476" s="707"/>
      <c r="CP476" s="707"/>
      <c r="CQ476" s="707"/>
      <c r="CR476" s="707"/>
      <c r="CS476" s="707"/>
      <c r="CT476" s="707"/>
      <c r="CU476" s="707"/>
      <c r="CV476" s="707"/>
      <c r="CW476" s="707"/>
      <c r="CX476" s="707"/>
      <c r="CY476" s="707"/>
      <c r="CZ476" s="707"/>
      <c r="DA476" s="707"/>
      <c r="DB476" s="707"/>
      <c r="DC476" s="707"/>
      <c r="DD476" s="707"/>
      <c r="DE476" s="707"/>
      <c r="DF476" s="707"/>
      <c r="DG476" s="707"/>
      <c r="DH476" s="707"/>
      <c r="DI476" s="707"/>
      <c r="DJ476" s="707"/>
      <c r="DK476" s="707"/>
      <c r="DL476" s="707"/>
      <c r="DM476" s="707"/>
      <c r="DN476" s="707"/>
      <c r="DO476" s="707"/>
      <c r="DP476" s="707"/>
      <c r="DQ476" s="707"/>
      <c r="DR476" s="707"/>
      <c r="DS476" s="707"/>
      <c r="DT476" s="707"/>
      <c r="DU476" s="707"/>
      <c r="DV476" s="707"/>
      <c r="DW476" s="707"/>
      <c r="DX476" s="707"/>
      <c r="DY476" s="707"/>
      <c r="DZ476" s="707"/>
      <c r="EA476" s="707"/>
      <c r="EB476" s="707"/>
      <c r="EC476" s="707"/>
      <c r="ED476" s="707"/>
      <c r="EE476" s="707"/>
      <c r="EF476" s="707"/>
      <c r="EG476" s="707"/>
      <c r="EH476" s="707"/>
      <c r="EI476" s="707"/>
      <c r="EJ476" s="707"/>
      <c r="EK476" s="707"/>
      <c r="EL476" s="707"/>
      <c r="EM476" s="707"/>
      <c r="EN476" s="707"/>
      <c r="EO476" s="707"/>
      <c r="EP476" s="707"/>
      <c r="EQ476" s="707"/>
      <c r="ER476" s="707"/>
      <c r="ES476" s="707"/>
      <c r="ET476" s="707"/>
      <c r="EU476" s="707"/>
      <c r="EV476" s="707"/>
      <c r="EW476" s="707"/>
      <c r="EX476" s="707"/>
      <c r="EY476" s="707"/>
      <c r="EZ476" s="707"/>
      <c r="FA476" s="707"/>
      <c r="FB476" s="707"/>
      <c r="FC476" s="707"/>
      <c r="FD476" s="707"/>
      <c r="FE476" s="707"/>
      <c r="FF476" s="707"/>
      <c r="FG476" s="707"/>
      <c r="FH476" s="707"/>
      <c r="FI476" s="707"/>
      <c r="FJ476" s="707"/>
      <c r="FK476" s="707"/>
      <c r="FL476" s="707"/>
      <c r="FM476" s="707"/>
      <c r="FN476" s="707"/>
      <c r="FO476" s="707"/>
      <c r="FP476" s="707"/>
      <c r="FQ476" s="707"/>
      <c r="FR476" s="707"/>
      <c r="FS476" s="707"/>
      <c r="FT476" s="707"/>
      <c r="FU476" s="707"/>
      <c r="FV476" s="707"/>
      <c r="FW476" s="707"/>
      <c r="FX476" s="707"/>
      <c r="FY476" s="707"/>
      <c r="FZ476" s="707"/>
      <c r="GA476" s="707"/>
      <c r="GB476" s="707"/>
      <c r="GC476" s="707"/>
      <c r="GD476" s="707"/>
      <c r="GE476" s="707"/>
      <c r="GF476" s="707"/>
      <c r="GG476" s="707"/>
      <c r="GH476" s="707"/>
      <c r="GI476" s="707"/>
      <c r="GJ476" s="707"/>
      <c r="GK476" s="707"/>
      <c r="GL476" s="707"/>
      <c r="GM476" s="707"/>
      <c r="GN476" s="707"/>
      <c r="GO476" s="707"/>
      <c r="GP476" s="707"/>
      <c r="GQ476" s="707"/>
      <c r="GR476" s="707"/>
      <c r="GS476" s="707"/>
      <c r="GT476" s="707"/>
      <c r="GU476" s="707"/>
      <c r="GV476" s="707"/>
      <c r="GW476" s="707"/>
      <c r="GX476" s="707"/>
      <c r="GY476" s="707"/>
      <c r="GZ476" s="707"/>
      <c r="HA476" s="707"/>
      <c r="HB476" s="707"/>
      <c r="HC476" s="707"/>
      <c r="HD476" s="707"/>
      <c r="HE476" s="707"/>
      <c r="HF476" s="707"/>
      <c r="HG476" s="707"/>
      <c r="HH476" s="707"/>
      <c r="HI476" s="707"/>
      <c r="HJ476" s="707"/>
      <c r="HK476" s="707"/>
      <c r="HL476" s="707"/>
      <c r="HM476" s="707"/>
      <c r="HN476" s="707"/>
      <c r="HO476" s="707"/>
      <c r="HP476" s="707"/>
      <c r="HQ476" s="707"/>
      <c r="HR476" s="707"/>
      <c r="HS476" s="707"/>
      <c r="HT476" s="707"/>
      <c r="HU476" s="707"/>
      <c r="HV476" s="707"/>
      <c r="HW476" s="707"/>
      <c r="HX476" s="707"/>
      <c r="HY476" s="707"/>
      <c r="HZ476" s="707"/>
      <c r="IA476" s="707"/>
      <c r="IB476" s="707"/>
      <c r="IC476" s="707"/>
      <c r="ID476" s="707"/>
      <c r="IE476" s="707"/>
      <c r="IF476" s="707"/>
      <c r="IG476" s="707"/>
      <c r="IH476" s="707"/>
      <c r="II476" s="707"/>
      <c r="IJ476" s="707"/>
      <c r="IK476" s="707"/>
      <c r="IL476" s="707"/>
      <c r="IM476" s="707"/>
      <c r="IN476" s="707"/>
      <c r="IO476" s="707"/>
      <c r="IP476" s="707"/>
      <c r="IQ476" s="707"/>
      <c r="IR476" s="707"/>
      <c r="IS476" s="707"/>
      <c r="IT476" s="707"/>
      <c r="IU476" s="707"/>
      <c r="IV476" s="707"/>
      <c r="IW476" s="707"/>
    </row>
    <row r="477" customFormat="false" ht="12.75" hidden="false" customHeight="false" outlineLevel="1" collapsed="false">
      <c r="A477" s="388"/>
      <c r="B477" s="706"/>
      <c r="C477" s="706"/>
      <c r="D477" s="706"/>
      <c r="E477" s="713"/>
      <c r="F477" s="713"/>
      <c r="G477" s="713"/>
      <c r="H477" s="713"/>
      <c r="I477" s="713"/>
      <c r="J477" s="713"/>
      <c r="K477" s="713"/>
      <c r="L477" s="713"/>
      <c r="M477" s="713"/>
      <c r="N477" s="713"/>
      <c r="O477" s="713"/>
      <c r="P477" s="713"/>
      <c r="Q477" s="713"/>
      <c r="R477" s="713"/>
      <c r="S477" s="713"/>
      <c r="T477" s="713"/>
      <c r="U477" s="713"/>
      <c r="V477" s="713"/>
      <c r="W477" s="713"/>
      <c r="X477" s="713"/>
      <c r="Y477" s="713"/>
      <c r="Z477" s="713"/>
      <c r="AA477" s="707"/>
      <c r="AB477" s="707"/>
      <c r="AC477" s="707"/>
      <c r="AD477" s="707"/>
      <c r="AE477" s="707"/>
      <c r="AF477" s="707"/>
      <c r="AG477" s="707"/>
      <c r="AH477" s="707"/>
      <c r="AI477" s="707"/>
      <c r="AJ477" s="707"/>
      <c r="AK477" s="707"/>
      <c r="AL477" s="707"/>
      <c r="AM477" s="707"/>
      <c r="AN477" s="707"/>
      <c r="AO477" s="707"/>
      <c r="AP477" s="707"/>
      <c r="AQ477" s="707"/>
      <c r="AR477" s="707"/>
      <c r="AS477" s="707"/>
      <c r="AT477" s="707"/>
      <c r="AU477" s="707"/>
      <c r="AV477" s="707"/>
      <c r="AW477" s="707"/>
      <c r="AX477" s="707"/>
      <c r="AY477" s="707"/>
      <c r="AZ477" s="707"/>
      <c r="BA477" s="707"/>
      <c r="BB477" s="707"/>
      <c r="BC477" s="707"/>
      <c r="BD477" s="707"/>
      <c r="BE477" s="707"/>
      <c r="BF477" s="707"/>
      <c r="BG477" s="707"/>
      <c r="BH477" s="707"/>
      <c r="BI477" s="707"/>
      <c r="BJ477" s="707"/>
      <c r="BK477" s="707"/>
      <c r="BL477" s="707"/>
      <c r="BM477" s="707"/>
      <c r="BN477" s="707"/>
      <c r="BO477" s="707"/>
      <c r="BP477" s="707"/>
      <c r="BQ477" s="707"/>
      <c r="BR477" s="707"/>
      <c r="BS477" s="707"/>
      <c r="BT477" s="707"/>
      <c r="BU477" s="707"/>
      <c r="BV477" s="707"/>
      <c r="BW477" s="707"/>
      <c r="BX477" s="707"/>
      <c r="BY477" s="707"/>
      <c r="BZ477" s="707"/>
      <c r="CA477" s="707"/>
      <c r="CB477" s="707"/>
      <c r="CC477" s="707"/>
      <c r="CD477" s="707"/>
      <c r="CE477" s="707"/>
      <c r="CF477" s="707"/>
      <c r="CG477" s="707"/>
      <c r="CH477" s="707"/>
      <c r="CI477" s="707"/>
      <c r="CJ477" s="707"/>
      <c r="CK477" s="707"/>
      <c r="CL477" s="707"/>
      <c r="CM477" s="707"/>
      <c r="CN477" s="707"/>
      <c r="CO477" s="707"/>
      <c r="CP477" s="707"/>
      <c r="CQ477" s="707"/>
      <c r="CR477" s="707"/>
      <c r="CS477" s="707"/>
      <c r="CT477" s="707"/>
      <c r="CU477" s="707"/>
      <c r="CV477" s="707"/>
      <c r="CW477" s="707"/>
      <c r="CX477" s="707"/>
      <c r="CY477" s="707"/>
      <c r="CZ477" s="707"/>
      <c r="DA477" s="707"/>
      <c r="DB477" s="707"/>
      <c r="DC477" s="707"/>
      <c r="DD477" s="707"/>
      <c r="DE477" s="707"/>
      <c r="DF477" s="707"/>
      <c r="DG477" s="707"/>
      <c r="DH477" s="707"/>
      <c r="DI477" s="707"/>
      <c r="DJ477" s="707"/>
      <c r="DK477" s="707"/>
      <c r="DL477" s="707"/>
      <c r="DM477" s="707"/>
      <c r="DN477" s="707"/>
      <c r="DO477" s="707"/>
      <c r="DP477" s="707"/>
      <c r="DQ477" s="707"/>
      <c r="DR477" s="707"/>
      <c r="DS477" s="707"/>
      <c r="DT477" s="707"/>
      <c r="DU477" s="707"/>
      <c r="DV477" s="707"/>
      <c r="DW477" s="707"/>
      <c r="DX477" s="707"/>
      <c r="DY477" s="707"/>
      <c r="DZ477" s="707"/>
      <c r="EA477" s="707"/>
      <c r="EB477" s="707"/>
      <c r="EC477" s="707"/>
      <c r="ED477" s="707"/>
      <c r="EE477" s="707"/>
      <c r="EF477" s="707"/>
      <c r="EG477" s="707"/>
      <c r="EH477" s="707"/>
      <c r="EI477" s="707"/>
      <c r="EJ477" s="707"/>
      <c r="EK477" s="707"/>
      <c r="EL477" s="707"/>
      <c r="EM477" s="707"/>
      <c r="EN477" s="707"/>
      <c r="EO477" s="707"/>
      <c r="EP477" s="707"/>
      <c r="EQ477" s="707"/>
      <c r="ER477" s="707"/>
      <c r="ES477" s="707"/>
      <c r="ET477" s="707"/>
      <c r="EU477" s="707"/>
      <c r="EV477" s="707"/>
      <c r="EW477" s="707"/>
      <c r="EX477" s="707"/>
      <c r="EY477" s="707"/>
      <c r="EZ477" s="707"/>
      <c r="FA477" s="707"/>
      <c r="FB477" s="707"/>
      <c r="FC477" s="707"/>
      <c r="FD477" s="707"/>
      <c r="FE477" s="707"/>
      <c r="FF477" s="707"/>
      <c r="FG477" s="707"/>
      <c r="FH477" s="707"/>
      <c r="FI477" s="707"/>
      <c r="FJ477" s="707"/>
      <c r="FK477" s="707"/>
      <c r="FL477" s="707"/>
      <c r="FM477" s="707"/>
      <c r="FN477" s="707"/>
      <c r="FO477" s="707"/>
      <c r="FP477" s="707"/>
      <c r="FQ477" s="707"/>
      <c r="FR477" s="707"/>
      <c r="FS477" s="707"/>
      <c r="FT477" s="707"/>
      <c r="FU477" s="707"/>
      <c r="FV477" s="707"/>
      <c r="FW477" s="707"/>
      <c r="FX477" s="707"/>
      <c r="FY477" s="707"/>
      <c r="FZ477" s="707"/>
      <c r="GA477" s="707"/>
      <c r="GB477" s="707"/>
      <c r="GC477" s="707"/>
      <c r="GD477" s="707"/>
      <c r="GE477" s="707"/>
      <c r="GF477" s="707"/>
      <c r="GG477" s="707"/>
      <c r="GH477" s="707"/>
      <c r="GI477" s="707"/>
      <c r="GJ477" s="707"/>
      <c r="GK477" s="707"/>
      <c r="GL477" s="707"/>
      <c r="GM477" s="707"/>
      <c r="GN477" s="707"/>
      <c r="GO477" s="707"/>
      <c r="GP477" s="707"/>
      <c r="GQ477" s="707"/>
      <c r="GR477" s="707"/>
      <c r="GS477" s="707"/>
      <c r="GT477" s="707"/>
      <c r="GU477" s="707"/>
      <c r="GV477" s="707"/>
      <c r="GW477" s="707"/>
      <c r="GX477" s="707"/>
      <c r="GY477" s="707"/>
      <c r="GZ477" s="707"/>
      <c r="HA477" s="707"/>
      <c r="HB477" s="707"/>
      <c r="HC477" s="707"/>
      <c r="HD477" s="707"/>
      <c r="HE477" s="707"/>
      <c r="HF477" s="707"/>
      <c r="HG477" s="707"/>
      <c r="HH477" s="707"/>
      <c r="HI477" s="707"/>
      <c r="HJ477" s="707"/>
      <c r="HK477" s="707"/>
      <c r="HL477" s="707"/>
      <c r="HM477" s="707"/>
      <c r="HN477" s="707"/>
      <c r="HO477" s="707"/>
      <c r="HP477" s="707"/>
      <c r="HQ477" s="707"/>
      <c r="HR477" s="707"/>
      <c r="HS477" s="707"/>
      <c r="HT477" s="707"/>
      <c r="HU477" s="707"/>
      <c r="HV477" s="707"/>
      <c r="HW477" s="707"/>
      <c r="HX477" s="707"/>
      <c r="HY477" s="707"/>
      <c r="HZ477" s="707"/>
      <c r="IA477" s="707"/>
      <c r="IB477" s="707"/>
      <c r="IC477" s="707"/>
      <c r="ID477" s="707"/>
      <c r="IE477" s="707"/>
      <c r="IF477" s="707"/>
      <c r="IG477" s="707"/>
      <c r="IH477" s="707"/>
      <c r="II477" s="707"/>
      <c r="IJ477" s="707"/>
      <c r="IK477" s="707"/>
      <c r="IL477" s="707"/>
      <c r="IM477" s="707"/>
      <c r="IN477" s="707"/>
      <c r="IO477" s="707"/>
      <c r="IP477" s="707"/>
      <c r="IQ477" s="707"/>
      <c r="IR477" s="707"/>
      <c r="IS477" s="707"/>
      <c r="IT477" s="707"/>
      <c r="IU477" s="707"/>
      <c r="IV477" s="707"/>
      <c r="IW477" s="707"/>
    </row>
    <row r="478" customFormat="false" ht="12.75" hidden="false" customHeight="false" outlineLevel="1" collapsed="false">
      <c r="A478" s="716"/>
      <c r="B478" s="717"/>
      <c r="C478" s="717"/>
      <c r="D478" s="717"/>
      <c r="E478" s="713"/>
      <c r="F478" s="713"/>
      <c r="G478" s="713"/>
      <c r="H478" s="713"/>
      <c r="I478" s="713"/>
      <c r="J478" s="713"/>
      <c r="K478" s="713"/>
      <c r="L478" s="713"/>
      <c r="M478" s="713"/>
      <c r="N478" s="713"/>
      <c r="O478" s="713"/>
      <c r="P478" s="713"/>
      <c r="Q478" s="713"/>
      <c r="R478" s="713"/>
      <c r="S478" s="713"/>
      <c r="T478" s="713"/>
      <c r="U478" s="713"/>
      <c r="V478" s="713"/>
      <c r="W478" s="713"/>
      <c r="X478" s="713"/>
      <c r="Y478" s="713"/>
      <c r="Z478" s="713"/>
      <c r="AA478" s="707"/>
      <c r="AB478" s="707"/>
      <c r="AC478" s="707"/>
      <c r="AD478" s="707"/>
      <c r="AE478" s="707"/>
      <c r="AF478" s="707"/>
      <c r="AG478" s="707"/>
      <c r="AH478" s="707"/>
      <c r="AI478" s="707"/>
      <c r="AJ478" s="707"/>
      <c r="AK478" s="707"/>
      <c r="AL478" s="707"/>
      <c r="AM478" s="707"/>
      <c r="AN478" s="707"/>
      <c r="AO478" s="707"/>
      <c r="AP478" s="707"/>
      <c r="AQ478" s="707"/>
      <c r="AR478" s="707"/>
      <c r="AS478" s="707"/>
      <c r="AT478" s="707"/>
      <c r="AU478" s="707"/>
      <c r="AV478" s="707"/>
      <c r="AW478" s="707"/>
      <c r="AX478" s="707"/>
      <c r="AY478" s="707"/>
      <c r="AZ478" s="707"/>
      <c r="BA478" s="707"/>
      <c r="BB478" s="707"/>
      <c r="BC478" s="707"/>
      <c r="BD478" s="707"/>
      <c r="BE478" s="707"/>
      <c r="BF478" s="707"/>
      <c r="BG478" s="707"/>
      <c r="BH478" s="707"/>
      <c r="BI478" s="707"/>
      <c r="BJ478" s="707"/>
      <c r="BK478" s="707"/>
      <c r="BL478" s="707"/>
      <c r="BM478" s="707"/>
      <c r="BN478" s="707"/>
      <c r="BO478" s="707"/>
      <c r="BP478" s="707"/>
      <c r="BQ478" s="707"/>
      <c r="BR478" s="707"/>
      <c r="BS478" s="707"/>
      <c r="BT478" s="707"/>
      <c r="BU478" s="707"/>
      <c r="BV478" s="707"/>
      <c r="BW478" s="707"/>
      <c r="BX478" s="707"/>
      <c r="BY478" s="707"/>
      <c r="BZ478" s="707"/>
      <c r="CA478" s="707"/>
      <c r="CB478" s="707"/>
      <c r="CC478" s="707"/>
      <c r="CD478" s="707"/>
      <c r="CE478" s="707"/>
      <c r="CF478" s="707"/>
      <c r="CG478" s="707"/>
      <c r="CH478" s="707"/>
      <c r="CI478" s="707"/>
      <c r="CJ478" s="707"/>
      <c r="CK478" s="707"/>
      <c r="CL478" s="707"/>
      <c r="CM478" s="707"/>
      <c r="CN478" s="707"/>
      <c r="CO478" s="707"/>
      <c r="CP478" s="707"/>
      <c r="CQ478" s="707"/>
      <c r="CR478" s="707"/>
      <c r="CS478" s="707"/>
      <c r="CT478" s="707"/>
      <c r="CU478" s="707"/>
      <c r="CV478" s="707"/>
      <c r="CW478" s="707"/>
      <c r="CX478" s="707"/>
      <c r="CY478" s="707"/>
      <c r="CZ478" s="707"/>
      <c r="DA478" s="707"/>
      <c r="DB478" s="707"/>
      <c r="DC478" s="707"/>
      <c r="DD478" s="707"/>
      <c r="DE478" s="707"/>
      <c r="DF478" s="707"/>
      <c r="DG478" s="707"/>
      <c r="DH478" s="707"/>
      <c r="DI478" s="707"/>
      <c r="DJ478" s="707"/>
      <c r="DK478" s="707"/>
      <c r="DL478" s="707"/>
      <c r="DM478" s="707"/>
      <c r="DN478" s="707"/>
      <c r="DO478" s="707"/>
      <c r="DP478" s="707"/>
      <c r="DQ478" s="707"/>
      <c r="DR478" s="707"/>
      <c r="DS478" s="707"/>
      <c r="DT478" s="707"/>
      <c r="DU478" s="707"/>
      <c r="DV478" s="707"/>
      <c r="DW478" s="707"/>
      <c r="DX478" s="707"/>
      <c r="DY478" s="707"/>
      <c r="DZ478" s="707"/>
      <c r="EA478" s="707"/>
      <c r="EB478" s="707"/>
      <c r="EC478" s="707"/>
      <c r="ED478" s="707"/>
      <c r="EE478" s="707"/>
      <c r="EF478" s="707"/>
      <c r="EG478" s="707"/>
      <c r="EH478" s="707"/>
      <c r="EI478" s="707"/>
      <c r="EJ478" s="707"/>
      <c r="EK478" s="707"/>
      <c r="EL478" s="707"/>
      <c r="EM478" s="707"/>
      <c r="EN478" s="707"/>
      <c r="EO478" s="707"/>
      <c r="EP478" s="707"/>
      <c r="EQ478" s="707"/>
      <c r="ER478" s="707"/>
      <c r="ES478" s="707"/>
      <c r="ET478" s="707"/>
      <c r="EU478" s="707"/>
      <c r="EV478" s="707"/>
      <c r="EW478" s="707"/>
      <c r="EX478" s="707"/>
      <c r="EY478" s="707"/>
      <c r="EZ478" s="707"/>
      <c r="FA478" s="707"/>
      <c r="FB478" s="707"/>
      <c r="FC478" s="707"/>
      <c r="FD478" s="707"/>
      <c r="FE478" s="707"/>
      <c r="FF478" s="707"/>
      <c r="FG478" s="707"/>
      <c r="FH478" s="707"/>
      <c r="FI478" s="707"/>
      <c r="FJ478" s="707"/>
      <c r="FK478" s="707"/>
      <c r="FL478" s="707"/>
      <c r="FM478" s="707"/>
      <c r="FN478" s="707"/>
      <c r="FO478" s="707"/>
      <c r="FP478" s="707"/>
      <c r="FQ478" s="707"/>
      <c r="FR478" s="707"/>
      <c r="FS478" s="707"/>
      <c r="FT478" s="707"/>
      <c r="FU478" s="707"/>
      <c r="FV478" s="707"/>
      <c r="FW478" s="707"/>
      <c r="FX478" s="707"/>
      <c r="FY478" s="707"/>
      <c r="FZ478" s="707"/>
      <c r="GA478" s="707"/>
      <c r="GB478" s="707"/>
      <c r="GC478" s="707"/>
      <c r="GD478" s="707"/>
      <c r="GE478" s="707"/>
      <c r="GF478" s="707"/>
      <c r="GG478" s="707"/>
      <c r="GH478" s="707"/>
      <c r="GI478" s="707"/>
      <c r="GJ478" s="707"/>
      <c r="GK478" s="707"/>
      <c r="GL478" s="707"/>
      <c r="GM478" s="707"/>
      <c r="GN478" s="707"/>
      <c r="GO478" s="707"/>
      <c r="GP478" s="707"/>
      <c r="GQ478" s="707"/>
      <c r="GR478" s="707"/>
      <c r="GS478" s="707"/>
      <c r="GT478" s="707"/>
      <c r="GU478" s="707"/>
      <c r="GV478" s="707"/>
      <c r="GW478" s="707"/>
      <c r="GX478" s="707"/>
      <c r="GY478" s="707"/>
      <c r="GZ478" s="707"/>
      <c r="HA478" s="707"/>
      <c r="HB478" s="707"/>
      <c r="HC478" s="707"/>
      <c r="HD478" s="707"/>
      <c r="HE478" s="707"/>
      <c r="HF478" s="707"/>
      <c r="HG478" s="707"/>
      <c r="HH478" s="707"/>
      <c r="HI478" s="707"/>
      <c r="HJ478" s="707"/>
      <c r="HK478" s="707"/>
      <c r="HL478" s="707"/>
      <c r="HM478" s="707"/>
      <c r="HN478" s="707"/>
      <c r="HO478" s="707"/>
      <c r="HP478" s="707"/>
      <c r="HQ478" s="707"/>
      <c r="HR478" s="707"/>
      <c r="HS478" s="707"/>
      <c r="HT478" s="707"/>
      <c r="HU478" s="707"/>
      <c r="HV478" s="707"/>
      <c r="HW478" s="707"/>
      <c r="HX478" s="707"/>
      <c r="HY478" s="707"/>
      <c r="HZ478" s="707"/>
      <c r="IA478" s="707"/>
      <c r="IB478" s="707"/>
      <c r="IC478" s="707"/>
      <c r="ID478" s="707"/>
      <c r="IE478" s="707"/>
      <c r="IF478" s="707"/>
      <c r="IG478" s="707"/>
      <c r="IH478" s="707"/>
      <c r="II478" s="707"/>
      <c r="IJ478" s="707"/>
      <c r="IK478" s="707"/>
      <c r="IL478" s="707"/>
      <c r="IM478" s="707"/>
      <c r="IN478" s="707"/>
      <c r="IO478" s="707"/>
      <c r="IP478" s="707"/>
      <c r="IQ478" s="707"/>
      <c r="IR478" s="707"/>
      <c r="IS478" s="707"/>
      <c r="IT478" s="707"/>
      <c r="IU478" s="707"/>
      <c r="IV478" s="707"/>
      <c r="IW478" s="707"/>
    </row>
    <row r="479" customFormat="false" ht="12.75" hidden="false" customHeight="false" outlineLevel="1" collapsed="false">
      <c r="A479" s="716"/>
      <c r="B479" s="717"/>
      <c r="C479" s="717"/>
      <c r="D479" s="717"/>
      <c r="E479" s="713"/>
      <c r="F479" s="713"/>
      <c r="G479" s="713"/>
      <c r="H479" s="713"/>
      <c r="I479" s="713"/>
      <c r="J479" s="713"/>
      <c r="K479" s="713"/>
      <c r="L479" s="713"/>
      <c r="M479" s="713"/>
      <c r="N479" s="713"/>
      <c r="O479" s="713"/>
      <c r="P479" s="713"/>
      <c r="Q479" s="713"/>
      <c r="R479" s="713"/>
      <c r="S479" s="713"/>
      <c r="T479" s="713"/>
      <c r="U479" s="713"/>
      <c r="V479" s="713"/>
      <c r="W479" s="713"/>
      <c r="X479" s="713"/>
      <c r="Y479" s="713"/>
      <c r="Z479" s="713"/>
      <c r="AA479" s="707"/>
      <c r="AB479" s="707"/>
      <c r="AC479" s="707"/>
      <c r="AD479" s="707"/>
      <c r="AE479" s="707"/>
      <c r="AF479" s="707"/>
      <c r="AG479" s="707"/>
      <c r="AH479" s="707"/>
      <c r="AI479" s="707"/>
      <c r="AJ479" s="707"/>
      <c r="AK479" s="707"/>
      <c r="AL479" s="707"/>
      <c r="AM479" s="707"/>
      <c r="AN479" s="707"/>
      <c r="AO479" s="707"/>
      <c r="AP479" s="707"/>
      <c r="AQ479" s="707"/>
      <c r="AR479" s="707"/>
      <c r="AS479" s="707"/>
      <c r="AT479" s="707"/>
      <c r="AU479" s="707"/>
      <c r="AV479" s="707"/>
      <c r="AW479" s="707"/>
      <c r="AX479" s="707"/>
      <c r="AY479" s="707"/>
      <c r="AZ479" s="707"/>
      <c r="BA479" s="707"/>
      <c r="BB479" s="707"/>
      <c r="BC479" s="707"/>
      <c r="BD479" s="707"/>
      <c r="BE479" s="707"/>
      <c r="BF479" s="707"/>
      <c r="BG479" s="707"/>
      <c r="BH479" s="707"/>
      <c r="BI479" s="707"/>
      <c r="BJ479" s="707"/>
      <c r="BK479" s="707"/>
      <c r="BL479" s="707"/>
      <c r="BM479" s="707"/>
      <c r="BN479" s="707"/>
      <c r="BO479" s="707"/>
      <c r="BP479" s="707"/>
      <c r="BQ479" s="707"/>
      <c r="BR479" s="707"/>
      <c r="BS479" s="707"/>
      <c r="BT479" s="707"/>
      <c r="BU479" s="707"/>
      <c r="BV479" s="707"/>
      <c r="BW479" s="707"/>
      <c r="BX479" s="707"/>
      <c r="BY479" s="707"/>
      <c r="BZ479" s="707"/>
      <c r="CA479" s="707"/>
      <c r="CB479" s="707"/>
      <c r="CC479" s="707"/>
      <c r="CD479" s="707"/>
      <c r="CE479" s="707"/>
      <c r="CF479" s="707"/>
      <c r="CG479" s="707"/>
      <c r="CH479" s="707"/>
      <c r="CI479" s="707"/>
      <c r="CJ479" s="707"/>
      <c r="CK479" s="707"/>
      <c r="CL479" s="707"/>
      <c r="CM479" s="707"/>
      <c r="CN479" s="707"/>
      <c r="CO479" s="707"/>
      <c r="CP479" s="707"/>
      <c r="CQ479" s="707"/>
      <c r="CR479" s="707"/>
      <c r="CS479" s="707"/>
      <c r="CT479" s="707"/>
      <c r="CU479" s="707"/>
      <c r="CV479" s="707"/>
      <c r="CW479" s="707"/>
      <c r="CX479" s="707"/>
      <c r="CY479" s="707"/>
      <c r="CZ479" s="707"/>
      <c r="DA479" s="707"/>
      <c r="DB479" s="707"/>
      <c r="DC479" s="707"/>
      <c r="DD479" s="707"/>
      <c r="DE479" s="707"/>
      <c r="DF479" s="707"/>
      <c r="DG479" s="707"/>
      <c r="DH479" s="707"/>
      <c r="DI479" s="707"/>
      <c r="DJ479" s="707"/>
      <c r="DK479" s="707"/>
      <c r="DL479" s="707"/>
      <c r="DM479" s="707"/>
      <c r="DN479" s="707"/>
      <c r="DO479" s="707"/>
      <c r="DP479" s="707"/>
      <c r="DQ479" s="707"/>
      <c r="DR479" s="707"/>
      <c r="DS479" s="707"/>
      <c r="DT479" s="707"/>
      <c r="DU479" s="707"/>
      <c r="DV479" s="707"/>
      <c r="DW479" s="707"/>
      <c r="DX479" s="707"/>
      <c r="DY479" s="707"/>
      <c r="DZ479" s="707"/>
      <c r="EA479" s="707"/>
      <c r="EB479" s="707"/>
      <c r="EC479" s="707"/>
      <c r="ED479" s="707"/>
      <c r="EE479" s="707"/>
      <c r="EF479" s="707"/>
      <c r="EG479" s="707"/>
      <c r="EH479" s="707"/>
      <c r="EI479" s="707"/>
      <c r="EJ479" s="707"/>
      <c r="EK479" s="707"/>
      <c r="EL479" s="707"/>
      <c r="EM479" s="707"/>
      <c r="EN479" s="707"/>
      <c r="EO479" s="707"/>
      <c r="EP479" s="707"/>
      <c r="EQ479" s="707"/>
      <c r="ER479" s="707"/>
      <c r="ES479" s="707"/>
      <c r="ET479" s="707"/>
      <c r="EU479" s="707"/>
      <c r="EV479" s="707"/>
      <c r="EW479" s="707"/>
      <c r="EX479" s="707"/>
      <c r="EY479" s="707"/>
      <c r="EZ479" s="707"/>
      <c r="FA479" s="707"/>
      <c r="FB479" s="707"/>
      <c r="FC479" s="707"/>
      <c r="FD479" s="707"/>
      <c r="FE479" s="707"/>
      <c r="FF479" s="707"/>
      <c r="FG479" s="707"/>
      <c r="FH479" s="707"/>
      <c r="FI479" s="707"/>
      <c r="FJ479" s="707"/>
      <c r="FK479" s="707"/>
      <c r="FL479" s="707"/>
      <c r="FM479" s="707"/>
      <c r="FN479" s="707"/>
      <c r="FO479" s="707"/>
      <c r="FP479" s="707"/>
      <c r="FQ479" s="707"/>
      <c r="FR479" s="707"/>
      <c r="FS479" s="707"/>
      <c r="FT479" s="707"/>
      <c r="FU479" s="707"/>
      <c r="FV479" s="707"/>
      <c r="FW479" s="707"/>
      <c r="FX479" s="707"/>
      <c r="FY479" s="707"/>
      <c r="FZ479" s="707"/>
      <c r="GA479" s="707"/>
      <c r="GB479" s="707"/>
      <c r="GC479" s="707"/>
      <c r="GD479" s="707"/>
      <c r="GE479" s="707"/>
      <c r="GF479" s="707"/>
      <c r="GG479" s="707"/>
      <c r="GH479" s="707"/>
      <c r="GI479" s="707"/>
      <c r="GJ479" s="707"/>
      <c r="GK479" s="707"/>
      <c r="GL479" s="707"/>
      <c r="GM479" s="707"/>
      <c r="GN479" s="707"/>
      <c r="GO479" s="707"/>
      <c r="GP479" s="707"/>
      <c r="GQ479" s="707"/>
      <c r="GR479" s="707"/>
      <c r="GS479" s="707"/>
      <c r="GT479" s="707"/>
      <c r="GU479" s="707"/>
      <c r="GV479" s="707"/>
      <c r="GW479" s="707"/>
      <c r="GX479" s="707"/>
      <c r="GY479" s="707"/>
      <c r="GZ479" s="707"/>
      <c r="HA479" s="707"/>
      <c r="HB479" s="707"/>
      <c r="HC479" s="707"/>
      <c r="HD479" s="707"/>
      <c r="HE479" s="707"/>
      <c r="HF479" s="707"/>
      <c r="HG479" s="707"/>
      <c r="HH479" s="707"/>
      <c r="HI479" s="707"/>
      <c r="HJ479" s="707"/>
      <c r="HK479" s="707"/>
      <c r="HL479" s="707"/>
      <c r="HM479" s="707"/>
      <c r="HN479" s="707"/>
      <c r="HO479" s="707"/>
      <c r="HP479" s="707"/>
      <c r="HQ479" s="707"/>
      <c r="HR479" s="707"/>
      <c r="HS479" s="707"/>
      <c r="HT479" s="707"/>
      <c r="HU479" s="707"/>
      <c r="HV479" s="707"/>
      <c r="HW479" s="707"/>
      <c r="HX479" s="707"/>
      <c r="HY479" s="707"/>
      <c r="HZ479" s="707"/>
      <c r="IA479" s="707"/>
      <c r="IB479" s="707"/>
      <c r="IC479" s="707"/>
      <c r="ID479" s="707"/>
      <c r="IE479" s="707"/>
      <c r="IF479" s="707"/>
      <c r="IG479" s="707"/>
      <c r="IH479" s="707"/>
      <c r="II479" s="707"/>
      <c r="IJ479" s="707"/>
      <c r="IK479" s="707"/>
      <c r="IL479" s="707"/>
      <c r="IM479" s="707"/>
      <c r="IN479" s="707"/>
      <c r="IO479" s="707"/>
      <c r="IP479" s="707"/>
      <c r="IQ479" s="707"/>
      <c r="IR479" s="707"/>
      <c r="IS479" s="707"/>
      <c r="IT479" s="707"/>
      <c r="IU479" s="707"/>
      <c r="IV479" s="707"/>
      <c r="IW479" s="707"/>
    </row>
    <row r="480" customFormat="false" ht="12.75" hidden="false" customHeight="false" outlineLevel="1" collapsed="false">
      <c r="A480" s="716"/>
      <c r="B480" s="717"/>
      <c r="C480" s="717"/>
      <c r="D480" s="717"/>
      <c r="E480" s="713"/>
      <c r="F480" s="713"/>
      <c r="G480" s="713"/>
      <c r="H480" s="713"/>
      <c r="I480" s="713"/>
      <c r="J480" s="713"/>
      <c r="K480" s="713"/>
      <c r="L480" s="713"/>
      <c r="M480" s="713"/>
      <c r="N480" s="713"/>
      <c r="O480" s="713"/>
      <c r="P480" s="713"/>
      <c r="Q480" s="713"/>
      <c r="R480" s="713"/>
      <c r="S480" s="713"/>
      <c r="T480" s="713"/>
      <c r="U480" s="713"/>
      <c r="V480" s="713"/>
      <c r="W480" s="713"/>
      <c r="X480" s="713"/>
      <c r="Y480" s="713"/>
      <c r="Z480" s="713"/>
      <c r="AA480" s="707"/>
      <c r="AB480" s="707"/>
      <c r="AC480" s="707"/>
      <c r="AD480" s="707"/>
      <c r="AE480" s="707"/>
      <c r="AF480" s="707"/>
      <c r="AG480" s="707"/>
      <c r="AH480" s="707"/>
      <c r="AI480" s="707"/>
      <c r="AJ480" s="707"/>
      <c r="AK480" s="707"/>
      <c r="AL480" s="707"/>
      <c r="AM480" s="707"/>
      <c r="AN480" s="707"/>
      <c r="AO480" s="707"/>
      <c r="AP480" s="707"/>
      <c r="AQ480" s="707"/>
      <c r="AR480" s="707"/>
      <c r="AS480" s="707"/>
      <c r="AT480" s="707"/>
      <c r="AU480" s="707"/>
      <c r="AV480" s="707"/>
      <c r="AW480" s="707"/>
      <c r="AX480" s="707"/>
      <c r="AY480" s="707"/>
      <c r="AZ480" s="707"/>
      <c r="BA480" s="707"/>
      <c r="BB480" s="707"/>
      <c r="BC480" s="707"/>
      <c r="BD480" s="707"/>
      <c r="BE480" s="707"/>
      <c r="BF480" s="707"/>
      <c r="BG480" s="707"/>
      <c r="BH480" s="707"/>
      <c r="BI480" s="707"/>
      <c r="BJ480" s="707"/>
      <c r="BK480" s="707"/>
      <c r="BL480" s="707"/>
      <c r="BM480" s="707"/>
      <c r="BN480" s="707"/>
      <c r="BO480" s="707"/>
      <c r="BP480" s="707"/>
      <c r="BQ480" s="707"/>
      <c r="BR480" s="707"/>
      <c r="BS480" s="707"/>
      <c r="BT480" s="707"/>
      <c r="BU480" s="707"/>
      <c r="BV480" s="707"/>
      <c r="BW480" s="707"/>
      <c r="BX480" s="707"/>
      <c r="BY480" s="707"/>
      <c r="BZ480" s="707"/>
      <c r="CA480" s="707"/>
      <c r="CB480" s="707"/>
      <c r="CC480" s="707"/>
      <c r="CD480" s="707"/>
      <c r="CE480" s="707"/>
      <c r="CF480" s="707"/>
      <c r="CG480" s="707"/>
      <c r="CH480" s="707"/>
      <c r="CI480" s="707"/>
      <c r="CJ480" s="707"/>
      <c r="CK480" s="707"/>
      <c r="CL480" s="707"/>
      <c r="CM480" s="707"/>
      <c r="CN480" s="707"/>
      <c r="CO480" s="707"/>
      <c r="CP480" s="707"/>
      <c r="CQ480" s="707"/>
      <c r="CR480" s="707"/>
      <c r="CS480" s="707"/>
      <c r="CT480" s="707"/>
      <c r="CU480" s="707"/>
      <c r="CV480" s="707"/>
      <c r="CW480" s="707"/>
      <c r="CX480" s="707"/>
      <c r="CY480" s="707"/>
      <c r="CZ480" s="707"/>
      <c r="DA480" s="707"/>
      <c r="DB480" s="707"/>
      <c r="DC480" s="707"/>
      <c r="DD480" s="707"/>
      <c r="DE480" s="707"/>
      <c r="DF480" s="707"/>
      <c r="DG480" s="707"/>
      <c r="DH480" s="707"/>
      <c r="DI480" s="707"/>
      <c r="DJ480" s="707"/>
      <c r="DK480" s="707"/>
      <c r="DL480" s="707"/>
      <c r="DM480" s="707"/>
      <c r="DN480" s="707"/>
      <c r="DO480" s="707"/>
      <c r="DP480" s="707"/>
      <c r="DQ480" s="707"/>
      <c r="DR480" s="707"/>
      <c r="DS480" s="707"/>
      <c r="DT480" s="707"/>
      <c r="DU480" s="707"/>
      <c r="DV480" s="707"/>
      <c r="DW480" s="707"/>
      <c r="DX480" s="707"/>
      <c r="DY480" s="707"/>
      <c r="DZ480" s="707"/>
      <c r="EA480" s="707"/>
      <c r="EB480" s="707"/>
      <c r="EC480" s="707"/>
      <c r="ED480" s="707"/>
      <c r="EE480" s="707"/>
      <c r="EF480" s="707"/>
      <c r="EG480" s="707"/>
      <c r="EH480" s="707"/>
      <c r="EI480" s="707"/>
      <c r="EJ480" s="707"/>
      <c r="EK480" s="707"/>
      <c r="EL480" s="707"/>
      <c r="EM480" s="707"/>
      <c r="EN480" s="707"/>
      <c r="EO480" s="707"/>
      <c r="EP480" s="707"/>
      <c r="EQ480" s="707"/>
      <c r="ER480" s="707"/>
      <c r="ES480" s="707"/>
      <c r="ET480" s="707"/>
      <c r="EU480" s="707"/>
      <c r="EV480" s="707"/>
      <c r="EW480" s="707"/>
      <c r="EX480" s="707"/>
      <c r="EY480" s="707"/>
      <c r="EZ480" s="707"/>
      <c r="FA480" s="707"/>
      <c r="FB480" s="707"/>
      <c r="FC480" s="707"/>
      <c r="FD480" s="707"/>
      <c r="FE480" s="707"/>
      <c r="FF480" s="707"/>
      <c r="FG480" s="707"/>
      <c r="FH480" s="707"/>
      <c r="FI480" s="707"/>
      <c r="FJ480" s="707"/>
      <c r="FK480" s="707"/>
      <c r="FL480" s="707"/>
      <c r="FM480" s="707"/>
      <c r="FN480" s="707"/>
      <c r="FO480" s="707"/>
      <c r="FP480" s="707"/>
      <c r="FQ480" s="707"/>
      <c r="FR480" s="707"/>
      <c r="FS480" s="707"/>
      <c r="FT480" s="707"/>
      <c r="FU480" s="707"/>
      <c r="FV480" s="707"/>
      <c r="FW480" s="707"/>
      <c r="FX480" s="707"/>
      <c r="FY480" s="707"/>
      <c r="FZ480" s="707"/>
      <c r="GA480" s="707"/>
      <c r="GB480" s="707"/>
      <c r="GC480" s="707"/>
      <c r="GD480" s="707"/>
      <c r="GE480" s="707"/>
      <c r="GF480" s="707"/>
      <c r="GG480" s="707"/>
      <c r="GH480" s="707"/>
      <c r="GI480" s="707"/>
      <c r="GJ480" s="707"/>
      <c r="GK480" s="707"/>
      <c r="GL480" s="707"/>
      <c r="GM480" s="707"/>
      <c r="GN480" s="707"/>
      <c r="GO480" s="707"/>
      <c r="GP480" s="707"/>
      <c r="GQ480" s="707"/>
      <c r="GR480" s="707"/>
      <c r="GS480" s="707"/>
      <c r="GT480" s="707"/>
      <c r="GU480" s="707"/>
      <c r="GV480" s="707"/>
      <c r="GW480" s="707"/>
      <c r="GX480" s="707"/>
      <c r="GY480" s="707"/>
      <c r="GZ480" s="707"/>
      <c r="HA480" s="707"/>
      <c r="HB480" s="707"/>
      <c r="HC480" s="707"/>
      <c r="HD480" s="707"/>
      <c r="HE480" s="707"/>
      <c r="HF480" s="707"/>
      <c r="HG480" s="707"/>
      <c r="HH480" s="707"/>
      <c r="HI480" s="707"/>
      <c r="HJ480" s="707"/>
      <c r="HK480" s="707"/>
      <c r="HL480" s="707"/>
      <c r="HM480" s="707"/>
      <c r="HN480" s="707"/>
      <c r="HO480" s="707"/>
      <c r="HP480" s="707"/>
      <c r="HQ480" s="707"/>
      <c r="HR480" s="707"/>
      <c r="HS480" s="707"/>
      <c r="HT480" s="707"/>
      <c r="HU480" s="707"/>
      <c r="HV480" s="707"/>
      <c r="HW480" s="707"/>
      <c r="HX480" s="707"/>
      <c r="HY480" s="707"/>
      <c r="HZ480" s="707"/>
      <c r="IA480" s="707"/>
      <c r="IB480" s="707"/>
      <c r="IC480" s="707"/>
      <c r="ID480" s="707"/>
      <c r="IE480" s="707"/>
      <c r="IF480" s="707"/>
      <c r="IG480" s="707"/>
      <c r="IH480" s="707"/>
      <c r="II480" s="707"/>
      <c r="IJ480" s="707"/>
      <c r="IK480" s="707"/>
      <c r="IL480" s="707"/>
      <c r="IM480" s="707"/>
      <c r="IN480" s="707"/>
      <c r="IO480" s="707"/>
      <c r="IP480" s="707"/>
      <c r="IQ480" s="707"/>
      <c r="IR480" s="707"/>
      <c r="IS480" s="707"/>
      <c r="IT480" s="707"/>
      <c r="IU480" s="707"/>
      <c r="IV480" s="707"/>
      <c r="IW480" s="707"/>
    </row>
    <row r="481" customFormat="false" ht="12.75" hidden="false" customHeight="false" outlineLevel="1" collapsed="false">
      <c r="A481" s="716"/>
      <c r="B481" s="717"/>
      <c r="C481" s="717"/>
      <c r="D481" s="717"/>
      <c r="E481" s="713"/>
      <c r="F481" s="713"/>
      <c r="G481" s="713"/>
      <c r="H481" s="713"/>
      <c r="I481" s="713"/>
      <c r="J481" s="713"/>
      <c r="K481" s="713"/>
      <c r="L481" s="713"/>
      <c r="M481" s="713"/>
      <c r="N481" s="713"/>
      <c r="O481" s="713"/>
      <c r="P481" s="713"/>
      <c r="Q481" s="713"/>
      <c r="R481" s="713"/>
      <c r="S481" s="713"/>
      <c r="T481" s="713"/>
      <c r="U481" s="713"/>
      <c r="V481" s="713"/>
      <c r="W481" s="713"/>
      <c r="X481" s="713"/>
      <c r="Y481" s="713"/>
      <c r="Z481" s="713"/>
      <c r="AA481" s="707"/>
      <c r="AB481" s="707"/>
      <c r="AC481" s="707"/>
      <c r="AD481" s="707"/>
      <c r="AE481" s="707"/>
      <c r="AF481" s="707"/>
      <c r="AG481" s="707"/>
      <c r="AH481" s="707"/>
      <c r="AI481" s="707"/>
      <c r="AJ481" s="707"/>
      <c r="AK481" s="707"/>
      <c r="AL481" s="707"/>
      <c r="AM481" s="707"/>
      <c r="AN481" s="707"/>
      <c r="AO481" s="707"/>
      <c r="AP481" s="707"/>
      <c r="AQ481" s="707"/>
      <c r="AR481" s="707"/>
      <c r="AS481" s="707"/>
      <c r="AT481" s="707"/>
      <c r="AU481" s="707"/>
      <c r="AV481" s="707"/>
      <c r="AW481" s="707"/>
      <c r="AX481" s="707"/>
      <c r="AY481" s="707"/>
      <c r="AZ481" s="707"/>
      <c r="BA481" s="707"/>
      <c r="BB481" s="707"/>
      <c r="BC481" s="707"/>
      <c r="BD481" s="707"/>
      <c r="BE481" s="707"/>
      <c r="BF481" s="707"/>
      <c r="BG481" s="707"/>
      <c r="BH481" s="707"/>
      <c r="BI481" s="707"/>
      <c r="BJ481" s="707"/>
      <c r="BK481" s="707"/>
      <c r="BL481" s="707"/>
      <c r="BM481" s="707"/>
      <c r="BN481" s="707"/>
      <c r="BO481" s="707"/>
      <c r="BP481" s="707"/>
      <c r="BQ481" s="707"/>
      <c r="BR481" s="707"/>
      <c r="BS481" s="707"/>
      <c r="BT481" s="707"/>
      <c r="BU481" s="707"/>
      <c r="BV481" s="707"/>
      <c r="BW481" s="707"/>
      <c r="BX481" s="707"/>
      <c r="BY481" s="707"/>
      <c r="BZ481" s="707"/>
      <c r="CA481" s="707"/>
      <c r="CB481" s="707"/>
      <c r="CC481" s="707"/>
      <c r="CD481" s="707"/>
      <c r="CE481" s="707"/>
      <c r="CF481" s="707"/>
      <c r="CG481" s="707"/>
      <c r="CH481" s="707"/>
      <c r="CI481" s="707"/>
      <c r="CJ481" s="707"/>
      <c r="CK481" s="707"/>
      <c r="CL481" s="707"/>
      <c r="CM481" s="707"/>
      <c r="CN481" s="707"/>
      <c r="CO481" s="707"/>
      <c r="CP481" s="707"/>
      <c r="CQ481" s="707"/>
      <c r="CR481" s="707"/>
      <c r="CS481" s="707"/>
      <c r="CT481" s="707"/>
      <c r="CU481" s="707"/>
      <c r="CV481" s="707"/>
      <c r="CW481" s="707"/>
      <c r="CX481" s="707"/>
      <c r="CY481" s="707"/>
      <c r="CZ481" s="707"/>
      <c r="DA481" s="707"/>
      <c r="DB481" s="707"/>
      <c r="DC481" s="707"/>
      <c r="DD481" s="707"/>
      <c r="DE481" s="707"/>
      <c r="DF481" s="707"/>
      <c r="DG481" s="707"/>
      <c r="DH481" s="707"/>
      <c r="DI481" s="707"/>
      <c r="DJ481" s="707"/>
      <c r="DK481" s="707"/>
      <c r="DL481" s="707"/>
      <c r="DM481" s="707"/>
      <c r="DN481" s="707"/>
      <c r="DO481" s="707"/>
      <c r="DP481" s="707"/>
      <c r="DQ481" s="707"/>
      <c r="DR481" s="707"/>
      <c r="DS481" s="707"/>
      <c r="DT481" s="707"/>
      <c r="DU481" s="707"/>
      <c r="DV481" s="707"/>
      <c r="DW481" s="707"/>
      <c r="DX481" s="707"/>
      <c r="DY481" s="707"/>
      <c r="DZ481" s="707"/>
      <c r="EA481" s="707"/>
      <c r="EB481" s="707"/>
      <c r="EC481" s="707"/>
      <c r="ED481" s="707"/>
      <c r="EE481" s="707"/>
      <c r="EF481" s="707"/>
      <c r="EG481" s="707"/>
      <c r="EH481" s="707"/>
      <c r="EI481" s="707"/>
      <c r="EJ481" s="707"/>
      <c r="EK481" s="707"/>
      <c r="EL481" s="707"/>
      <c r="EM481" s="707"/>
      <c r="EN481" s="707"/>
      <c r="EO481" s="707"/>
      <c r="EP481" s="707"/>
      <c r="EQ481" s="707"/>
      <c r="ER481" s="707"/>
      <c r="ES481" s="707"/>
      <c r="ET481" s="707"/>
      <c r="EU481" s="707"/>
      <c r="EV481" s="707"/>
      <c r="EW481" s="707"/>
      <c r="EX481" s="707"/>
      <c r="EY481" s="707"/>
      <c r="EZ481" s="707"/>
      <c r="FA481" s="707"/>
      <c r="FB481" s="707"/>
      <c r="FC481" s="707"/>
      <c r="FD481" s="707"/>
      <c r="FE481" s="707"/>
      <c r="FF481" s="707"/>
      <c r="FG481" s="707"/>
      <c r="FH481" s="707"/>
      <c r="FI481" s="707"/>
      <c r="FJ481" s="707"/>
      <c r="FK481" s="707"/>
      <c r="FL481" s="707"/>
      <c r="FM481" s="707"/>
      <c r="FN481" s="707"/>
      <c r="FO481" s="707"/>
      <c r="FP481" s="707"/>
      <c r="FQ481" s="707"/>
      <c r="FR481" s="707"/>
      <c r="FS481" s="707"/>
      <c r="FT481" s="707"/>
      <c r="FU481" s="707"/>
      <c r="FV481" s="707"/>
      <c r="FW481" s="707"/>
      <c r="FX481" s="707"/>
      <c r="FY481" s="707"/>
      <c r="FZ481" s="707"/>
      <c r="GA481" s="707"/>
      <c r="GB481" s="707"/>
      <c r="GC481" s="707"/>
      <c r="GD481" s="707"/>
      <c r="GE481" s="707"/>
      <c r="GF481" s="707"/>
      <c r="GG481" s="707"/>
      <c r="GH481" s="707"/>
      <c r="GI481" s="707"/>
      <c r="GJ481" s="707"/>
      <c r="GK481" s="707"/>
      <c r="GL481" s="707"/>
      <c r="GM481" s="707"/>
      <c r="GN481" s="707"/>
      <c r="GO481" s="707"/>
      <c r="GP481" s="707"/>
      <c r="GQ481" s="707"/>
      <c r="GR481" s="707"/>
      <c r="GS481" s="707"/>
      <c r="GT481" s="707"/>
      <c r="GU481" s="707"/>
      <c r="GV481" s="707"/>
      <c r="GW481" s="707"/>
      <c r="GX481" s="707"/>
      <c r="GY481" s="707"/>
      <c r="GZ481" s="707"/>
      <c r="HA481" s="707"/>
      <c r="HB481" s="707"/>
      <c r="HC481" s="707"/>
      <c r="HD481" s="707"/>
      <c r="HE481" s="707"/>
      <c r="HF481" s="707"/>
      <c r="HG481" s="707"/>
      <c r="HH481" s="707"/>
      <c r="HI481" s="707"/>
      <c r="HJ481" s="707"/>
      <c r="HK481" s="707"/>
      <c r="HL481" s="707"/>
      <c r="HM481" s="707"/>
      <c r="HN481" s="707"/>
      <c r="HO481" s="707"/>
      <c r="HP481" s="707"/>
      <c r="HQ481" s="707"/>
      <c r="HR481" s="707"/>
      <c r="HS481" s="707"/>
      <c r="HT481" s="707"/>
      <c r="HU481" s="707"/>
      <c r="HV481" s="707"/>
      <c r="HW481" s="707"/>
      <c r="HX481" s="707"/>
      <c r="HY481" s="707"/>
      <c r="HZ481" s="707"/>
      <c r="IA481" s="707"/>
      <c r="IB481" s="707"/>
      <c r="IC481" s="707"/>
      <c r="ID481" s="707"/>
      <c r="IE481" s="707"/>
      <c r="IF481" s="707"/>
      <c r="IG481" s="707"/>
      <c r="IH481" s="707"/>
      <c r="II481" s="707"/>
      <c r="IJ481" s="707"/>
      <c r="IK481" s="707"/>
      <c r="IL481" s="707"/>
      <c r="IM481" s="707"/>
      <c r="IN481" s="707"/>
      <c r="IO481" s="707"/>
      <c r="IP481" s="707"/>
      <c r="IQ481" s="707"/>
      <c r="IR481" s="707"/>
      <c r="IS481" s="707"/>
      <c r="IT481" s="707"/>
      <c r="IU481" s="707"/>
      <c r="IV481" s="707"/>
      <c r="IW481" s="707"/>
    </row>
    <row r="482" customFormat="false" ht="12.75" hidden="false" customHeight="false" outlineLevel="1" collapsed="false">
      <c r="A482" s="716"/>
      <c r="B482" s="717"/>
      <c r="C482" s="717"/>
      <c r="D482" s="717"/>
      <c r="E482" s="713"/>
      <c r="F482" s="713"/>
      <c r="G482" s="713"/>
      <c r="H482" s="713"/>
      <c r="I482" s="713"/>
      <c r="J482" s="713"/>
      <c r="K482" s="713"/>
      <c r="L482" s="713"/>
      <c r="M482" s="713"/>
      <c r="N482" s="713"/>
      <c r="O482" s="713"/>
      <c r="P482" s="713"/>
      <c r="Q482" s="713"/>
      <c r="R482" s="713"/>
      <c r="S482" s="713"/>
      <c r="T482" s="713"/>
      <c r="U482" s="713"/>
      <c r="V482" s="713"/>
      <c r="W482" s="713"/>
      <c r="X482" s="713"/>
      <c r="Y482" s="713"/>
      <c r="Z482" s="713"/>
      <c r="AA482" s="707"/>
      <c r="AB482" s="707"/>
      <c r="AC482" s="707"/>
      <c r="AD482" s="707"/>
      <c r="AE482" s="707"/>
      <c r="AF482" s="707"/>
      <c r="AG482" s="707"/>
      <c r="AH482" s="707"/>
      <c r="AI482" s="707"/>
      <c r="AJ482" s="707"/>
      <c r="AK482" s="707"/>
      <c r="AL482" s="707"/>
      <c r="AM482" s="707"/>
      <c r="AN482" s="707"/>
      <c r="AO482" s="707"/>
      <c r="AP482" s="707"/>
      <c r="AQ482" s="707"/>
      <c r="AR482" s="707"/>
      <c r="AS482" s="707"/>
      <c r="AT482" s="707"/>
      <c r="AU482" s="707"/>
      <c r="AV482" s="707"/>
      <c r="AW482" s="707"/>
      <c r="AX482" s="707"/>
      <c r="AY482" s="707"/>
      <c r="AZ482" s="707"/>
      <c r="BA482" s="707"/>
      <c r="BB482" s="707"/>
      <c r="BC482" s="707"/>
      <c r="BD482" s="707"/>
      <c r="BE482" s="707"/>
      <c r="BF482" s="707"/>
      <c r="BG482" s="707"/>
      <c r="BH482" s="707"/>
      <c r="BI482" s="707"/>
      <c r="BJ482" s="707"/>
      <c r="BK482" s="707"/>
      <c r="BL482" s="707"/>
      <c r="BM482" s="707"/>
      <c r="BN482" s="707"/>
      <c r="BO482" s="707"/>
      <c r="BP482" s="707"/>
      <c r="BQ482" s="707"/>
      <c r="BR482" s="707"/>
      <c r="BS482" s="707"/>
      <c r="BT482" s="707"/>
      <c r="BU482" s="707"/>
      <c r="BV482" s="707"/>
      <c r="BW482" s="707"/>
      <c r="BX482" s="707"/>
      <c r="BY482" s="707"/>
      <c r="BZ482" s="707"/>
      <c r="CA482" s="707"/>
      <c r="CB482" s="707"/>
      <c r="CC482" s="707"/>
      <c r="CD482" s="707"/>
      <c r="CE482" s="707"/>
      <c r="CF482" s="707"/>
      <c r="CG482" s="707"/>
      <c r="CH482" s="707"/>
      <c r="CI482" s="707"/>
      <c r="CJ482" s="707"/>
      <c r="CK482" s="707"/>
      <c r="CL482" s="707"/>
      <c r="CM482" s="707"/>
      <c r="CN482" s="707"/>
      <c r="CO482" s="707"/>
      <c r="CP482" s="707"/>
      <c r="CQ482" s="707"/>
      <c r="CR482" s="707"/>
      <c r="CS482" s="707"/>
      <c r="CT482" s="707"/>
      <c r="CU482" s="707"/>
      <c r="CV482" s="707"/>
      <c r="CW482" s="707"/>
      <c r="CX482" s="707"/>
      <c r="CY482" s="707"/>
      <c r="CZ482" s="707"/>
      <c r="DA482" s="707"/>
      <c r="DB482" s="707"/>
      <c r="DC482" s="707"/>
      <c r="DD482" s="707"/>
      <c r="DE482" s="707"/>
      <c r="DF482" s="707"/>
      <c r="DG482" s="707"/>
      <c r="DH482" s="707"/>
      <c r="DI482" s="707"/>
      <c r="DJ482" s="707"/>
      <c r="DK482" s="707"/>
      <c r="DL482" s="707"/>
      <c r="DM482" s="707"/>
      <c r="DN482" s="707"/>
      <c r="DO482" s="707"/>
      <c r="DP482" s="707"/>
      <c r="DQ482" s="707"/>
      <c r="DR482" s="707"/>
      <c r="DS482" s="707"/>
      <c r="DT482" s="707"/>
      <c r="DU482" s="707"/>
      <c r="DV482" s="707"/>
      <c r="DW482" s="707"/>
      <c r="DX482" s="707"/>
      <c r="DY482" s="707"/>
      <c r="DZ482" s="707"/>
      <c r="EA482" s="707"/>
      <c r="EB482" s="707"/>
      <c r="EC482" s="707"/>
      <c r="ED482" s="707"/>
      <c r="EE482" s="707"/>
      <c r="EF482" s="707"/>
      <c r="EG482" s="707"/>
      <c r="EH482" s="707"/>
      <c r="EI482" s="707"/>
      <c r="EJ482" s="707"/>
      <c r="EK482" s="707"/>
      <c r="EL482" s="707"/>
      <c r="EM482" s="707"/>
      <c r="EN482" s="707"/>
      <c r="EO482" s="707"/>
      <c r="EP482" s="707"/>
      <c r="EQ482" s="707"/>
      <c r="ER482" s="707"/>
      <c r="ES482" s="707"/>
      <c r="ET482" s="707"/>
      <c r="EU482" s="707"/>
      <c r="EV482" s="707"/>
      <c r="EW482" s="707"/>
      <c r="EX482" s="707"/>
      <c r="EY482" s="707"/>
      <c r="EZ482" s="707"/>
      <c r="FA482" s="707"/>
      <c r="FB482" s="707"/>
      <c r="FC482" s="707"/>
      <c r="FD482" s="707"/>
      <c r="FE482" s="707"/>
      <c r="FF482" s="707"/>
      <c r="FG482" s="707"/>
      <c r="FH482" s="707"/>
      <c r="FI482" s="707"/>
      <c r="FJ482" s="707"/>
      <c r="FK482" s="707"/>
      <c r="FL482" s="707"/>
      <c r="FM482" s="707"/>
      <c r="FN482" s="707"/>
      <c r="FO482" s="707"/>
      <c r="FP482" s="707"/>
      <c r="FQ482" s="707"/>
      <c r="FR482" s="707"/>
      <c r="FS482" s="707"/>
      <c r="FT482" s="707"/>
      <c r="FU482" s="707"/>
      <c r="FV482" s="707"/>
      <c r="FW482" s="707"/>
      <c r="FX482" s="707"/>
      <c r="FY482" s="707"/>
      <c r="FZ482" s="707"/>
      <c r="GA482" s="707"/>
      <c r="GB482" s="707"/>
      <c r="GC482" s="707"/>
      <c r="GD482" s="707"/>
      <c r="GE482" s="707"/>
      <c r="GF482" s="707"/>
      <c r="GG482" s="707"/>
      <c r="GH482" s="707"/>
      <c r="GI482" s="707"/>
      <c r="GJ482" s="707"/>
      <c r="GK482" s="707"/>
      <c r="GL482" s="707"/>
      <c r="GM482" s="707"/>
      <c r="GN482" s="707"/>
      <c r="GO482" s="707"/>
      <c r="GP482" s="707"/>
      <c r="GQ482" s="707"/>
      <c r="GR482" s="707"/>
      <c r="GS482" s="707"/>
      <c r="GT482" s="707"/>
      <c r="GU482" s="707"/>
      <c r="GV482" s="707"/>
      <c r="GW482" s="707"/>
      <c r="GX482" s="707"/>
      <c r="GY482" s="707"/>
      <c r="GZ482" s="707"/>
      <c r="HA482" s="707"/>
      <c r="HB482" s="707"/>
      <c r="HC482" s="707"/>
      <c r="HD482" s="707"/>
      <c r="HE482" s="707"/>
      <c r="HF482" s="707"/>
      <c r="HG482" s="707"/>
      <c r="HH482" s="707"/>
      <c r="HI482" s="707"/>
      <c r="HJ482" s="707"/>
      <c r="HK482" s="707"/>
      <c r="HL482" s="707"/>
      <c r="HM482" s="707"/>
      <c r="HN482" s="707"/>
      <c r="HO482" s="707"/>
      <c r="HP482" s="707"/>
      <c r="HQ482" s="707"/>
      <c r="HR482" s="707"/>
      <c r="HS482" s="707"/>
      <c r="HT482" s="707"/>
      <c r="HU482" s="707"/>
      <c r="HV482" s="707"/>
      <c r="HW482" s="707"/>
      <c r="HX482" s="707"/>
      <c r="HY482" s="707"/>
      <c r="HZ482" s="707"/>
      <c r="IA482" s="707"/>
      <c r="IB482" s="707"/>
      <c r="IC482" s="707"/>
      <c r="ID482" s="707"/>
      <c r="IE482" s="707"/>
      <c r="IF482" s="707"/>
      <c r="IG482" s="707"/>
      <c r="IH482" s="707"/>
      <c r="II482" s="707"/>
      <c r="IJ482" s="707"/>
      <c r="IK482" s="707"/>
      <c r="IL482" s="707"/>
      <c r="IM482" s="707"/>
      <c r="IN482" s="707"/>
      <c r="IO482" s="707"/>
      <c r="IP482" s="707"/>
      <c r="IQ482" s="707"/>
      <c r="IR482" s="707"/>
      <c r="IS482" s="707"/>
      <c r="IT482" s="707"/>
      <c r="IU482" s="707"/>
      <c r="IV482" s="707"/>
      <c r="IW482" s="707"/>
    </row>
    <row r="483" customFormat="false" ht="12.75" hidden="false" customHeight="false" outlineLevel="1" collapsed="false">
      <c r="A483" s="398"/>
      <c r="B483" s="717"/>
      <c r="C483" s="717"/>
      <c r="D483" s="717"/>
      <c r="E483" s="713"/>
      <c r="F483" s="713"/>
      <c r="G483" s="713"/>
      <c r="H483" s="713"/>
      <c r="I483" s="713"/>
      <c r="J483" s="713"/>
      <c r="K483" s="713"/>
      <c r="L483" s="713"/>
      <c r="M483" s="713"/>
      <c r="N483" s="713"/>
      <c r="O483" s="713"/>
      <c r="P483" s="713"/>
      <c r="Q483" s="713"/>
      <c r="R483" s="713"/>
      <c r="S483" s="713"/>
      <c r="T483" s="713"/>
      <c r="U483" s="713"/>
      <c r="V483" s="713"/>
      <c r="W483" s="713"/>
      <c r="X483" s="713"/>
      <c r="Y483" s="713"/>
      <c r="Z483" s="713"/>
      <c r="AA483" s="707"/>
      <c r="AB483" s="707"/>
      <c r="AC483" s="707"/>
      <c r="AD483" s="707"/>
      <c r="AE483" s="707"/>
      <c r="AF483" s="707"/>
      <c r="AG483" s="707"/>
      <c r="AH483" s="707"/>
      <c r="AI483" s="707"/>
      <c r="AJ483" s="707"/>
      <c r="AK483" s="707"/>
      <c r="AL483" s="707"/>
      <c r="AM483" s="707"/>
      <c r="AN483" s="707"/>
      <c r="AO483" s="707"/>
      <c r="AP483" s="707"/>
      <c r="AQ483" s="707"/>
      <c r="AR483" s="707"/>
      <c r="AS483" s="707"/>
      <c r="AT483" s="707"/>
      <c r="AU483" s="707"/>
      <c r="AV483" s="707"/>
      <c r="AW483" s="707"/>
      <c r="AX483" s="707"/>
      <c r="AY483" s="707"/>
      <c r="AZ483" s="707"/>
      <c r="BA483" s="707"/>
      <c r="BB483" s="707"/>
      <c r="BC483" s="707"/>
      <c r="BD483" s="707"/>
      <c r="BE483" s="707"/>
      <c r="BF483" s="707"/>
      <c r="BG483" s="707"/>
      <c r="BH483" s="707"/>
      <c r="BI483" s="707"/>
      <c r="BJ483" s="707"/>
      <c r="BK483" s="707"/>
      <c r="BL483" s="707"/>
      <c r="BM483" s="707"/>
      <c r="BN483" s="707"/>
      <c r="BO483" s="707"/>
      <c r="BP483" s="707"/>
      <c r="BQ483" s="707"/>
      <c r="BR483" s="707"/>
      <c r="BS483" s="707"/>
      <c r="BT483" s="707"/>
      <c r="BU483" s="707"/>
      <c r="BV483" s="707"/>
      <c r="BW483" s="707"/>
      <c r="BX483" s="707"/>
      <c r="BY483" s="707"/>
      <c r="BZ483" s="707"/>
      <c r="CA483" s="707"/>
      <c r="CB483" s="707"/>
      <c r="CC483" s="707"/>
      <c r="CD483" s="707"/>
      <c r="CE483" s="707"/>
      <c r="CF483" s="707"/>
      <c r="CG483" s="707"/>
      <c r="CH483" s="707"/>
      <c r="CI483" s="707"/>
      <c r="CJ483" s="707"/>
      <c r="CK483" s="707"/>
      <c r="CL483" s="707"/>
      <c r="CM483" s="707"/>
      <c r="CN483" s="707"/>
      <c r="CO483" s="707"/>
      <c r="CP483" s="707"/>
      <c r="CQ483" s="707"/>
      <c r="CR483" s="707"/>
      <c r="CS483" s="707"/>
      <c r="CT483" s="707"/>
      <c r="CU483" s="707"/>
      <c r="CV483" s="707"/>
      <c r="CW483" s="707"/>
      <c r="CX483" s="707"/>
      <c r="CY483" s="707"/>
      <c r="CZ483" s="707"/>
      <c r="DA483" s="707"/>
      <c r="DB483" s="707"/>
      <c r="DC483" s="707"/>
      <c r="DD483" s="707"/>
      <c r="DE483" s="707"/>
      <c r="DF483" s="707"/>
      <c r="DG483" s="707"/>
      <c r="DH483" s="707"/>
      <c r="DI483" s="707"/>
      <c r="DJ483" s="707"/>
      <c r="DK483" s="707"/>
      <c r="DL483" s="707"/>
      <c r="DM483" s="707"/>
      <c r="DN483" s="707"/>
      <c r="DO483" s="707"/>
      <c r="DP483" s="707"/>
      <c r="DQ483" s="707"/>
      <c r="DR483" s="707"/>
      <c r="DS483" s="707"/>
      <c r="DT483" s="707"/>
      <c r="DU483" s="707"/>
      <c r="DV483" s="707"/>
      <c r="DW483" s="707"/>
      <c r="DX483" s="707"/>
      <c r="DY483" s="707"/>
      <c r="DZ483" s="707"/>
      <c r="EA483" s="707"/>
      <c r="EB483" s="707"/>
      <c r="EC483" s="707"/>
      <c r="ED483" s="707"/>
      <c r="EE483" s="707"/>
      <c r="EF483" s="707"/>
      <c r="EG483" s="707"/>
      <c r="EH483" s="707"/>
      <c r="EI483" s="707"/>
      <c r="EJ483" s="707"/>
      <c r="EK483" s="707"/>
      <c r="EL483" s="707"/>
      <c r="EM483" s="707"/>
      <c r="EN483" s="707"/>
      <c r="EO483" s="707"/>
      <c r="EP483" s="707"/>
      <c r="EQ483" s="707"/>
      <c r="ER483" s="707"/>
      <c r="ES483" s="707"/>
      <c r="ET483" s="707"/>
      <c r="EU483" s="707"/>
      <c r="EV483" s="707"/>
      <c r="EW483" s="707"/>
      <c r="EX483" s="707"/>
      <c r="EY483" s="707"/>
      <c r="EZ483" s="707"/>
      <c r="FA483" s="707"/>
      <c r="FB483" s="707"/>
      <c r="FC483" s="707"/>
      <c r="FD483" s="707"/>
      <c r="FE483" s="707"/>
      <c r="FF483" s="707"/>
      <c r="FG483" s="707"/>
      <c r="FH483" s="707"/>
      <c r="FI483" s="707"/>
      <c r="FJ483" s="707"/>
      <c r="FK483" s="707"/>
      <c r="FL483" s="707"/>
      <c r="FM483" s="707"/>
      <c r="FN483" s="707"/>
      <c r="FO483" s="707"/>
      <c r="FP483" s="707"/>
      <c r="FQ483" s="707"/>
      <c r="FR483" s="707"/>
      <c r="FS483" s="707"/>
      <c r="FT483" s="707"/>
      <c r="FU483" s="707"/>
      <c r="FV483" s="707"/>
      <c r="FW483" s="707"/>
      <c r="FX483" s="707"/>
      <c r="FY483" s="707"/>
      <c r="FZ483" s="707"/>
      <c r="GA483" s="707"/>
      <c r="GB483" s="707"/>
      <c r="GC483" s="707"/>
      <c r="GD483" s="707"/>
      <c r="GE483" s="707"/>
      <c r="GF483" s="707"/>
      <c r="GG483" s="707"/>
      <c r="GH483" s="707"/>
      <c r="GI483" s="707"/>
      <c r="GJ483" s="707"/>
      <c r="GK483" s="707"/>
      <c r="GL483" s="707"/>
      <c r="GM483" s="707"/>
      <c r="GN483" s="707"/>
      <c r="GO483" s="707"/>
      <c r="GP483" s="707"/>
      <c r="GQ483" s="707"/>
      <c r="GR483" s="707"/>
      <c r="GS483" s="707"/>
      <c r="GT483" s="707"/>
      <c r="GU483" s="707"/>
      <c r="GV483" s="707"/>
      <c r="GW483" s="707"/>
      <c r="GX483" s="707"/>
      <c r="GY483" s="707"/>
      <c r="GZ483" s="707"/>
      <c r="HA483" s="707"/>
      <c r="HB483" s="707"/>
      <c r="HC483" s="707"/>
      <c r="HD483" s="707"/>
      <c r="HE483" s="707"/>
      <c r="HF483" s="707"/>
      <c r="HG483" s="707"/>
      <c r="HH483" s="707"/>
      <c r="HI483" s="707"/>
      <c r="HJ483" s="707"/>
      <c r="HK483" s="707"/>
      <c r="HL483" s="707"/>
      <c r="HM483" s="707"/>
      <c r="HN483" s="707"/>
      <c r="HO483" s="707"/>
      <c r="HP483" s="707"/>
      <c r="HQ483" s="707"/>
      <c r="HR483" s="707"/>
      <c r="HS483" s="707"/>
      <c r="HT483" s="707"/>
      <c r="HU483" s="707"/>
      <c r="HV483" s="707"/>
      <c r="HW483" s="707"/>
      <c r="HX483" s="707"/>
      <c r="HY483" s="707"/>
      <c r="HZ483" s="707"/>
      <c r="IA483" s="707"/>
      <c r="IB483" s="707"/>
      <c r="IC483" s="707"/>
      <c r="ID483" s="707"/>
      <c r="IE483" s="707"/>
      <c r="IF483" s="707"/>
      <c r="IG483" s="707"/>
      <c r="IH483" s="707"/>
      <c r="II483" s="707"/>
      <c r="IJ483" s="707"/>
      <c r="IK483" s="707"/>
      <c r="IL483" s="707"/>
      <c r="IM483" s="707"/>
      <c r="IN483" s="707"/>
      <c r="IO483" s="707"/>
      <c r="IP483" s="707"/>
      <c r="IQ483" s="707"/>
      <c r="IR483" s="707"/>
      <c r="IS483" s="707"/>
      <c r="IT483" s="707"/>
      <c r="IU483" s="707"/>
      <c r="IV483" s="707"/>
      <c r="IW483" s="707"/>
    </row>
    <row r="484" customFormat="false" ht="12.75" hidden="false" customHeight="false" outlineLevel="1" collapsed="false">
      <c r="A484" s="716"/>
      <c r="B484" s="717"/>
      <c r="C484" s="717"/>
      <c r="D484" s="717"/>
      <c r="E484" s="713"/>
      <c r="F484" s="713"/>
      <c r="G484" s="713"/>
      <c r="H484" s="713"/>
      <c r="I484" s="713"/>
      <c r="J484" s="713"/>
      <c r="K484" s="713"/>
      <c r="L484" s="713"/>
      <c r="M484" s="713"/>
      <c r="N484" s="713"/>
      <c r="O484" s="713"/>
      <c r="P484" s="713"/>
      <c r="Q484" s="713"/>
      <c r="R484" s="713"/>
      <c r="S484" s="713"/>
      <c r="T484" s="713"/>
      <c r="U484" s="713"/>
      <c r="V484" s="713"/>
      <c r="W484" s="713"/>
      <c r="X484" s="713"/>
      <c r="Y484" s="713"/>
      <c r="Z484" s="713"/>
      <c r="AA484" s="707"/>
      <c r="AB484" s="707"/>
      <c r="AC484" s="707"/>
      <c r="AD484" s="707"/>
      <c r="AE484" s="707"/>
      <c r="AF484" s="707"/>
      <c r="AG484" s="707"/>
      <c r="AH484" s="707"/>
      <c r="AI484" s="707"/>
      <c r="AJ484" s="707"/>
      <c r="AK484" s="707"/>
      <c r="AL484" s="707"/>
      <c r="AM484" s="707"/>
      <c r="AN484" s="707"/>
      <c r="AO484" s="707"/>
      <c r="AP484" s="707"/>
      <c r="AQ484" s="707"/>
      <c r="AR484" s="707"/>
      <c r="AS484" s="707"/>
      <c r="AT484" s="707"/>
      <c r="AU484" s="707"/>
      <c r="AV484" s="707"/>
      <c r="AW484" s="707"/>
      <c r="AX484" s="707"/>
      <c r="AY484" s="707"/>
      <c r="AZ484" s="707"/>
      <c r="BA484" s="707"/>
      <c r="BB484" s="707"/>
      <c r="BC484" s="707"/>
      <c r="BD484" s="707"/>
      <c r="BE484" s="707"/>
      <c r="BF484" s="707"/>
      <c r="BG484" s="707"/>
      <c r="BH484" s="707"/>
      <c r="BI484" s="707"/>
      <c r="BJ484" s="707"/>
      <c r="BK484" s="707"/>
      <c r="BL484" s="707"/>
      <c r="BM484" s="707"/>
      <c r="BN484" s="707"/>
      <c r="BO484" s="707"/>
      <c r="BP484" s="707"/>
      <c r="BQ484" s="707"/>
      <c r="BR484" s="707"/>
      <c r="BS484" s="707"/>
      <c r="BT484" s="707"/>
      <c r="BU484" s="707"/>
      <c r="BV484" s="707"/>
      <c r="BW484" s="707"/>
      <c r="BX484" s="707"/>
      <c r="BY484" s="707"/>
      <c r="BZ484" s="707"/>
      <c r="CA484" s="707"/>
      <c r="CB484" s="707"/>
      <c r="CC484" s="707"/>
      <c r="CD484" s="707"/>
      <c r="CE484" s="707"/>
      <c r="CF484" s="707"/>
      <c r="CG484" s="707"/>
      <c r="CH484" s="707"/>
      <c r="CI484" s="707"/>
      <c r="CJ484" s="707"/>
      <c r="CK484" s="707"/>
      <c r="CL484" s="707"/>
      <c r="CM484" s="707"/>
      <c r="CN484" s="707"/>
      <c r="CO484" s="707"/>
      <c r="CP484" s="707"/>
      <c r="CQ484" s="707"/>
      <c r="CR484" s="707"/>
      <c r="CS484" s="707"/>
      <c r="CT484" s="707"/>
      <c r="CU484" s="707"/>
      <c r="CV484" s="707"/>
      <c r="CW484" s="707"/>
      <c r="CX484" s="707"/>
      <c r="CY484" s="707"/>
      <c r="CZ484" s="707"/>
      <c r="DA484" s="707"/>
      <c r="DB484" s="707"/>
      <c r="DC484" s="707"/>
      <c r="DD484" s="707"/>
      <c r="DE484" s="707"/>
      <c r="DF484" s="707"/>
      <c r="DG484" s="707"/>
      <c r="DH484" s="707"/>
      <c r="DI484" s="707"/>
      <c r="DJ484" s="707"/>
      <c r="DK484" s="707"/>
      <c r="DL484" s="707"/>
      <c r="DM484" s="707"/>
      <c r="DN484" s="707"/>
      <c r="DO484" s="707"/>
      <c r="DP484" s="707"/>
      <c r="DQ484" s="707"/>
      <c r="DR484" s="707"/>
      <c r="DS484" s="707"/>
      <c r="DT484" s="707"/>
      <c r="DU484" s="707"/>
      <c r="DV484" s="707"/>
      <c r="DW484" s="707"/>
      <c r="DX484" s="707"/>
      <c r="DY484" s="707"/>
      <c r="DZ484" s="707"/>
      <c r="EA484" s="707"/>
      <c r="EB484" s="707"/>
      <c r="EC484" s="707"/>
      <c r="ED484" s="707"/>
      <c r="EE484" s="707"/>
      <c r="EF484" s="707"/>
      <c r="EG484" s="707"/>
      <c r="EH484" s="707"/>
      <c r="EI484" s="707"/>
      <c r="EJ484" s="707"/>
      <c r="EK484" s="707"/>
      <c r="EL484" s="707"/>
      <c r="EM484" s="707"/>
      <c r="EN484" s="707"/>
      <c r="EO484" s="707"/>
      <c r="EP484" s="707"/>
      <c r="EQ484" s="707"/>
      <c r="ER484" s="707"/>
      <c r="ES484" s="707"/>
      <c r="ET484" s="707"/>
      <c r="EU484" s="707"/>
      <c r="EV484" s="707"/>
      <c r="EW484" s="707"/>
      <c r="EX484" s="707"/>
      <c r="EY484" s="707"/>
      <c r="EZ484" s="707"/>
      <c r="FA484" s="707"/>
      <c r="FB484" s="707"/>
      <c r="FC484" s="707"/>
      <c r="FD484" s="707"/>
      <c r="FE484" s="707"/>
      <c r="FF484" s="707"/>
      <c r="FG484" s="707"/>
      <c r="FH484" s="707"/>
      <c r="FI484" s="707"/>
      <c r="FJ484" s="707"/>
      <c r="FK484" s="707"/>
      <c r="FL484" s="707"/>
      <c r="FM484" s="707"/>
      <c r="FN484" s="707"/>
      <c r="FO484" s="707"/>
      <c r="FP484" s="707"/>
      <c r="FQ484" s="707"/>
      <c r="FR484" s="707"/>
      <c r="FS484" s="707"/>
      <c r="FT484" s="707"/>
      <c r="FU484" s="707"/>
      <c r="FV484" s="707"/>
      <c r="FW484" s="707"/>
      <c r="FX484" s="707"/>
      <c r="FY484" s="707"/>
      <c r="FZ484" s="707"/>
      <c r="GA484" s="707"/>
      <c r="GB484" s="707"/>
      <c r="GC484" s="707"/>
      <c r="GD484" s="707"/>
      <c r="GE484" s="707"/>
      <c r="GF484" s="707"/>
      <c r="GG484" s="707"/>
      <c r="GH484" s="707"/>
      <c r="GI484" s="707"/>
      <c r="GJ484" s="707"/>
      <c r="GK484" s="707"/>
      <c r="GL484" s="707"/>
      <c r="GM484" s="707"/>
      <c r="GN484" s="707"/>
      <c r="GO484" s="707"/>
      <c r="GP484" s="707"/>
      <c r="GQ484" s="707"/>
      <c r="GR484" s="707"/>
      <c r="GS484" s="707"/>
      <c r="GT484" s="707"/>
      <c r="GU484" s="707"/>
      <c r="GV484" s="707"/>
      <c r="GW484" s="707"/>
      <c r="GX484" s="707"/>
      <c r="GY484" s="707"/>
      <c r="GZ484" s="707"/>
      <c r="HA484" s="707"/>
      <c r="HB484" s="707"/>
      <c r="HC484" s="707"/>
      <c r="HD484" s="707"/>
      <c r="HE484" s="707"/>
      <c r="HF484" s="707"/>
      <c r="HG484" s="707"/>
      <c r="HH484" s="707"/>
      <c r="HI484" s="707"/>
      <c r="HJ484" s="707"/>
      <c r="HK484" s="707"/>
      <c r="HL484" s="707"/>
      <c r="HM484" s="707"/>
      <c r="HN484" s="707"/>
      <c r="HO484" s="707"/>
      <c r="HP484" s="707"/>
      <c r="HQ484" s="707"/>
      <c r="HR484" s="707"/>
      <c r="HS484" s="707"/>
      <c r="HT484" s="707"/>
      <c r="HU484" s="707"/>
      <c r="HV484" s="707"/>
      <c r="HW484" s="707"/>
      <c r="HX484" s="707"/>
      <c r="HY484" s="707"/>
      <c r="HZ484" s="707"/>
      <c r="IA484" s="707"/>
      <c r="IB484" s="707"/>
      <c r="IC484" s="707"/>
      <c r="ID484" s="707"/>
      <c r="IE484" s="707"/>
      <c r="IF484" s="707"/>
      <c r="IG484" s="707"/>
      <c r="IH484" s="707"/>
      <c r="II484" s="707"/>
      <c r="IJ484" s="707"/>
      <c r="IK484" s="707"/>
      <c r="IL484" s="707"/>
      <c r="IM484" s="707"/>
      <c r="IN484" s="707"/>
      <c r="IO484" s="707"/>
      <c r="IP484" s="707"/>
      <c r="IQ484" s="707"/>
      <c r="IR484" s="707"/>
      <c r="IS484" s="707"/>
      <c r="IT484" s="707"/>
      <c r="IU484" s="707"/>
      <c r="IV484" s="707"/>
      <c r="IW484" s="707"/>
    </row>
    <row r="485" customFormat="false" ht="12.75" hidden="false" customHeight="false" outlineLevel="1" collapsed="false">
      <c r="A485" s="716"/>
      <c r="B485" s="717"/>
      <c r="C485" s="717"/>
      <c r="D485" s="717"/>
      <c r="E485" s="713"/>
      <c r="F485" s="713"/>
      <c r="G485" s="713"/>
      <c r="H485" s="713"/>
      <c r="I485" s="713"/>
      <c r="J485" s="713"/>
      <c r="K485" s="713"/>
      <c r="L485" s="713"/>
      <c r="M485" s="713"/>
      <c r="N485" s="713"/>
      <c r="O485" s="713"/>
      <c r="P485" s="713"/>
      <c r="Q485" s="713"/>
      <c r="R485" s="713"/>
      <c r="S485" s="713"/>
      <c r="T485" s="713"/>
      <c r="U485" s="713"/>
      <c r="V485" s="713"/>
      <c r="W485" s="713"/>
      <c r="X485" s="713"/>
      <c r="Y485" s="713"/>
      <c r="Z485" s="713"/>
      <c r="AA485" s="707"/>
      <c r="AB485" s="707"/>
      <c r="AC485" s="707"/>
      <c r="AD485" s="707"/>
      <c r="AE485" s="707"/>
      <c r="AF485" s="707"/>
      <c r="AG485" s="707"/>
      <c r="AH485" s="707"/>
      <c r="AI485" s="707"/>
      <c r="AJ485" s="707"/>
      <c r="AK485" s="707"/>
      <c r="AL485" s="707"/>
      <c r="AM485" s="707"/>
      <c r="AN485" s="707"/>
      <c r="AO485" s="707"/>
      <c r="AP485" s="707"/>
      <c r="AQ485" s="707"/>
      <c r="AR485" s="707"/>
      <c r="AS485" s="707"/>
      <c r="AT485" s="707"/>
      <c r="AU485" s="707"/>
      <c r="AV485" s="707"/>
      <c r="AW485" s="707"/>
      <c r="AX485" s="707"/>
      <c r="AY485" s="707"/>
      <c r="AZ485" s="707"/>
      <c r="BA485" s="707"/>
      <c r="BB485" s="707"/>
      <c r="BC485" s="707"/>
      <c r="BD485" s="707"/>
      <c r="BE485" s="707"/>
      <c r="BF485" s="707"/>
      <c r="BG485" s="707"/>
      <c r="BH485" s="707"/>
      <c r="BI485" s="707"/>
      <c r="BJ485" s="707"/>
      <c r="BK485" s="707"/>
      <c r="BL485" s="707"/>
      <c r="BM485" s="707"/>
      <c r="BN485" s="707"/>
      <c r="BO485" s="707"/>
      <c r="BP485" s="707"/>
      <c r="BQ485" s="707"/>
      <c r="BR485" s="707"/>
      <c r="BS485" s="707"/>
      <c r="BT485" s="707"/>
      <c r="BU485" s="707"/>
      <c r="BV485" s="707"/>
      <c r="BW485" s="707"/>
      <c r="BX485" s="707"/>
      <c r="BY485" s="707"/>
      <c r="BZ485" s="707"/>
      <c r="CA485" s="707"/>
      <c r="CB485" s="707"/>
      <c r="CC485" s="707"/>
      <c r="CD485" s="707"/>
      <c r="CE485" s="707"/>
      <c r="CF485" s="707"/>
      <c r="CG485" s="707"/>
      <c r="CH485" s="707"/>
      <c r="CI485" s="707"/>
      <c r="CJ485" s="707"/>
      <c r="CK485" s="707"/>
      <c r="CL485" s="707"/>
      <c r="CM485" s="707"/>
      <c r="CN485" s="707"/>
      <c r="CO485" s="707"/>
      <c r="CP485" s="707"/>
      <c r="CQ485" s="707"/>
      <c r="CR485" s="707"/>
      <c r="CS485" s="707"/>
      <c r="CT485" s="707"/>
      <c r="CU485" s="707"/>
      <c r="CV485" s="707"/>
      <c r="CW485" s="707"/>
      <c r="CX485" s="707"/>
      <c r="CY485" s="707"/>
      <c r="CZ485" s="707"/>
      <c r="DA485" s="707"/>
      <c r="DB485" s="707"/>
      <c r="DC485" s="707"/>
      <c r="DD485" s="707"/>
      <c r="DE485" s="707"/>
      <c r="DF485" s="707"/>
      <c r="DG485" s="707"/>
      <c r="DH485" s="707"/>
      <c r="DI485" s="707"/>
      <c r="DJ485" s="707"/>
      <c r="DK485" s="707"/>
      <c r="DL485" s="707"/>
      <c r="DM485" s="707"/>
      <c r="DN485" s="707"/>
      <c r="DO485" s="707"/>
      <c r="DP485" s="707"/>
      <c r="DQ485" s="707"/>
      <c r="DR485" s="707"/>
      <c r="DS485" s="707"/>
      <c r="DT485" s="707"/>
      <c r="DU485" s="707"/>
      <c r="DV485" s="707"/>
      <c r="DW485" s="707"/>
      <c r="DX485" s="707"/>
      <c r="DY485" s="707"/>
      <c r="DZ485" s="707"/>
      <c r="EA485" s="707"/>
      <c r="EB485" s="707"/>
      <c r="EC485" s="707"/>
      <c r="ED485" s="707"/>
      <c r="EE485" s="707"/>
      <c r="EF485" s="707"/>
      <c r="EG485" s="707"/>
      <c r="EH485" s="707"/>
      <c r="EI485" s="707"/>
      <c r="EJ485" s="707"/>
      <c r="EK485" s="707"/>
      <c r="EL485" s="707"/>
      <c r="EM485" s="707"/>
      <c r="EN485" s="707"/>
      <c r="EO485" s="707"/>
      <c r="EP485" s="707"/>
      <c r="EQ485" s="707"/>
      <c r="ER485" s="707"/>
      <c r="ES485" s="707"/>
      <c r="ET485" s="707"/>
      <c r="EU485" s="707"/>
      <c r="EV485" s="707"/>
      <c r="EW485" s="707"/>
      <c r="EX485" s="707"/>
      <c r="EY485" s="707"/>
      <c r="EZ485" s="707"/>
      <c r="FA485" s="707"/>
      <c r="FB485" s="707"/>
      <c r="FC485" s="707"/>
      <c r="FD485" s="707"/>
      <c r="FE485" s="707"/>
      <c r="FF485" s="707"/>
      <c r="FG485" s="707"/>
      <c r="FH485" s="707"/>
      <c r="FI485" s="707"/>
      <c r="FJ485" s="707"/>
      <c r="FK485" s="707"/>
      <c r="FL485" s="707"/>
      <c r="FM485" s="707"/>
      <c r="FN485" s="707"/>
      <c r="FO485" s="707"/>
      <c r="FP485" s="707"/>
      <c r="FQ485" s="707"/>
      <c r="FR485" s="707"/>
      <c r="FS485" s="707"/>
      <c r="FT485" s="707"/>
      <c r="FU485" s="707"/>
      <c r="FV485" s="707"/>
      <c r="FW485" s="707"/>
      <c r="FX485" s="707"/>
      <c r="FY485" s="707"/>
      <c r="FZ485" s="707"/>
      <c r="GA485" s="707"/>
      <c r="GB485" s="707"/>
      <c r="GC485" s="707"/>
      <c r="GD485" s="707"/>
      <c r="GE485" s="707"/>
      <c r="GF485" s="707"/>
      <c r="GG485" s="707"/>
      <c r="GH485" s="707"/>
      <c r="GI485" s="707"/>
      <c r="GJ485" s="707"/>
      <c r="GK485" s="707"/>
      <c r="GL485" s="707"/>
      <c r="GM485" s="707"/>
      <c r="GN485" s="707"/>
      <c r="GO485" s="707"/>
      <c r="GP485" s="707"/>
      <c r="GQ485" s="707"/>
      <c r="GR485" s="707"/>
      <c r="GS485" s="707"/>
      <c r="GT485" s="707"/>
      <c r="GU485" s="707"/>
      <c r="GV485" s="707"/>
      <c r="GW485" s="707"/>
      <c r="GX485" s="707"/>
      <c r="GY485" s="707"/>
      <c r="GZ485" s="707"/>
      <c r="HA485" s="707"/>
      <c r="HB485" s="707"/>
      <c r="HC485" s="707"/>
      <c r="HD485" s="707"/>
      <c r="HE485" s="707"/>
      <c r="HF485" s="707"/>
      <c r="HG485" s="707"/>
      <c r="HH485" s="707"/>
      <c r="HI485" s="707"/>
      <c r="HJ485" s="707"/>
      <c r="HK485" s="707"/>
      <c r="HL485" s="707"/>
      <c r="HM485" s="707"/>
      <c r="HN485" s="707"/>
      <c r="HO485" s="707"/>
      <c r="HP485" s="707"/>
      <c r="HQ485" s="707"/>
      <c r="HR485" s="707"/>
      <c r="HS485" s="707"/>
      <c r="HT485" s="707"/>
      <c r="HU485" s="707"/>
      <c r="HV485" s="707"/>
      <c r="HW485" s="707"/>
      <c r="HX485" s="707"/>
      <c r="HY485" s="707"/>
      <c r="HZ485" s="707"/>
      <c r="IA485" s="707"/>
      <c r="IB485" s="707"/>
      <c r="IC485" s="707"/>
      <c r="ID485" s="707"/>
      <c r="IE485" s="707"/>
      <c r="IF485" s="707"/>
      <c r="IG485" s="707"/>
      <c r="IH485" s="707"/>
      <c r="II485" s="707"/>
      <c r="IJ485" s="707"/>
      <c r="IK485" s="707"/>
      <c r="IL485" s="707"/>
      <c r="IM485" s="707"/>
      <c r="IN485" s="707"/>
      <c r="IO485" s="707"/>
      <c r="IP485" s="707"/>
      <c r="IQ485" s="707"/>
      <c r="IR485" s="707"/>
      <c r="IS485" s="707"/>
      <c r="IT485" s="707"/>
      <c r="IU485" s="707"/>
      <c r="IV485" s="707"/>
      <c r="IW485" s="707"/>
    </row>
    <row r="486" customFormat="false" ht="12.75" hidden="false" customHeight="false" outlineLevel="1" collapsed="false">
      <c r="A486" s="716"/>
      <c r="B486" s="717"/>
      <c r="C486" s="717"/>
      <c r="D486" s="717"/>
      <c r="E486" s="713"/>
      <c r="F486" s="713"/>
      <c r="G486" s="713"/>
      <c r="H486" s="713"/>
      <c r="I486" s="713"/>
      <c r="J486" s="713"/>
      <c r="K486" s="713"/>
      <c r="L486" s="713"/>
      <c r="M486" s="713"/>
      <c r="N486" s="713"/>
      <c r="O486" s="713"/>
      <c r="P486" s="713"/>
      <c r="Q486" s="713"/>
      <c r="R486" s="713"/>
      <c r="S486" s="713"/>
      <c r="T486" s="713"/>
      <c r="U486" s="713"/>
      <c r="V486" s="713"/>
      <c r="W486" s="713"/>
      <c r="X486" s="713"/>
      <c r="Y486" s="713"/>
      <c r="Z486" s="713"/>
      <c r="AA486" s="707"/>
      <c r="AB486" s="707"/>
      <c r="AC486" s="707"/>
      <c r="AD486" s="707"/>
      <c r="AE486" s="707"/>
      <c r="AF486" s="707"/>
      <c r="AG486" s="707"/>
      <c r="AH486" s="707"/>
      <c r="AI486" s="707"/>
      <c r="AJ486" s="707"/>
      <c r="AK486" s="707"/>
      <c r="AL486" s="707"/>
      <c r="AM486" s="707"/>
      <c r="AN486" s="707"/>
      <c r="AO486" s="707"/>
      <c r="AP486" s="707"/>
      <c r="AQ486" s="707"/>
      <c r="AR486" s="707"/>
      <c r="AS486" s="707"/>
      <c r="AT486" s="707"/>
      <c r="AU486" s="707"/>
      <c r="AV486" s="707"/>
      <c r="AW486" s="707"/>
      <c r="AX486" s="707"/>
      <c r="AY486" s="707"/>
      <c r="AZ486" s="707"/>
      <c r="BA486" s="707"/>
      <c r="BB486" s="707"/>
      <c r="BC486" s="707"/>
      <c r="BD486" s="707"/>
      <c r="BE486" s="707"/>
      <c r="BF486" s="707"/>
      <c r="BG486" s="707"/>
      <c r="BH486" s="707"/>
      <c r="BI486" s="707"/>
      <c r="BJ486" s="707"/>
      <c r="BK486" s="707"/>
      <c r="BL486" s="707"/>
      <c r="BM486" s="707"/>
      <c r="BN486" s="707"/>
      <c r="BO486" s="707"/>
      <c r="BP486" s="707"/>
      <c r="BQ486" s="707"/>
      <c r="BR486" s="707"/>
      <c r="BS486" s="707"/>
      <c r="BT486" s="707"/>
      <c r="BU486" s="707"/>
      <c r="BV486" s="707"/>
      <c r="BW486" s="707"/>
      <c r="BX486" s="707"/>
      <c r="BY486" s="707"/>
      <c r="BZ486" s="707"/>
      <c r="CA486" s="707"/>
      <c r="CB486" s="707"/>
      <c r="CC486" s="707"/>
      <c r="CD486" s="707"/>
      <c r="CE486" s="707"/>
      <c r="CF486" s="707"/>
      <c r="CG486" s="707"/>
      <c r="CH486" s="707"/>
      <c r="CI486" s="707"/>
      <c r="CJ486" s="707"/>
      <c r="CK486" s="707"/>
      <c r="CL486" s="707"/>
      <c r="CM486" s="707"/>
      <c r="CN486" s="707"/>
      <c r="CO486" s="707"/>
      <c r="CP486" s="707"/>
      <c r="CQ486" s="707"/>
      <c r="CR486" s="707"/>
      <c r="CS486" s="707"/>
      <c r="CT486" s="707"/>
      <c r="CU486" s="707"/>
      <c r="CV486" s="707"/>
      <c r="CW486" s="707"/>
      <c r="CX486" s="707"/>
      <c r="CY486" s="707"/>
      <c r="CZ486" s="707"/>
      <c r="DA486" s="707"/>
      <c r="DB486" s="707"/>
      <c r="DC486" s="707"/>
      <c r="DD486" s="707"/>
      <c r="DE486" s="707"/>
      <c r="DF486" s="707"/>
      <c r="DG486" s="707"/>
      <c r="DH486" s="707"/>
      <c r="DI486" s="707"/>
      <c r="DJ486" s="707"/>
      <c r="DK486" s="707"/>
      <c r="DL486" s="707"/>
      <c r="DM486" s="707"/>
      <c r="DN486" s="707"/>
      <c r="DO486" s="707"/>
      <c r="DP486" s="707"/>
      <c r="DQ486" s="707"/>
      <c r="DR486" s="707"/>
      <c r="DS486" s="707"/>
      <c r="DT486" s="707"/>
      <c r="DU486" s="707"/>
      <c r="DV486" s="707"/>
      <c r="DW486" s="707"/>
      <c r="DX486" s="707"/>
      <c r="DY486" s="707"/>
      <c r="DZ486" s="707"/>
      <c r="EA486" s="707"/>
      <c r="EB486" s="707"/>
      <c r="EC486" s="707"/>
      <c r="ED486" s="707"/>
      <c r="EE486" s="707"/>
      <c r="EF486" s="707"/>
      <c r="EG486" s="707"/>
      <c r="EH486" s="707"/>
      <c r="EI486" s="707"/>
      <c r="EJ486" s="707"/>
      <c r="EK486" s="707"/>
      <c r="EL486" s="707"/>
      <c r="EM486" s="707"/>
      <c r="EN486" s="707"/>
      <c r="EO486" s="707"/>
      <c r="EP486" s="707"/>
      <c r="EQ486" s="707"/>
      <c r="ER486" s="707"/>
      <c r="ES486" s="707"/>
      <c r="ET486" s="707"/>
      <c r="EU486" s="707"/>
      <c r="EV486" s="707"/>
      <c r="EW486" s="707"/>
      <c r="EX486" s="707"/>
      <c r="EY486" s="707"/>
      <c r="EZ486" s="707"/>
      <c r="FA486" s="707"/>
      <c r="FB486" s="707"/>
      <c r="FC486" s="707"/>
      <c r="FD486" s="707"/>
      <c r="FE486" s="707"/>
      <c r="FF486" s="707"/>
      <c r="FG486" s="707"/>
      <c r="FH486" s="707"/>
      <c r="FI486" s="707"/>
      <c r="FJ486" s="707"/>
      <c r="FK486" s="707"/>
      <c r="FL486" s="707"/>
      <c r="FM486" s="707"/>
      <c r="FN486" s="707"/>
      <c r="FO486" s="707"/>
      <c r="FP486" s="707"/>
      <c r="FQ486" s="707"/>
      <c r="FR486" s="707"/>
      <c r="FS486" s="707"/>
      <c r="FT486" s="707"/>
      <c r="FU486" s="707"/>
      <c r="FV486" s="707"/>
      <c r="FW486" s="707"/>
      <c r="FX486" s="707"/>
      <c r="FY486" s="707"/>
      <c r="FZ486" s="707"/>
      <c r="GA486" s="707"/>
      <c r="GB486" s="707"/>
      <c r="GC486" s="707"/>
      <c r="GD486" s="707"/>
      <c r="GE486" s="707"/>
      <c r="GF486" s="707"/>
      <c r="GG486" s="707"/>
      <c r="GH486" s="707"/>
      <c r="GI486" s="707"/>
      <c r="GJ486" s="707"/>
      <c r="GK486" s="707"/>
      <c r="GL486" s="707"/>
      <c r="GM486" s="707"/>
      <c r="GN486" s="707"/>
      <c r="GO486" s="707"/>
      <c r="GP486" s="707"/>
      <c r="GQ486" s="707"/>
      <c r="GR486" s="707"/>
      <c r="GS486" s="707"/>
      <c r="GT486" s="707"/>
      <c r="GU486" s="707"/>
      <c r="GV486" s="707"/>
      <c r="GW486" s="707"/>
      <c r="GX486" s="707"/>
      <c r="GY486" s="707"/>
      <c r="GZ486" s="707"/>
      <c r="HA486" s="707"/>
      <c r="HB486" s="707"/>
      <c r="HC486" s="707"/>
      <c r="HD486" s="707"/>
      <c r="HE486" s="707"/>
      <c r="HF486" s="707"/>
      <c r="HG486" s="707"/>
      <c r="HH486" s="707"/>
      <c r="HI486" s="707"/>
      <c r="HJ486" s="707"/>
      <c r="HK486" s="707"/>
      <c r="HL486" s="707"/>
      <c r="HM486" s="707"/>
      <c r="HN486" s="707"/>
      <c r="HO486" s="707"/>
      <c r="HP486" s="707"/>
      <c r="HQ486" s="707"/>
      <c r="HR486" s="707"/>
      <c r="HS486" s="707"/>
      <c r="HT486" s="707"/>
      <c r="HU486" s="707"/>
      <c r="HV486" s="707"/>
      <c r="HW486" s="707"/>
      <c r="HX486" s="707"/>
      <c r="HY486" s="707"/>
      <c r="HZ486" s="707"/>
      <c r="IA486" s="707"/>
      <c r="IB486" s="707"/>
      <c r="IC486" s="707"/>
      <c r="ID486" s="707"/>
      <c r="IE486" s="707"/>
      <c r="IF486" s="707"/>
      <c r="IG486" s="707"/>
      <c r="IH486" s="707"/>
      <c r="II486" s="707"/>
      <c r="IJ486" s="707"/>
      <c r="IK486" s="707"/>
      <c r="IL486" s="707"/>
      <c r="IM486" s="707"/>
      <c r="IN486" s="707"/>
      <c r="IO486" s="707"/>
      <c r="IP486" s="707"/>
      <c r="IQ486" s="707"/>
      <c r="IR486" s="707"/>
      <c r="IS486" s="707"/>
      <c r="IT486" s="707"/>
      <c r="IU486" s="707"/>
      <c r="IV486" s="707"/>
      <c r="IW486" s="707"/>
    </row>
    <row r="487" customFormat="false" ht="12.75" hidden="false" customHeight="false" outlineLevel="1" collapsed="false">
      <c r="A487" s="716"/>
      <c r="B487" s="717"/>
      <c r="C487" s="717"/>
      <c r="D487" s="717"/>
      <c r="E487" s="713"/>
      <c r="F487" s="713"/>
      <c r="G487" s="713"/>
      <c r="H487" s="713"/>
      <c r="I487" s="713"/>
      <c r="J487" s="713"/>
      <c r="K487" s="713"/>
      <c r="L487" s="713"/>
      <c r="M487" s="713"/>
      <c r="N487" s="713"/>
      <c r="O487" s="713"/>
      <c r="P487" s="713"/>
      <c r="Q487" s="713"/>
      <c r="R487" s="713"/>
      <c r="S487" s="713"/>
      <c r="T487" s="713"/>
      <c r="U487" s="713"/>
      <c r="V487" s="713"/>
      <c r="W487" s="713"/>
      <c r="X487" s="713"/>
      <c r="Y487" s="713"/>
      <c r="Z487" s="713"/>
      <c r="AA487" s="707"/>
      <c r="AB487" s="707"/>
      <c r="AC487" s="707"/>
      <c r="AD487" s="707"/>
      <c r="AE487" s="707"/>
      <c r="AF487" s="707"/>
      <c r="AG487" s="707"/>
      <c r="AH487" s="707"/>
      <c r="AI487" s="707"/>
      <c r="AJ487" s="707"/>
      <c r="AK487" s="707"/>
      <c r="AL487" s="707"/>
      <c r="AM487" s="707"/>
      <c r="AN487" s="707"/>
      <c r="AO487" s="707"/>
      <c r="AP487" s="707"/>
      <c r="AQ487" s="707"/>
      <c r="AR487" s="707"/>
      <c r="AS487" s="707"/>
      <c r="AT487" s="707"/>
      <c r="AU487" s="707"/>
      <c r="AV487" s="707"/>
      <c r="AW487" s="707"/>
      <c r="AX487" s="707"/>
      <c r="AY487" s="707"/>
      <c r="AZ487" s="707"/>
      <c r="BA487" s="707"/>
      <c r="BB487" s="707"/>
      <c r="BC487" s="707"/>
      <c r="BD487" s="707"/>
      <c r="BE487" s="707"/>
      <c r="BF487" s="707"/>
      <c r="BG487" s="707"/>
      <c r="BH487" s="707"/>
      <c r="BI487" s="707"/>
      <c r="BJ487" s="707"/>
      <c r="BK487" s="707"/>
      <c r="BL487" s="707"/>
      <c r="BM487" s="707"/>
      <c r="BN487" s="707"/>
      <c r="BO487" s="707"/>
      <c r="BP487" s="707"/>
      <c r="BQ487" s="707"/>
      <c r="BR487" s="707"/>
      <c r="BS487" s="707"/>
      <c r="BT487" s="707"/>
      <c r="BU487" s="707"/>
      <c r="BV487" s="707"/>
      <c r="BW487" s="707"/>
      <c r="BX487" s="707"/>
      <c r="BY487" s="707"/>
      <c r="BZ487" s="707"/>
      <c r="CA487" s="707"/>
      <c r="CB487" s="707"/>
      <c r="CC487" s="707"/>
      <c r="CD487" s="707"/>
      <c r="CE487" s="707"/>
      <c r="CF487" s="707"/>
      <c r="CG487" s="707"/>
      <c r="CH487" s="707"/>
      <c r="CI487" s="707"/>
      <c r="CJ487" s="707"/>
      <c r="CK487" s="707"/>
      <c r="CL487" s="707"/>
      <c r="CM487" s="707"/>
      <c r="CN487" s="707"/>
      <c r="CO487" s="707"/>
      <c r="CP487" s="707"/>
      <c r="CQ487" s="707"/>
      <c r="CR487" s="707"/>
      <c r="CS487" s="707"/>
      <c r="CT487" s="707"/>
      <c r="CU487" s="707"/>
      <c r="CV487" s="707"/>
      <c r="CW487" s="707"/>
      <c r="CX487" s="707"/>
      <c r="CY487" s="707"/>
      <c r="CZ487" s="707"/>
      <c r="DA487" s="707"/>
      <c r="DB487" s="707"/>
      <c r="DC487" s="707"/>
      <c r="DD487" s="707"/>
      <c r="DE487" s="707"/>
      <c r="DF487" s="707"/>
      <c r="DG487" s="707"/>
      <c r="DH487" s="707"/>
      <c r="DI487" s="707"/>
      <c r="DJ487" s="707"/>
      <c r="DK487" s="707"/>
      <c r="DL487" s="707"/>
      <c r="DM487" s="707"/>
      <c r="DN487" s="707"/>
      <c r="DO487" s="707"/>
      <c r="DP487" s="707"/>
      <c r="DQ487" s="707"/>
      <c r="DR487" s="707"/>
      <c r="DS487" s="707"/>
      <c r="DT487" s="707"/>
      <c r="DU487" s="707"/>
      <c r="DV487" s="707"/>
      <c r="DW487" s="707"/>
      <c r="DX487" s="707"/>
      <c r="DY487" s="707"/>
      <c r="DZ487" s="707"/>
      <c r="EA487" s="707"/>
      <c r="EB487" s="707"/>
      <c r="EC487" s="707"/>
      <c r="ED487" s="707"/>
      <c r="EE487" s="707"/>
      <c r="EF487" s="707"/>
      <c r="EG487" s="707"/>
      <c r="EH487" s="707"/>
      <c r="EI487" s="707"/>
      <c r="EJ487" s="707"/>
      <c r="EK487" s="707"/>
      <c r="EL487" s="707"/>
      <c r="EM487" s="707"/>
      <c r="EN487" s="707"/>
      <c r="EO487" s="707"/>
      <c r="EP487" s="707"/>
      <c r="EQ487" s="707"/>
      <c r="ER487" s="707"/>
      <c r="ES487" s="707"/>
      <c r="ET487" s="707"/>
      <c r="EU487" s="707"/>
      <c r="EV487" s="707"/>
      <c r="EW487" s="707"/>
      <c r="EX487" s="707"/>
      <c r="EY487" s="707"/>
      <c r="EZ487" s="707"/>
      <c r="FA487" s="707"/>
      <c r="FB487" s="707"/>
      <c r="FC487" s="707"/>
      <c r="FD487" s="707"/>
      <c r="FE487" s="707"/>
      <c r="FF487" s="707"/>
      <c r="FG487" s="707"/>
      <c r="FH487" s="707"/>
      <c r="FI487" s="707"/>
      <c r="FJ487" s="707"/>
      <c r="FK487" s="707"/>
      <c r="FL487" s="707"/>
      <c r="FM487" s="707"/>
      <c r="FN487" s="707"/>
      <c r="FO487" s="707"/>
      <c r="FP487" s="707"/>
      <c r="FQ487" s="707"/>
      <c r="FR487" s="707"/>
      <c r="FS487" s="707"/>
      <c r="FT487" s="707"/>
      <c r="FU487" s="707"/>
      <c r="FV487" s="707"/>
      <c r="FW487" s="707"/>
      <c r="FX487" s="707"/>
      <c r="FY487" s="707"/>
      <c r="FZ487" s="707"/>
      <c r="GA487" s="707"/>
      <c r="GB487" s="707"/>
      <c r="GC487" s="707"/>
      <c r="GD487" s="707"/>
      <c r="GE487" s="707"/>
      <c r="GF487" s="707"/>
      <c r="GG487" s="707"/>
      <c r="GH487" s="707"/>
      <c r="GI487" s="707"/>
      <c r="GJ487" s="707"/>
      <c r="GK487" s="707"/>
      <c r="GL487" s="707"/>
      <c r="GM487" s="707"/>
      <c r="GN487" s="707"/>
      <c r="GO487" s="707"/>
      <c r="GP487" s="707"/>
      <c r="GQ487" s="707"/>
      <c r="GR487" s="707"/>
      <c r="GS487" s="707"/>
      <c r="GT487" s="707"/>
      <c r="GU487" s="707"/>
      <c r="GV487" s="707"/>
      <c r="GW487" s="707"/>
      <c r="GX487" s="707"/>
      <c r="GY487" s="707"/>
      <c r="GZ487" s="707"/>
      <c r="HA487" s="707"/>
      <c r="HB487" s="707"/>
      <c r="HC487" s="707"/>
      <c r="HD487" s="707"/>
      <c r="HE487" s="707"/>
      <c r="HF487" s="707"/>
      <c r="HG487" s="707"/>
      <c r="HH487" s="707"/>
      <c r="HI487" s="707"/>
      <c r="HJ487" s="707"/>
      <c r="HK487" s="707"/>
      <c r="HL487" s="707"/>
      <c r="HM487" s="707"/>
      <c r="HN487" s="707"/>
      <c r="HO487" s="707"/>
      <c r="HP487" s="707"/>
      <c r="HQ487" s="707"/>
      <c r="HR487" s="707"/>
      <c r="HS487" s="707"/>
      <c r="HT487" s="707"/>
      <c r="HU487" s="707"/>
      <c r="HV487" s="707"/>
      <c r="HW487" s="707"/>
      <c r="HX487" s="707"/>
      <c r="HY487" s="707"/>
      <c r="HZ487" s="707"/>
      <c r="IA487" s="707"/>
      <c r="IB487" s="707"/>
      <c r="IC487" s="707"/>
      <c r="ID487" s="707"/>
      <c r="IE487" s="707"/>
      <c r="IF487" s="707"/>
      <c r="IG487" s="707"/>
      <c r="IH487" s="707"/>
      <c r="II487" s="707"/>
      <c r="IJ487" s="707"/>
      <c r="IK487" s="707"/>
      <c r="IL487" s="707"/>
      <c r="IM487" s="707"/>
      <c r="IN487" s="707"/>
      <c r="IO487" s="707"/>
      <c r="IP487" s="707"/>
      <c r="IQ487" s="707"/>
      <c r="IR487" s="707"/>
      <c r="IS487" s="707"/>
      <c r="IT487" s="707"/>
      <c r="IU487" s="707"/>
      <c r="IV487" s="707"/>
      <c r="IW487" s="707"/>
    </row>
    <row r="488" customFormat="false" ht="12.75" hidden="false" customHeight="false" outlineLevel="1" collapsed="false">
      <c r="A488" s="716"/>
      <c r="B488" s="718"/>
      <c r="C488" s="718"/>
      <c r="D488" s="718"/>
      <c r="E488" s="713"/>
      <c r="F488" s="713"/>
      <c r="G488" s="713"/>
      <c r="H488" s="713"/>
      <c r="I488" s="713"/>
      <c r="J488" s="713"/>
      <c r="K488" s="713"/>
      <c r="L488" s="713"/>
      <c r="M488" s="713"/>
      <c r="N488" s="713"/>
      <c r="O488" s="713"/>
      <c r="P488" s="713"/>
      <c r="Q488" s="713"/>
      <c r="R488" s="713"/>
      <c r="S488" s="713"/>
      <c r="T488" s="713"/>
      <c r="U488" s="713"/>
      <c r="V488" s="713"/>
      <c r="W488" s="713"/>
      <c r="X488" s="713"/>
      <c r="Y488" s="713"/>
      <c r="Z488" s="713"/>
      <c r="AA488" s="707"/>
      <c r="AB488" s="707"/>
      <c r="AC488" s="707"/>
      <c r="AD488" s="707"/>
      <c r="AE488" s="707"/>
      <c r="AF488" s="707"/>
      <c r="AG488" s="707"/>
      <c r="AH488" s="707"/>
      <c r="AI488" s="707"/>
      <c r="AJ488" s="707"/>
      <c r="AK488" s="707"/>
      <c r="AL488" s="707"/>
      <c r="AM488" s="707"/>
      <c r="AN488" s="707"/>
      <c r="AO488" s="707"/>
      <c r="AP488" s="707"/>
      <c r="AQ488" s="707"/>
      <c r="AR488" s="707"/>
      <c r="AS488" s="707"/>
      <c r="AT488" s="707"/>
      <c r="AU488" s="707"/>
      <c r="AV488" s="707"/>
      <c r="AW488" s="707"/>
      <c r="AX488" s="707"/>
      <c r="AY488" s="707"/>
      <c r="AZ488" s="707"/>
      <c r="BA488" s="707"/>
      <c r="BB488" s="707"/>
      <c r="BC488" s="707"/>
      <c r="BD488" s="707"/>
      <c r="BE488" s="707"/>
      <c r="BF488" s="707"/>
      <c r="BG488" s="707"/>
      <c r="BH488" s="707"/>
      <c r="BI488" s="707"/>
      <c r="BJ488" s="707"/>
      <c r="BK488" s="707"/>
      <c r="BL488" s="707"/>
      <c r="BM488" s="707"/>
      <c r="BN488" s="707"/>
      <c r="BO488" s="707"/>
      <c r="BP488" s="707"/>
      <c r="BQ488" s="707"/>
      <c r="BR488" s="707"/>
      <c r="BS488" s="707"/>
      <c r="BT488" s="707"/>
      <c r="BU488" s="707"/>
      <c r="BV488" s="707"/>
      <c r="BW488" s="707"/>
      <c r="BX488" s="707"/>
      <c r="BY488" s="707"/>
      <c r="BZ488" s="707"/>
      <c r="CA488" s="707"/>
      <c r="CB488" s="707"/>
      <c r="CC488" s="707"/>
      <c r="CD488" s="707"/>
      <c r="CE488" s="707"/>
      <c r="CF488" s="707"/>
      <c r="CG488" s="707"/>
      <c r="CH488" s="707"/>
      <c r="CI488" s="707"/>
      <c r="CJ488" s="707"/>
      <c r="CK488" s="707"/>
      <c r="CL488" s="707"/>
      <c r="CM488" s="707"/>
      <c r="CN488" s="707"/>
      <c r="CO488" s="707"/>
      <c r="CP488" s="707"/>
      <c r="CQ488" s="707"/>
      <c r="CR488" s="707"/>
      <c r="CS488" s="707"/>
      <c r="CT488" s="707"/>
      <c r="CU488" s="707"/>
      <c r="CV488" s="707"/>
      <c r="CW488" s="707"/>
      <c r="CX488" s="707"/>
      <c r="CY488" s="707"/>
      <c r="CZ488" s="707"/>
      <c r="DA488" s="707"/>
      <c r="DB488" s="707"/>
      <c r="DC488" s="707"/>
      <c r="DD488" s="707"/>
      <c r="DE488" s="707"/>
      <c r="DF488" s="707"/>
      <c r="DG488" s="707"/>
      <c r="DH488" s="707"/>
      <c r="DI488" s="707"/>
      <c r="DJ488" s="707"/>
      <c r="DK488" s="707"/>
      <c r="DL488" s="707"/>
      <c r="DM488" s="707"/>
      <c r="DN488" s="707"/>
      <c r="DO488" s="707"/>
      <c r="DP488" s="707"/>
      <c r="DQ488" s="707"/>
      <c r="DR488" s="707"/>
      <c r="DS488" s="707"/>
      <c r="DT488" s="707"/>
      <c r="DU488" s="707"/>
      <c r="DV488" s="707"/>
      <c r="DW488" s="707"/>
      <c r="DX488" s="707"/>
      <c r="DY488" s="707"/>
      <c r="DZ488" s="707"/>
      <c r="EA488" s="707"/>
      <c r="EB488" s="707"/>
      <c r="EC488" s="707"/>
      <c r="ED488" s="707"/>
      <c r="EE488" s="707"/>
      <c r="EF488" s="707"/>
      <c r="EG488" s="707"/>
      <c r="EH488" s="707"/>
      <c r="EI488" s="707"/>
      <c r="EJ488" s="707"/>
      <c r="EK488" s="707"/>
      <c r="EL488" s="707"/>
      <c r="EM488" s="707"/>
      <c r="EN488" s="707"/>
      <c r="EO488" s="707"/>
      <c r="EP488" s="707"/>
      <c r="EQ488" s="707"/>
      <c r="ER488" s="707"/>
      <c r="ES488" s="707"/>
      <c r="ET488" s="707"/>
      <c r="EU488" s="707"/>
      <c r="EV488" s="707"/>
      <c r="EW488" s="707"/>
      <c r="EX488" s="707"/>
      <c r="EY488" s="707"/>
      <c r="EZ488" s="707"/>
      <c r="FA488" s="707"/>
      <c r="FB488" s="707"/>
      <c r="FC488" s="707"/>
      <c r="FD488" s="707"/>
      <c r="FE488" s="707"/>
      <c r="FF488" s="707"/>
      <c r="FG488" s="707"/>
      <c r="FH488" s="707"/>
      <c r="FI488" s="707"/>
      <c r="FJ488" s="707"/>
      <c r="FK488" s="707"/>
      <c r="FL488" s="707"/>
      <c r="FM488" s="707"/>
      <c r="FN488" s="707"/>
      <c r="FO488" s="707"/>
      <c r="FP488" s="707"/>
      <c r="FQ488" s="707"/>
      <c r="FR488" s="707"/>
      <c r="FS488" s="707"/>
      <c r="FT488" s="707"/>
      <c r="FU488" s="707"/>
      <c r="FV488" s="707"/>
      <c r="FW488" s="707"/>
      <c r="FX488" s="707"/>
      <c r="FY488" s="707"/>
      <c r="FZ488" s="707"/>
      <c r="GA488" s="707"/>
      <c r="GB488" s="707"/>
      <c r="GC488" s="707"/>
      <c r="GD488" s="707"/>
      <c r="GE488" s="707"/>
      <c r="GF488" s="707"/>
      <c r="GG488" s="707"/>
      <c r="GH488" s="707"/>
      <c r="GI488" s="707"/>
      <c r="GJ488" s="707"/>
      <c r="GK488" s="707"/>
      <c r="GL488" s="707"/>
      <c r="GM488" s="707"/>
      <c r="GN488" s="707"/>
      <c r="GO488" s="707"/>
      <c r="GP488" s="707"/>
      <c r="GQ488" s="707"/>
      <c r="GR488" s="707"/>
      <c r="GS488" s="707"/>
      <c r="GT488" s="707"/>
      <c r="GU488" s="707"/>
      <c r="GV488" s="707"/>
      <c r="GW488" s="707"/>
      <c r="GX488" s="707"/>
      <c r="GY488" s="707"/>
      <c r="GZ488" s="707"/>
      <c r="HA488" s="707"/>
      <c r="HB488" s="707"/>
      <c r="HC488" s="707"/>
      <c r="HD488" s="707"/>
      <c r="HE488" s="707"/>
      <c r="HF488" s="707"/>
      <c r="HG488" s="707"/>
      <c r="HH488" s="707"/>
      <c r="HI488" s="707"/>
      <c r="HJ488" s="707"/>
      <c r="HK488" s="707"/>
      <c r="HL488" s="707"/>
      <c r="HM488" s="707"/>
      <c r="HN488" s="707"/>
      <c r="HO488" s="707"/>
      <c r="HP488" s="707"/>
      <c r="HQ488" s="707"/>
      <c r="HR488" s="707"/>
      <c r="HS488" s="707"/>
      <c r="HT488" s="707"/>
      <c r="HU488" s="707"/>
      <c r="HV488" s="707"/>
      <c r="HW488" s="707"/>
      <c r="HX488" s="707"/>
      <c r="HY488" s="707"/>
      <c r="HZ488" s="707"/>
      <c r="IA488" s="707"/>
      <c r="IB488" s="707"/>
      <c r="IC488" s="707"/>
      <c r="ID488" s="707"/>
      <c r="IE488" s="707"/>
      <c r="IF488" s="707"/>
      <c r="IG488" s="707"/>
      <c r="IH488" s="707"/>
      <c r="II488" s="707"/>
      <c r="IJ488" s="707"/>
      <c r="IK488" s="707"/>
      <c r="IL488" s="707"/>
      <c r="IM488" s="707"/>
      <c r="IN488" s="707"/>
      <c r="IO488" s="707"/>
      <c r="IP488" s="707"/>
      <c r="IQ488" s="707"/>
      <c r="IR488" s="707"/>
      <c r="IS488" s="707"/>
      <c r="IT488" s="707"/>
      <c r="IU488" s="707"/>
      <c r="IV488" s="707"/>
      <c r="IW488" s="707"/>
    </row>
    <row r="489" customFormat="false" ht="12.75" hidden="false" customHeight="false" outlineLevel="1" collapsed="false">
      <c r="A489" s="388"/>
      <c r="B489" s="717"/>
      <c r="C489" s="717"/>
      <c r="D489" s="717"/>
      <c r="E489" s="713"/>
      <c r="F489" s="713"/>
      <c r="G489" s="713"/>
      <c r="H489" s="713"/>
      <c r="I489" s="713"/>
      <c r="J489" s="713"/>
      <c r="K489" s="713"/>
      <c r="L489" s="713"/>
      <c r="M489" s="713"/>
      <c r="N489" s="713"/>
      <c r="O489" s="713"/>
      <c r="P489" s="713"/>
      <c r="Q489" s="713"/>
      <c r="R489" s="713"/>
      <c r="S489" s="713"/>
      <c r="T489" s="713"/>
      <c r="U489" s="713"/>
      <c r="V489" s="713"/>
      <c r="W489" s="713"/>
      <c r="X489" s="713"/>
      <c r="Y489" s="713"/>
      <c r="Z489" s="713"/>
      <c r="AA489" s="707"/>
      <c r="AB489" s="707"/>
      <c r="AC489" s="707"/>
      <c r="AD489" s="707"/>
      <c r="AE489" s="707"/>
      <c r="AF489" s="707"/>
      <c r="AG489" s="707"/>
      <c r="AH489" s="707"/>
      <c r="AI489" s="707"/>
      <c r="AJ489" s="707"/>
      <c r="AK489" s="707"/>
      <c r="AL489" s="707"/>
      <c r="AM489" s="707"/>
      <c r="AN489" s="707"/>
      <c r="AO489" s="707"/>
      <c r="AP489" s="707"/>
      <c r="AQ489" s="707"/>
      <c r="AR489" s="707"/>
      <c r="AS489" s="707"/>
      <c r="AT489" s="707"/>
      <c r="AU489" s="707"/>
      <c r="AV489" s="707"/>
      <c r="AW489" s="707"/>
      <c r="AX489" s="707"/>
      <c r="AY489" s="707"/>
      <c r="AZ489" s="707"/>
      <c r="BA489" s="707"/>
      <c r="BB489" s="707"/>
      <c r="BC489" s="707"/>
      <c r="BD489" s="707"/>
      <c r="BE489" s="707"/>
      <c r="BF489" s="707"/>
      <c r="BG489" s="707"/>
      <c r="BH489" s="707"/>
      <c r="BI489" s="707"/>
      <c r="BJ489" s="707"/>
      <c r="BK489" s="707"/>
      <c r="BL489" s="707"/>
      <c r="BM489" s="707"/>
      <c r="BN489" s="707"/>
      <c r="BO489" s="707"/>
      <c r="BP489" s="707"/>
      <c r="BQ489" s="707"/>
      <c r="BR489" s="707"/>
      <c r="BS489" s="707"/>
      <c r="BT489" s="707"/>
      <c r="BU489" s="707"/>
      <c r="BV489" s="707"/>
      <c r="BW489" s="707"/>
      <c r="BX489" s="707"/>
      <c r="BY489" s="707"/>
      <c r="BZ489" s="707"/>
      <c r="CA489" s="707"/>
      <c r="CB489" s="707"/>
      <c r="CC489" s="707"/>
      <c r="CD489" s="707"/>
      <c r="CE489" s="707"/>
      <c r="CF489" s="707"/>
      <c r="CG489" s="707"/>
      <c r="CH489" s="707"/>
      <c r="CI489" s="707"/>
      <c r="CJ489" s="707"/>
      <c r="CK489" s="707"/>
      <c r="CL489" s="707"/>
      <c r="CM489" s="707"/>
      <c r="CN489" s="707"/>
      <c r="CO489" s="707"/>
      <c r="CP489" s="707"/>
      <c r="CQ489" s="707"/>
      <c r="CR489" s="707"/>
      <c r="CS489" s="707"/>
      <c r="CT489" s="707"/>
      <c r="CU489" s="707"/>
      <c r="CV489" s="707"/>
      <c r="CW489" s="707"/>
      <c r="CX489" s="707"/>
      <c r="CY489" s="707"/>
      <c r="CZ489" s="707"/>
      <c r="DA489" s="707"/>
      <c r="DB489" s="707"/>
      <c r="DC489" s="707"/>
      <c r="DD489" s="707"/>
      <c r="DE489" s="707"/>
      <c r="DF489" s="707"/>
      <c r="DG489" s="707"/>
      <c r="DH489" s="707"/>
      <c r="DI489" s="707"/>
      <c r="DJ489" s="707"/>
      <c r="DK489" s="707"/>
      <c r="DL489" s="707"/>
      <c r="DM489" s="707"/>
      <c r="DN489" s="707"/>
      <c r="DO489" s="707"/>
      <c r="DP489" s="707"/>
      <c r="DQ489" s="707"/>
      <c r="DR489" s="707"/>
      <c r="DS489" s="707"/>
      <c r="DT489" s="707"/>
      <c r="DU489" s="707"/>
      <c r="DV489" s="707"/>
      <c r="DW489" s="707"/>
      <c r="DX489" s="707"/>
      <c r="DY489" s="707"/>
      <c r="DZ489" s="707"/>
      <c r="EA489" s="707"/>
      <c r="EB489" s="707"/>
      <c r="EC489" s="707"/>
      <c r="ED489" s="707"/>
      <c r="EE489" s="707"/>
      <c r="EF489" s="707"/>
      <c r="EG489" s="707"/>
      <c r="EH489" s="707"/>
      <c r="EI489" s="707"/>
      <c r="EJ489" s="707"/>
      <c r="EK489" s="707"/>
      <c r="EL489" s="707"/>
      <c r="EM489" s="707"/>
      <c r="EN489" s="707"/>
      <c r="EO489" s="707"/>
      <c r="EP489" s="707"/>
      <c r="EQ489" s="707"/>
      <c r="ER489" s="707"/>
      <c r="ES489" s="707"/>
      <c r="ET489" s="707"/>
      <c r="EU489" s="707"/>
      <c r="EV489" s="707"/>
      <c r="EW489" s="707"/>
      <c r="EX489" s="707"/>
      <c r="EY489" s="707"/>
      <c r="EZ489" s="707"/>
      <c r="FA489" s="707"/>
      <c r="FB489" s="707"/>
      <c r="FC489" s="707"/>
      <c r="FD489" s="707"/>
      <c r="FE489" s="707"/>
      <c r="FF489" s="707"/>
      <c r="FG489" s="707"/>
      <c r="FH489" s="707"/>
      <c r="FI489" s="707"/>
      <c r="FJ489" s="707"/>
      <c r="FK489" s="707"/>
      <c r="FL489" s="707"/>
      <c r="FM489" s="707"/>
      <c r="FN489" s="707"/>
      <c r="FO489" s="707"/>
      <c r="FP489" s="707"/>
      <c r="FQ489" s="707"/>
      <c r="FR489" s="707"/>
      <c r="FS489" s="707"/>
      <c r="FT489" s="707"/>
      <c r="FU489" s="707"/>
      <c r="FV489" s="707"/>
      <c r="FW489" s="707"/>
      <c r="FX489" s="707"/>
      <c r="FY489" s="707"/>
      <c r="FZ489" s="707"/>
      <c r="GA489" s="707"/>
      <c r="GB489" s="707"/>
      <c r="GC489" s="707"/>
      <c r="GD489" s="707"/>
      <c r="GE489" s="707"/>
      <c r="GF489" s="707"/>
      <c r="GG489" s="707"/>
      <c r="GH489" s="707"/>
      <c r="GI489" s="707"/>
      <c r="GJ489" s="707"/>
      <c r="GK489" s="707"/>
      <c r="GL489" s="707"/>
      <c r="GM489" s="707"/>
      <c r="GN489" s="707"/>
      <c r="GO489" s="707"/>
      <c r="GP489" s="707"/>
      <c r="GQ489" s="707"/>
      <c r="GR489" s="707"/>
      <c r="GS489" s="707"/>
      <c r="GT489" s="707"/>
      <c r="GU489" s="707"/>
      <c r="GV489" s="707"/>
      <c r="GW489" s="707"/>
      <c r="GX489" s="707"/>
      <c r="GY489" s="707"/>
      <c r="GZ489" s="707"/>
      <c r="HA489" s="707"/>
      <c r="HB489" s="707"/>
      <c r="HC489" s="707"/>
      <c r="HD489" s="707"/>
      <c r="HE489" s="707"/>
      <c r="HF489" s="707"/>
      <c r="HG489" s="707"/>
      <c r="HH489" s="707"/>
      <c r="HI489" s="707"/>
      <c r="HJ489" s="707"/>
      <c r="HK489" s="707"/>
      <c r="HL489" s="707"/>
      <c r="HM489" s="707"/>
      <c r="HN489" s="707"/>
      <c r="HO489" s="707"/>
      <c r="HP489" s="707"/>
      <c r="HQ489" s="707"/>
      <c r="HR489" s="707"/>
      <c r="HS489" s="707"/>
      <c r="HT489" s="707"/>
      <c r="HU489" s="707"/>
      <c r="HV489" s="707"/>
      <c r="HW489" s="707"/>
      <c r="HX489" s="707"/>
      <c r="HY489" s="707"/>
      <c r="HZ489" s="707"/>
      <c r="IA489" s="707"/>
      <c r="IB489" s="707"/>
      <c r="IC489" s="707"/>
      <c r="ID489" s="707"/>
      <c r="IE489" s="707"/>
      <c r="IF489" s="707"/>
      <c r="IG489" s="707"/>
      <c r="IH489" s="707"/>
      <c r="II489" s="707"/>
      <c r="IJ489" s="707"/>
      <c r="IK489" s="707"/>
      <c r="IL489" s="707"/>
      <c r="IM489" s="707"/>
      <c r="IN489" s="707"/>
      <c r="IO489" s="707"/>
      <c r="IP489" s="707"/>
      <c r="IQ489" s="707"/>
      <c r="IR489" s="707"/>
      <c r="IS489" s="707"/>
      <c r="IT489" s="707"/>
      <c r="IU489" s="707"/>
      <c r="IV489" s="707"/>
      <c r="IW489" s="707"/>
    </row>
    <row r="490" customFormat="false" ht="12.75" hidden="false" customHeight="false" outlineLevel="1" collapsed="false">
      <c r="A490" s="388"/>
      <c r="B490" s="717"/>
      <c r="C490" s="717"/>
      <c r="D490" s="717"/>
      <c r="E490" s="713"/>
      <c r="F490" s="713"/>
      <c r="G490" s="713"/>
      <c r="H490" s="713"/>
      <c r="I490" s="713"/>
      <c r="J490" s="713"/>
      <c r="K490" s="713"/>
      <c r="L490" s="713"/>
      <c r="M490" s="713"/>
      <c r="N490" s="713"/>
      <c r="O490" s="713"/>
      <c r="P490" s="713"/>
      <c r="Q490" s="713"/>
      <c r="R490" s="713"/>
      <c r="S490" s="713"/>
      <c r="T490" s="713"/>
      <c r="U490" s="713"/>
      <c r="V490" s="713"/>
      <c r="W490" s="713"/>
      <c r="X490" s="713"/>
      <c r="Y490" s="713"/>
      <c r="Z490" s="713"/>
      <c r="AA490" s="707"/>
      <c r="AB490" s="707"/>
      <c r="AC490" s="707"/>
      <c r="AD490" s="707"/>
      <c r="AE490" s="707"/>
      <c r="AF490" s="707"/>
      <c r="AG490" s="707"/>
      <c r="AH490" s="707"/>
      <c r="AI490" s="707"/>
      <c r="AJ490" s="707"/>
      <c r="AK490" s="707"/>
      <c r="AL490" s="707"/>
      <c r="AM490" s="707"/>
      <c r="AN490" s="707"/>
      <c r="AO490" s="707"/>
      <c r="AP490" s="707"/>
      <c r="AQ490" s="707"/>
      <c r="AR490" s="707"/>
      <c r="AS490" s="707"/>
      <c r="AT490" s="707"/>
      <c r="AU490" s="707"/>
      <c r="AV490" s="707"/>
      <c r="AW490" s="707"/>
      <c r="AX490" s="707"/>
      <c r="AY490" s="707"/>
      <c r="AZ490" s="707"/>
      <c r="BA490" s="707"/>
      <c r="BB490" s="707"/>
      <c r="BC490" s="707"/>
      <c r="BD490" s="707"/>
      <c r="BE490" s="707"/>
      <c r="BF490" s="707"/>
      <c r="BG490" s="707"/>
      <c r="BH490" s="707"/>
      <c r="BI490" s="707"/>
      <c r="BJ490" s="707"/>
      <c r="BK490" s="707"/>
      <c r="BL490" s="707"/>
      <c r="BM490" s="707"/>
      <c r="BN490" s="707"/>
      <c r="BO490" s="707"/>
      <c r="BP490" s="707"/>
      <c r="BQ490" s="707"/>
      <c r="BR490" s="707"/>
      <c r="BS490" s="707"/>
      <c r="BT490" s="707"/>
      <c r="BU490" s="707"/>
      <c r="BV490" s="707"/>
      <c r="BW490" s="707"/>
      <c r="BX490" s="707"/>
      <c r="BY490" s="707"/>
      <c r="BZ490" s="707"/>
      <c r="CA490" s="707"/>
      <c r="CB490" s="707"/>
      <c r="CC490" s="707"/>
      <c r="CD490" s="707"/>
      <c r="CE490" s="707"/>
      <c r="CF490" s="707"/>
      <c r="CG490" s="707"/>
      <c r="CH490" s="707"/>
      <c r="CI490" s="707"/>
      <c r="CJ490" s="707"/>
      <c r="CK490" s="707"/>
      <c r="CL490" s="707"/>
      <c r="CM490" s="707"/>
      <c r="CN490" s="707"/>
      <c r="CO490" s="707"/>
      <c r="CP490" s="707"/>
      <c r="CQ490" s="707"/>
      <c r="CR490" s="707"/>
      <c r="CS490" s="707"/>
      <c r="CT490" s="707"/>
      <c r="CU490" s="707"/>
      <c r="CV490" s="707"/>
      <c r="CW490" s="707"/>
      <c r="CX490" s="707"/>
      <c r="CY490" s="707"/>
      <c r="CZ490" s="707"/>
      <c r="DA490" s="707"/>
      <c r="DB490" s="707"/>
      <c r="DC490" s="707"/>
      <c r="DD490" s="707"/>
      <c r="DE490" s="707"/>
      <c r="DF490" s="707"/>
      <c r="DG490" s="707"/>
      <c r="DH490" s="707"/>
      <c r="DI490" s="707"/>
      <c r="DJ490" s="707"/>
      <c r="DK490" s="707"/>
      <c r="DL490" s="707"/>
      <c r="DM490" s="707"/>
      <c r="DN490" s="707"/>
      <c r="DO490" s="707"/>
      <c r="DP490" s="707"/>
      <c r="DQ490" s="707"/>
      <c r="DR490" s="707"/>
      <c r="DS490" s="707"/>
      <c r="DT490" s="707"/>
      <c r="DU490" s="707"/>
      <c r="DV490" s="707"/>
      <c r="DW490" s="707"/>
      <c r="DX490" s="707"/>
      <c r="DY490" s="707"/>
      <c r="DZ490" s="707"/>
      <c r="EA490" s="707"/>
      <c r="EB490" s="707"/>
      <c r="EC490" s="707"/>
      <c r="ED490" s="707"/>
      <c r="EE490" s="707"/>
      <c r="EF490" s="707"/>
      <c r="EG490" s="707"/>
      <c r="EH490" s="707"/>
      <c r="EI490" s="707"/>
      <c r="EJ490" s="707"/>
      <c r="EK490" s="707"/>
      <c r="EL490" s="707"/>
      <c r="EM490" s="707"/>
      <c r="EN490" s="707"/>
      <c r="EO490" s="707"/>
      <c r="EP490" s="707"/>
      <c r="EQ490" s="707"/>
      <c r="ER490" s="707"/>
      <c r="ES490" s="707"/>
      <c r="ET490" s="707"/>
      <c r="EU490" s="707"/>
      <c r="EV490" s="707"/>
      <c r="EW490" s="707"/>
      <c r="EX490" s="707"/>
      <c r="EY490" s="707"/>
      <c r="EZ490" s="707"/>
      <c r="FA490" s="707"/>
      <c r="FB490" s="707"/>
      <c r="FC490" s="707"/>
      <c r="FD490" s="707"/>
      <c r="FE490" s="707"/>
      <c r="FF490" s="707"/>
      <c r="FG490" s="707"/>
      <c r="FH490" s="707"/>
      <c r="FI490" s="707"/>
      <c r="FJ490" s="707"/>
      <c r="FK490" s="707"/>
      <c r="FL490" s="707"/>
      <c r="FM490" s="707"/>
      <c r="FN490" s="707"/>
      <c r="FO490" s="707"/>
      <c r="FP490" s="707"/>
      <c r="FQ490" s="707"/>
      <c r="FR490" s="707"/>
      <c r="FS490" s="707"/>
      <c r="FT490" s="707"/>
      <c r="FU490" s="707"/>
      <c r="FV490" s="707"/>
      <c r="FW490" s="707"/>
      <c r="FX490" s="707"/>
      <c r="FY490" s="707"/>
      <c r="FZ490" s="707"/>
      <c r="GA490" s="707"/>
      <c r="GB490" s="707"/>
      <c r="GC490" s="707"/>
      <c r="GD490" s="707"/>
      <c r="GE490" s="707"/>
      <c r="GF490" s="707"/>
      <c r="GG490" s="707"/>
      <c r="GH490" s="707"/>
      <c r="GI490" s="707"/>
      <c r="GJ490" s="707"/>
      <c r="GK490" s="707"/>
      <c r="GL490" s="707"/>
      <c r="GM490" s="707"/>
      <c r="GN490" s="707"/>
      <c r="GO490" s="707"/>
      <c r="GP490" s="707"/>
      <c r="GQ490" s="707"/>
      <c r="GR490" s="707"/>
      <c r="GS490" s="707"/>
      <c r="GT490" s="707"/>
      <c r="GU490" s="707"/>
      <c r="GV490" s="707"/>
      <c r="GW490" s="707"/>
      <c r="GX490" s="707"/>
      <c r="GY490" s="707"/>
      <c r="GZ490" s="707"/>
      <c r="HA490" s="707"/>
      <c r="HB490" s="707"/>
      <c r="HC490" s="707"/>
      <c r="HD490" s="707"/>
      <c r="HE490" s="707"/>
      <c r="HF490" s="707"/>
      <c r="HG490" s="707"/>
      <c r="HH490" s="707"/>
      <c r="HI490" s="707"/>
      <c r="HJ490" s="707"/>
      <c r="HK490" s="707"/>
      <c r="HL490" s="707"/>
      <c r="HM490" s="707"/>
      <c r="HN490" s="707"/>
      <c r="HO490" s="707"/>
      <c r="HP490" s="707"/>
      <c r="HQ490" s="707"/>
      <c r="HR490" s="707"/>
      <c r="HS490" s="707"/>
      <c r="HT490" s="707"/>
      <c r="HU490" s="707"/>
      <c r="HV490" s="707"/>
      <c r="HW490" s="707"/>
      <c r="HX490" s="707"/>
      <c r="HY490" s="707"/>
      <c r="HZ490" s="707"/>
      <c r="IA490" s="707"/>
      <c r="IB490" s="707"/>
      <c r="IC490" s="707"/>
      <c r="ID490" s="707"/>
      <c r="IE490" s="707"/>
      <c r="IF490" s="707"/>
      <c r="IG490" s="707"/>
      <c r="IH490" s="707"/>
      <c r="II490" s="707"/>
      <c r="IJ490" s="707"/>
      <c r="IK490" s="707"/>
      <c r="IL490" s="707"/>
      <c r="IM490" s="707"/>
      <c r="IN490" s="707"/>
      <c r="IO490" s="707"/>
      <c r="IP490" s="707"/>
      <c r="IQ490" s="707"/>
      <c r="IR490" s="707"/>
      <c r="IS490" s="707"/>
      <c r="IT490" s="707"/>
      <c r="IU490" s="707"/>
      <c r="IV490" s="707"/>
      <c r="IW490" s="707"/>
    </row>
    <row r="491" customFormat="false" ht="12.75" hidden="false" customHeight="false" outlineLevel="1" collapsed="false">
      <c r="A491" s="388"/>
      <c r="B491" s="717"/>
      <c r="C491" s="717"/>
      <c r="D491" s="717"/>
      <c r="E491" s="713"/>
      <c r="F491" s="713"/>
      <c r="G491" s="713"/>
      <c r="H491" s="713"/>
      <c r="I491" s="713"/>
      <c r="J491" s="713"/>
      <c r="K491" s="713"/>
      <c r="L491" s="713"/>
      <c r="M491" s="713"/>
      <c r="N491" s="713"/>
      <c r="O491" s="713"/>
      <c r="P491" s="713"/>
      <c r="Q491" s="713"/>
      <c r="R491" s="713"/>
      <c r="S491" s="713"/>
      <c r="T491" s="713"/>
      <c r="U491" s="713"/>
      <c r="V491" s="713"/>
      <c r="W491" s="713"/>
      <c r="X491" s="713"/>
      <c r="Y491" s="713"/>
      <c r="Z491" s="713"/>
      <c r="AA491" s="707"/>
      <c r="AB491" s="707"/>
      <c r="AC491" s="707"/>
      <c r="AD491" s="707"/>
      <c r="AE491" s="707"/>
      <c r="AF491" s="707"/>
      <c r="AG491" s="707"/>
      <c r="AH491" s="707"/>
      <c r="AI491" s="707"/>
      <c r="AJ491" s="707"/>
      <c r="AK491" s="707"/>
      <c r="AL491" s="707"/>
      <c r="AM491" s="707"/>
      <c r="AN491" s="707"/>
      <c r="AO491" s="707"/>
      <c r="AP491" s="707"/>
      <c r="AQ491" s="707"/>
      <c r="AR491" s="707"/>
      <c r="AS491" s="707"/>
      <c r="AT491" s="707"/>
      <c r="AU491" s="707"/>
      <c r="AV491" s="707"/>
      <c r="AW491" s="707"/>
      <c r="AX491" s="707"/>
      <c r="AY491" s="707"/>
      <c r="AZ491" s="707"/>
      <c r="BA491" s="707"/>
      <c r="BB491" s="707"/>
      <c r="BC491" s="707"/>
      <c r="BD491" s="707"/>
      <c r="BE491" s="707"/>
      <c r="BF491" s="707"/>
      <c r="BG491" s="707"/>
      <c r="BH491" s="707"/>
      <c r="BI491" s="707"/>
      <c r="BJ491" s="707"/>
      <c r="BK491" s="707"/>
      <c r="BL491" s="707"/>
      <c r="BM491" s="707"/>
      <c r="BN491" s="707"/>
      <c r="BO491" s="707"/>
      <c r="BP491" s="707"/>
      <c r="BQ491" s="707"/>
      <c r="BR491" s="707"/>
      <c r="BS491" s="707"/>
      <c r="BT491" s="707"/>
      <c r="BU491" s="707"/>
      <c r="BV491" s="707"/>
      <c r="BW491" s="707"/>
      <c r="BX491" s="707"/>
      <c r="BY491" s="707"/>
      <c r="BZ491" s="707"/>
      <c r="CA491" s="707"/>
      <c r="CB491" s="707"/>
      <c r="CC491" s="707"/>
      <c r="CD491" s="707"/>
      <c r="CE491" s="707"/>
      <c r="CF491" s="707"/>
      <c r="CG491" s="707"/>
      <c r="CH491" s="707"/>
      <c r="CI491" s="707"/>
      <c r="CJ491" s="707"/>
      <c r="CK491" s="707"/>
      <c r="CL491" s="707"/>
      <c r="CM491" s="707"/>
      <c r="CN491" s="707"/>
      <c r="CO491" s="707"/>
      <c r="CP491" s="707"/>
      <c r="CQ491" s="707"/>
      <c r="CR491" s="707"/>
      <c r="CS491" s="707"/>
      <c r="CT491" s="707"/>
      <c r="CU491" s="707"/>
      <c r="CV491" s="707"/>
      <c r="CW491" s="707"/>
      <c r="CX491" s="707"/>
      <c r="CY491" s="707"/>
      <c r="CZ491" s="707"/>
      <c r="DA491" s="707"/>
      <c r="DB491" s="707"/>
      <c r="DC491" s="707"/>
      <c r="DD491" s="707"/>
      <c r="DE491" s="707"/>
      <c r="DF491" s="707"/>
      <c r="DG491" s="707"/>
      <c r="DH491" s="707"/>
      <c r="DI491" s="707"/>
      <c r="DJ491" s="707"/>
      <c r="DK491" s="707"/>
      <c r="DL491" s="707"/>
      <c r="DM491" s="707"/>
      <c r="DN491" s="707"/>
      <c r="DO491" s="707"/>
      <c r="DP491" s="707"/>
      <c r="DQ491" s="707"/>
      <c r="DR491" s="707"/>
      <c r="DS491" s="707"/>
      <c r="DT491" s="707"/>
      <c r="DU491" s="707"/>
      <c r="DV491" s="707"/>
      <c r="DW491" s="707"/>
      <c r="DX491" s="707"/>
      <c r="DY491" s="707"/>
      <c r="DZ491" s="707"/>
      <c r="EA491" s="707"/>
      <c r="EB491" s="707"/>
      <c r="EC491" s="707"/>
      <c r="ED491" s="707"/>
      <c r="EE491" s="707"/>
      <c r="EF491" s="707"/>
      <c r="EG491" s="707"/>
      <c r="EH491" s="707"/>
      <c r="EI491" s="707"/>
      <c r="EJ491" s="707"/>
      <c r="EK491" s="707"/>
      <c r="EL491" s="707"/>
      <c r="EM491" s="707"/>
      <c r="EN491" s="707"/>
      <c r="EO491" s="707"/>
      <c r="EP491" s="707"/>
      <c r="EQ491" s="707"/>
      <c r="ER491" s="707"/>
      <c r="ES491" s="707"/>
      <c r="ET491" s="707"/>
      <c r="EU491" s="707"/>
      <c r="EV491" s="707"/>
      <c r="EW491" s="707"/>
      <c r="EX491" s="707"/>
      <c r="EY491" s="707"/>
      <c r="EZ491" s="707"/>
      <c r="FA491" s="707"/>
      <c r="FB491" s="707"/>
      <c r="FC491" s="707"/>
      <c r="FD491" s="707"/>
      <c r="FE491" s="707"/>
      <c r="FF491" s="707"/>
      <c r="FG491" s="707"/>
      <c r="FH491" s="707"/>
      <c r="FI491" s="707"/>
      <c r="FJ491" s="707"/>
      <c r="FK491" s="707"/>
      <c r="FL491" s="707"/>
      <c r="FM491" s="707"/>
      <c r="FN491" s="707"/>
      <c r="FO491" s="707"/>
      <c r="FP491" s="707"/>
      <c r="FQ491" s="707"/>
      <c r="FR491" s="707"/>
      <c r="FS491" s="707"/>
      <c r="FT491" s="707"/>
      <c r="FU491" s="707"/>
      <c r="FV491" s="707"/>
      <c r="FW491" s="707"/>
      <c r="FX491" s="707"/>
      <c r="FY491" s="707"/>
      <c r="FZ491" s="707"/>
      <c r="GA491" s="707"/>
      <c r="GB491" s="707"/>
      <c r="GC491" s="707"/>
      <c r="GD491" s="707"/>
      <c r="GE491" s="707"/>
      <c r="GF491" s="707"/>
      <c r="GG491" s="707"/>
      <c r="GH491" s="707"/>
      <c r="GI491" s="707"/>
      <c r="GJ491" s="707"/>
      <c r="GK491" s="707"/>
      <c r="GL491" s="707"/>
      <c r="GM491" s="707"/>
      <c r="GN491" s="707"/>
      <c r="GO491" s="707"/>
      <c r="GP491" s="707"/>
      <c r="GQ491" s="707"/>
      <c r="GR491" s="707"/>
      <c r="GS491" s="707"/>
      <c r="GT491" s="707"/>
      <c r="GU491" s="707"/>
      <c r="GV491" s="707"/>
      <c r="GW491" s="707"/>
      <c r="GX491" s="707"/>
      <c r="GY491" s="707"/>
      <c r="GZ491" s="707"/>
      <c r="HA491" s="707"/>
      <c r="HB491" s="707"/>
      <c r="HC491" s="707"/>
      <c r="HD491" s="707"/>
      <c r="HE491" s="707"/>
      <c r="HF491" s="707"/>
      <c r="HG491" s="707"/>
      <c r="HH491" s="707"/>
      <c r="HI491" s="707"/>
      <c r="HJ491" s="707"/>
      <c r="HK491" s="707"/>
      <c r="HL491" s="707"/>
      <c r="HM491" s="707"/>
      <c r="HN491" s="707"/>
      <c r="HO491" s="707"/>
      <c r="HP491" s="707"/>
      <c r="HQ491" s="707"/>
      <c r="HR491" s="707"/>
      <c r="HS491" s="707"/>
      <c r="HT491" s="707"/>
      <c r="HU491" s="707"/>
      <c r="HV491" s="707"/>
      <c r="HW491" s="707"/>
      <c r="HX491" s="707"/>
      <c r="HY491" s="707"/>
      <c r="HZ491" s="707"/>
      <c r="IA491" s="707"/>
      <c r="IB491" s="707"/>
      <c r="IC491" s="707"/>
      <c r="ID491" s="707"/>
      <c r="IE491" s="707"/>
      <c r="IF491" s="707"/>
      <c r="IG491" s="707"/>
      <c r="IH491" s="707"/>
      <c r="II491" s="707"/>
      <c r="IJ491" s="707"/>
      <c r="IK491" s="707"/>
      <c r="IL491" s="707"/>
      <c r="IM491" s="707"/>
      <c r="IN491" s="707"/>
      <c r="IO491" s="707"/>
      <c r="IP491" s="707"/>
      <c r="IQ491" s="707"/>
      <c r="IR491" s="707"/>
      <c r="IS491" s="707"/>
      <c r="IT491" s="707"/>
      <c r="IU491" s="707"/>
      <c r="IV491" s="707"/>
      <c r="IW491" s="707"/>
    </row>
    <row r="492" customFormat="false" ht="12.75" hidden="false" customHeight="false" outlineLevel="1" collapsed="false">
      <c r="A492" s="388"/>
      <c r="B492" s="717"/>
      <c r="C492" s="717"/>
      <c r="D492" s="717"/>
      <c r="E492" s="713"/>
      <c r="F492" s="713"/>
      <c r="G492" s="713"/>
      <c r="H492" s="713"/>
      <c r="I492" s="713"/>
      <c r="J492" s="713"/>
      <c r="K492" s="713"/>
      <c r="L492" s="713"/>
      <c r="M492" s="713"/>
      <c r="N492" s="713"/>
      <c r="O492" s="713"/>
      <c r="P492" s="713"/>
      <c r="Q492" s="713"/>
      <c r="R492" s="713"/>
      <c r="S492" s="713"/>
      <c r="T492" s="713"/>
      <c r="U492" s="713"/>
      <c r="V492" s="713"/>
      <c r="W492" s="713"/>
      <c r="X492" s="713"/>
      <c r="Y492" s="713"/>
      <c r="Z492" s="713"/>
      <c r="AA492" s="707"/>
      <c r="AB492" s="707"/>
      <c r="AC492" s="707"/>
      <c r="AD492" s="707"/>
      <c r="AE492" s="707"/>
      <c r="AF492" s="707"/>
      <c r="AG492" s="707"/>
      <c r="AH492" s="707"/>
      <c r="AI492" s="707"/>
      <c r="AJ492" s="707"/>
      <c r="AK492" s="707"/>
      <c r="AL492" s="707"/>
      <c r="AM492" s="707"/>
      <c r="AN492" s="707"/>
      <c r="AO492" s="707"/>
      <c r="AP492" s="707"/>
      <c r="AQ492" s="707"/>
      <c r="AR492" s="707"/>
      <c r="AS492" s="707"/>
      <c r="AT492" s="707"/>
      <c r="AU492" s="707"/>
      <c r="AV492" s="707"/>
      <c r="AW492" s="707"/>
      <c r="AX492" s="707"/>
      <c r="AY492" s="707"/>
      <c r="AZ492" s="707"/>
      <c r="BA492" s="707"/>
      <c r="BB492" s="707"/>
      <c r="BC492" s="707"/>
      <c r="BD492" s="707"/>
      <c r="BE492" s="707"/>
      <c r="BF492" s="707"/>
      <c r="BG492" s="707"/>
      <c r="BH492" s="707"/>
      <c r="BI492" s="707"/>
      <c r="BJ492" s="707"/>
      <c r="BK492" s="707"/>
      <c r="BL492" s="707"/>
      <c r="BM492" s="707"/>
      <c r="BN492" s="707"/>
      <c r="BO492" s="707"/>
      <c r="BP492" s="707"/>
      <c r="BQ492" s="707"/>
      <c r="BR492" s="707"/>
      <c r="BS492" s="707"/>
      <c r="BT492" s="707"/>
      <c r="BU492" s="707"/>
      <c r="BV492" s="707"/>
      <c r="BW492" s="707"/>
      <c r="BX492" s="707"/>
      <c r="BY492" s="707"/>
      <c r="BZ492" s="707"/>
      <c r="CA492" s="707"/>
      <c r="CB492" s="707"/>
      <c r="CC492" s="707"/>
      <c r="CD492" s="707"/>
      <c r="CE492" s="707"/>
      <c r="CF492" s="707"/>
      <c r="CG492" s="707"/>
      <c r="CH492" s="707"/>
      <c r="CI492" s="707"/>
      <c r="CJ492" s="707"/>
      <c r="CK492" s="707"/>
      <c r="CL492" s="707"/>
      <c r="CM492" s="707"/>
      <c r="CN492" s="707"/>
      <c r="CO492" s="707"/>
      <c r="CP492" s="707"/>
      <c r="CQ492" s="707"/>
      <c r="CR492" s="707"/>
      <c r="CS492" s="707"/>
      <c r="CT492" s="707"/>
      <c r="CU492" s="707"/>
      <c r="CV492" s="707"/>
      <c r="CW492" s="707"/>
      <c r="CX492" s="707"/>
      <c r="CY492" s="707"/>
      <c r="CZ492" s="707"/>
      <c r="DA492" s="707"/>
      <c r="DB492" s="707"/>
      <c r="DC492" s="707"/>
      <c r="DD492" s="707"/>
      <c r="DE492" s="707"/>
      <c r="DF492" s="707"/>
      <c r="DG492" s="707"/>
      <c r="DH492" s="707"/>
      <c r="DI492" s="707"/>
      <c r="DJ492" s="707"/>
      <c r="DK492" s="707"/>
      <c r="DL492" s="707"/>
      <c r="DM492" s="707"/>
      <c r="DN492" s="707"/>
      <c r="DO492" s="707"/>
      <c r="DP492" s="707"/>
      <c r="DQ492" s="707"/>
      <c r="DR492" s="707"/>
      <c r="DS492" s="707"/>
      <c r="DT492" s="707"/>
      <c r="DU492" s="707"/>
      <c r="DV492" s="707"/>
      <c r="DW492" s="707"/>
      <c r="DX492" s="707"/>
      <c r="DY492" s="707"/>
      <c r="DZ492" s="707"/>
      <c r="EA492" s="707"/>
      <c r="EB492" s="707"/>
      <c r="EC492" s="707"/>
      <c r="ED492" s="707"/>
      <c r="EE492" s="707"/>
      <c r="EF492" s="707"/>
      <c r="EG492" s="707"/>
      <c r="EH492" s="707"/>
      <c r="EI492" s="707"/>
      <c r="EJ492" s="707"/>
      <c r="EK492" s="707"/>
      <c r="EL492" s="707"/>
      <c r="EM492" s="707"/>
      <c r="EN492" s="707"/>
      <c r="EO492" s="707"/>
      <c r="EP492" s="707"/>
      <c r="EQ492" s="707"/>
      <c r="ER492" s="707"/>
      <c r="ES492" s="707"/>
      <c r="ET492" s="707"/>
      <c r="EU492" s="707"/>
      <c r="EV492" s="707"/>
      <c r="EW492" s="707"/>
      <c r="EX492" s="707"/>
      <c r="EY492" s="707"/>
      <c r="EZ492" s="707"/>
      <c r="FA492" s="707"/>
      <c r="FB492" s="707"/>
      <c r="FC492" s="707"/>
      <c r="FD492" s="707"/>
      <c r="FE492" s="707"/>
      <c r="FF492" s="707"/>
      <c r="FG492" s="707"/>
      <c r="FH492" s="707"/>
      <c r="FI492" s="707"/>
      <c r="FJ492" s="707"/>
      <c r="FK492" s="707"/>
      <c r="FL492" s="707"/>
      <c r="FM492" s="707"/>
      <c r="FN492" s="707"/>
      <c r="FO492" s="707"/>
      <c r="FP492" s="707"/>
      <c r="FQ492" s="707"/>
      <c r="FR492" s="707"/>
      <c r="FS492" s="707"/>
      <c r="FT492" s="707"/>
      <c r="FU492" s="707"/>
      <c r="FV492" s="707"/>
      <c r="FW492" s="707"/>
      <c r="FX492" s="707"/>
      <c r="FY492" s="707"/>
      <c r="FZ492" s="707"/>
      <c r="GA492" s="707"/>
      <c r="GB492" s="707"/>
      <c r="GC492" s="707"/>
      <c r="GD492" s="707"/>
      <c r="GE492" s="707"/>
      <c r="GF492" s="707"/>
      <c r="GG492" s="707"/>
      <c r="GH492" s="707"/>
      <c r="GI492" s="707"/>
      <c r="GJ492" s="707"/>
      <c r="GK492" s="707"/>
      <c r="GL492" s="707"/>
      <c r="GM492" s="707"/>
      <c r="GN492" s="707"/>
      <c r="GO492" s="707"/>
      <c r="GP492" s="707"/>
      <c r="GQ492" s="707"/>
      <c r="GR492" s="707"/>
      <c r="GS492" s="707"/>
      <c r="GT492" s="707"/>
      <c r="GU492" s="707"/>
      <c r="GV492" s="707"/>
      <c r="GW492" s="707"/>
      <c r="GX492" s="707"/>
      <c r="GY492" s="707"/>
      <c r="GZ492" s="707"/>
      <c r="HA492" s="707"/>
      <c r="HB492" s="707"/>
      <c r="HC492" s="707"/>
      <c r="HD492" s="707"/>
      <c r="HE492" s="707"/>
      <c r="HF492" s="707"/>
      <c r="HG492" s="707"/>
      <c r="HH492" s="707"/>
      <c r="HI492" s="707"/>
      <c r="HJ492" s="707"/>
      <c r="HK492" s="707"/>
      <c r="HL492" s="707"/>
      <c r="HM492" s="707"/>
      <c r="HN492" s="707"/>
      <c r="HO492" s="707"/>
      <c r="HP492" s="707"/>
      <c r="HQ492" s="707"/>
      <c r="HR492" s="707"/>
      <c r="HS492" s="707"/>
      <c r="HT492" s="707"/>
      <c r="HU492" s="707"/>
      <c r="HV492" s="707"/>
      <c r="HW492" s="707"/>
      <c r="HX492" s="707"/>
      <c r="HY492" s="707"/>
      <c r="HZ492" s="707"/>
      <c r="IA492" s="707"/>
      <c r="IB492" s="707"/>
      <c r="IC492" s="707"/>
      <c r="ID492" s="707"/>
      <c r="IE492" s="707"/>
      <c r="IF492" s="707"/>
      <c r="IG492" s="707"/>
      <c r="IH492" s="707"/>
      <c r="II492" s="707"/>
      <c r="IJ492" s="707"/>
      <c r="IK492" s="707"/>
      <c r="IL492" s="707"/>
      <c r="IM492" s="707"/>
      <c r="IN492" s="707"/>
      <c r="IO492" s="707"/>
      <c r="IP492" s="707"/>
      <c r="IQ492" s="707"/>
      <c r="IR492" s="707"/>
      <c r="IS492" s="707"/>
      <c r="IT492" s="707"/>
      <c r="IU492" s="707"/>
      <c r="IV492" s="707"/>
      <c r="IW492" s="707"/>
    </row>
    <row r="493" customFormat="false" ht="12.75" hidden="false" customHeight="false" outlineLevel="1" collapsed="false">
      <c r="A493" s="367"/>
      <c r="B493" s="717"/>
      <c r="C493" s="717"/>
      <c r="D493" s="717"/>
      <c r="E493" s="713"/>
      <c r="F493" s="713"/>
      <c r="G493" s="713"/>
      <c r="H493" s="713"/>
      <c r="I493" s="713"/>
      <c r="J493" s="713"/>
      <c r="K493" s="713"/>
      <c r="L493" s="713"/>
      <c r="M493" s="713"/>
      <c r="N493" s="713"/>
      <c r="O493" s="713"/>
      <c r="P493" s="713"/>
      <c r="Q493" s="713"/>
      <c r="R493" s="713"/>
      <c r="S493" s="713"/>
      <c r="T493" s="713"/>
      <c r="U493" s="713"/>
      <c r="V493" s="713"/>
      <c r="W493" s="713"/>
      <c r="X493" s="713"/>
      <c r="Y493" s="713"/>
      <c r="Z493" s="713"/>
      <c r="AA493" s="707"/>
      <c r="AB493" s="707"/>
      <c r="AC493" s="707"/>
      <c r="AD493" s="707"/>
      <c r="AE493" s="707"/>
      <c r="AF493" s="707"/>
      <c r="AG493" s="707"/>
      <c r="AH493" s="707"/>
      <c r="AI493" s="707"/>
      <c r="AJ493" s="707"/>
      <c r="AK493" s="707"/>
      <c r="AL493" s="707"/>
      <c r="AM493" s="707"/>
      <c r="AN493" s="707"/>
      <c r="AO493" s="707"/>
      <c r="AP493" s="707"/>
      <c r="AQ493" s="707"/>
      <c r="AR493" s="707"/>
      <c r="AS493" s="707"/>
      <c r="AT493" s="707"/>
      <c r="AU493" s="707"/>
      <c r="AV493" s="707"/>
      <c r="AW493" s="707"/>
      <c r="AX493" s="707"/>
      <c r="AY493" s="707"/>
      <c r="AZ493" s="707"/>
      <c r="BA493" s="707"/>
      <c r="BB493" s="707"/>
      <c r="BC493" s="707"/>
      <c r="BD493" s="707"/>
      <c r="BE493" s="707"/>
      <c r="BF493" s="707"/>
      <c r="BG493" s="707"/>
      <c r="BH493" s="707"/>
      <c r="BI493" s="707"/>
      <c r="BJ493" s="707"/>
      <c r="BK493" s="707"/>
      <c r="BL493" s="707"/>
      <c r="BM493" s="707"/>
      <c r="BN493" s="707"/>
      <c r="BO493" s="707"/>
      <c r="BP493" s="707"/>
      <c r="BQ493" s="707"/>
      <c r="BR493" s="707"/>
      <c r="BS493" s="707"/>
      <c r="BT493" s="707"/>
      <c r="BU493" s="707"/>
      <c r="BV493" s="707"/>
      <c r="BW493" s="707"/>
      <c r="BX493" s="707"/>
      <c r="BY493" s="707"/>
      <c r="BZ493" s="707"/>
      <c r="CA493" s="707"/>
      <c r="CB493" s="707"/>
      <c r="CC493" s="707"/>
      <c r="CD493" s="707"/>
      <c r="CE493" s="707"/>
      <c r="CF493" s="707"/>
      <c r="CG493" s="707"/>
      <c r="CH493" s="707"/>
      <c r="CI493" s="707"/>
      <c r="CJ493" s="707"/>
      <c r="CK493" s="707"/>
      <c r="CL493" s="707"/>
      <c r="CM493" s="707"/>
      <c r="CN493" s="707"/>
      <c r="CO493" s="707"/>
      <c r="CP493" s="707"/>
      <c r="CQ493" s="707"/>
      <c r="CR493" s="707"/>
      <c r="CS493" s="707"/>
      <c r="CT493" s="707"/>
      <c r="CU493" s="707"/>
      <c r="CV493" s="707"/>
      <c r="CW493" s="707"/>
      <c r="CX493" s="707"/>
      <c r="CY493" s="707"/>
      <c r="CZ493" s="707"/>
      <c r="DA493" s="707"/>
      <c r="DB493" s="707"/>
      <c r="DC493" s="707"/>
      <c r="DD493" s="707"/>
      <c r="DE493" s="707"/>
      <c r="DF493" s="707"/>
      <c r="DG493" s="707"/>
      <c r="DH493" s="707"/>
      <c r="DI493" s="707"/>
      <c r="DJ493" s="707"/>
      <c r="DK493" s="707"/>
      <c r="DL493" s="707"/>
      <c r="DM493" s="707"/>
      <c r="DN493" s="707"/>
      <c r="DO493" s="707"/>
      <c r="DP493" s="707"/>
      <c r="DQ493" s="707"/>
      <c r="DR493" s="707"/>
      <c r="DS493" s="707"/>
      <c r="DT493" s="707"/>
      <c r="DU493" s="707"/>
      <c r="DV493" s="707"/>
      <c r="DW493" s="707"/>
      <c r="DX493" s="707"/>
      <c r="DY493" s="707"/>
      <c r="DZ493" s="707"/>
      <c r="EA493" s="707"/>
      <c r="EB493" s="707"/>
      <c r="EC493" s="707"/>
      <c r="ED493" s="707"/>
      <c r="EE493" s="707"/>
      <c r="EF493" s="707"/>
      <c r="EG493" s="707"/>
      <c r="EH493" s="707"/>
      <c r="EI493" s="707"/>
      <c r="EJ493" s="707"/>
      <c r="EK493" s="707"/>
      <c r="EL493" s="707"/>
      <c r="EM493" s="707"/>
      <c r="EN493" s="707"/>
      <c r="EO493" s="707"/>
      <c r="EP493" s="707"/>
      <c r="EQ493" s="707"/>
      <c r="ER493" s="707"/>
      <c r="ES493" s="707"/>
      <c r="ET493" s="707"/>
      <c r="EU493" s="707"/>
      <c r="EV493" s="707"/>
      <c r="EW493" s="707"/>
      <c r="EX493" s="707"/>
      <c r="EY493" s="707"/>
      <c r="EZ493" s="707"/>
      <c r="FA493" s="707"/>
      <c r="FB493" s="707"/>
      <c r="FC493" s="707"/>
      <c r="FD493" s="707"/>
      <c r="FE493" s="707"/>
      <c r="FF493" s="707"/>
      <c r="FG493" s="707"/>
      <c r="FH493" s="707"/>
      <c r="FI493" s="707"/>
      <c r="FJ493" s="707"/>
      <c r="FK493" s="707"/>
      <c r="FL493" s="707"/>
      <c r="FM493" s="707"/>
      <c r="FN493" s="707"/>
      <c r="FO493" s="707"/>
      <c r="FP493" s="707"/>
      <c r="FQ493" s="707"/>
      <c r="FR493" s="707"/>
      <c r="FS493" s="707"/>
      <c r="FT493" s="707"/>
      <c r="FU493" s="707"/>
      <c r="FV493" s="707"/>
      <c r="FW493" s="707"/>
      <c r="FX493" s="707"/>
      <c r="FY493" s="707"/>
      <c r="FZ493" s="707"/>
      <c r="GA493" s="707"/>
      <c r="GB493" s="707"/>
      <c r="GC493" s="707"/>
      <c r="GD493" s="707"/>
      <c r="GE493" s="707"/>
      <c r="GF493" s="707"/>
      <c r="GG493" s="707"/>
      <c r="GH493" s="707"/>
      <c r="GI493" s="707"/>
      <c r="GJ493" s="707"/>
      <c r="GK493" s="707"/>
      <c r="GL493" s="707"/>
      <c r="GM493" s="707"/>
      <c r="GN493" s="707"/>
      <c r="GO493" s="707"/>
      <c r="GP493" s="707"/>
      <c r="GQ493" s="707"/>
      <c r="GR493" s="707"/>
      <c r="GS493" s="707"/>
      <c r="GT493" s="707"/>
      <c r="GU493" s="707"/>
      <c r="GV493" s="707"/>
      <c r="GW493" s="707"/>
      <c r="GX493" s="707"/>
      <c r="GY493" s="707"/>
      <c r="GZ493" s="707"/>
      <c r="HA493" s="707"/>
      <c r="HB493" s="707"/>
      <c r="HC493" s="707"/>
      <c r="HD493" s="707"/>
      <c r="HE493" s="707"/>
      <c r="HF493" s="707"/>
      <c r="HG493" s="707"/>
      <c r="HH493" s="707"/>
      <c r="HI493" s="707"/>
      <c r="HJ493" s="707"/>
      <c r="HK493" s="707"/>
      <c r="HL493" s="707"/>
      <c r="HM493" s="707"/>
      <c r="HN493" s="707"/>
      <c r="HO493" s="707"/>
      <c r="HP493" s="707"/>
      <c r="HQ493" s="707"/>
      <c r="HR493" s="707"/>
      <c r="HS493" s="707"/>
      <c r="HT493" s="707"/>
      <c r="HU493" s="707"/>
      <c r="HV493" s="707"/>
      <c r="HW493" s="707"/>
      <c r="HX493" s="707"/>
      <c r="HY493" s="707"/>
      <c r="HZ493" s="707"/>
      <c r="IA493" s="707"/>
      <c r="IB493" s="707"/>
      <c r="IC493" s="707"/>
      <c r="ID493" s="707"/>
      <c r="IE493" s="707"/>
      <c r="IF493" s="707"/>
      <c r="IG493" s="707"/>
      <c r="IH493" s="707"/>
      <c r="II493" s="707"/>
      <c r="IJ493" s="707"/>
      <c r="IK493" s="707"/>
      <c r="IL493" s="707"/>
      <c r="IM493" s="707"/>
      <c r="IN493" s="707"/>
      <c r="IO493" s="707"/>
      <c r="IP493" s="707"/>
      <c r="IQ493" s="707"/>
      <c r="IR493" s="707"/>
      <c r="IS493" s="707"/>
      <c r="IT493" s="707"/>
      <c r="IU493" s="707"/>
      <c r="IV493" s="707"/>
      <c r="IW493" s="707"/>
    </row>
    <row r="494" customFormat="false" ht="12.75" hidden="false" customHeight="false" outlineLevel="1" collapsed="false">
      <c r="A494" s="367"/>
      <c r="B494" s="717"/>
      <c r="C494" s="717"/>
      <c r="D494" s="717"/>
      <c r="E494" s="713"/>
      <c r="F494" s="713"/>
      <c r="G494" s="713"/>
      <c r="H494" s="713"/>
      <c r="I494" s="713"/>
      <c r="J494" s="713"/>
      <c r="K494" s="713"/>
      <c r="L494" s="713"/>
      <c r="M494" s="713"/>
      <c r="N494" s="713"/>
      <c r="O494" s="713"/>
      <c r="P494" s="713"/>
      <c r="Q494" s="713"/>
      <c r="R494" s="713"/>
      <c r="S494" s="713"/>
      <c r="T494" s="713"/>
      <c r="U494" s="713"/>
      <c r="V494" s="713"/>
      <c r="W494" s="713"/>
      <c r="X494" s="713"/>
      <c r="Y494" s="713"/>
      <c r="Z494" s="713"/>
      <c r="AA494" s="707"/>
      <c r="AB494" s="707"/>
      <c r="AC494" s="707"/>
      <c r="AD494" s="707"/>
      <c r="AE494" s="707"/>
      <c r="AF494" s="707"/>
      <c r="AG494" s="707"/>
      <c r="AH494" s="707"/>
      <c r="AI494" s="707"/>
      <c r="AJ494" s="707"/>
      <c r="AK494" s="707"/>
      <c r="AL494" s="707"/>
      <c r="AM494" s="707"/>
      <c r="AN494" s="707"/>
      <c r="AO494" s="707"/>
      <c r="AP494" s="707"/>
      <c r="AQ494" s="707"/>
      <c r="AR494" s="707"/>
      <c r="AS494" s="707"/>
      <c r="AT494" s="707"/>
      <c r="AU494" s="707"/>
      <c r="AV494" s="707"/>
      <c r="AW494" s="707"/>
      <c r="AX494" s="707"/>
      <c r="AY494" s="707"/>
      <c r="AZ494" s="707"/>
      <c r="BA494" s="707"/>
      <c r="BB494" s="707"/>
      <c r="BC494" s="707"/>
      <c r="BD494" s="707"/>
      <c r="BE494" s="707"/>
      <c r="BF494" s="707"/>
      <c r="BG494" s="707"/>
      <c r="BH494" s="707"/>
      <c r="BI494" s="707"/>
      <c r="BJ494" s="707"/>
      <c r="BK494" s="707"/>
      <c r="BL494" s="707"/>
      <c r="BM494" s="707"/>
      <c r="BN494" s="707"/>
      <c r="BO494" s="707"/>
      <c r="BP494" s="707"/>
      <c r="BQ494" s="707"/>
      <c r="BR494" s="707"/>
      <c r="BS494" s="707"/>
      <c r="BT494" s="707"/>
      <c r="BU494" s="707"/>
      <c r="BV494" s="707"/>
      <c r="BW494" s="707"/>
      <c r="BX494" s="707"/>
      <c r="BY494" s="707"/>
      <c r="BZ494" s="707"/>
      <c r="CA494" s="707"/>
      <c r="CB494" s="707"/>
      <c r="CC494" s="707"/>
      <c r="CD494" s="707"/>
      <c r="CE494" s="707"/>
      <c r="CF494" s="707"/>
      <c r="CG494" s="707"/>
      <c r="CH494" s="707"/>
      <c r="CI494" s="707"/>
      <c r="CJ494" s="707"/>
      <c r="CK494" s="707"/>
      <c r="CL494" s="707"/>
      <c r="CM494" s="707"/>
      <c r="CN494" s="707"/>
      <c r="CO494" s="707"/>
      <c r="CP494" s="707"/>
      <c r="CQ494" s="707"/>
      <c r="CR494" s="707"/>
      <c r="CS494" s="707"/>
      <c r="CT494" s="707"/>
      <c r="CU494" s="707"/>
      <c r="CV494" s="707"/>
      <c r="CW494" s="707"/>
      <c r="CX494" s="707"/>
      <c r="CY494" s="707"/>
      <c r="CZ494" s="707"/>
      <c r="DA494" s="707"/>
      <c r="DB494" s="707"/>
      <c r="DC494" s="707"/>
      <c r="DD494" s="707"/>
      <c r="DE494" s="707"/>
      <c r="DF494" s="707"/>
      <c r="DG494" s="707"/>
      <c r="DH494" s="707"/>
      <c r="DI494" s="707"/>
      <c r="DJ494" s="707"/>
      <c r="DK494" s="707"/>
      <c r="DL494" s="707"/>
      <c r="DM494" s="707"/>
      <c r="DN494" s="707"/>
      <c r="DO494" s="707"/>
      <c r="DP494" s="707"/>
      <c r="DQ494" s="707"/>
      <c r="DR494" s="707"/>
      <c r="DS494" s="707"/>
      <c r="DT494" s="707"/>
      <c r="DU494" s="707"/>
      <c r="DV494" s="707"/>
      <c r="DW494" s="707"/>
      <c r="DX494" s="707"/>
      <c r="DY494" s="707"/>
      <c r="DZ494" s="707"/>
      <c r="EA494" s="707"/>
      <c r="EB494" s="707"/>
      <c r="EC494" s="707"/>
      <c r="ED494" s="707"/>
      <c r="EE494" s="707"/>
      <c r="EF494" s="707"/>
      <c r="EG494" s="707"/>
      <c r="EH494" s="707"/>
      <c r="EI494" s="707"/>
      <c r="EJ494" s="707"/>
      <c r="EK494" s="707"/>
      <c r="EL494" s="707"/>
      <c r="EM494" s="707"/>
      <c r="EN494" s="707"/>
      <c r="EO494" s="707"/>
      <c r="EP494" s="707"/>
      <c r="EQ494" s="707"/>
      <c r="ER494" s="707"/>
      <c r="ES494" s="707"/>
      <c r="ET494" s="707"/>
      <c r="EU494" s="707"/>
      <c r="EV494" s="707"/>
      <c r="EW494" s="707"/>
      <c r="EX494" s="707"/>
      <c r="EY494" s="707"/>
      <c r="EZ494" s="707"/>
      <c r="FA494" s="707"/>
      <c r="FB494" s="707"/>
      <c r="FC494" s="707"/>
      <c r="FD494" s="707"/>
      <c r="FE494" s="707"/>
      <c r="FF494" s="707"/>
      <c r="FG494" s="707"/>
      <c r="FH494" s="707"/>
      <c r="FI494" s="707"/>
      <c r="FJ494" s="707"/>
      <c r="FK494" s="707"/>
      <c r="FL494" s="707"/>
      <c r="FM494" s="707"/>
      <c r="FN494" s="707"/>
      <c r="FO494" s="707"/>
      <c r="FP494" s="707"/>
      <c r="FQ494" s="707"/>
      <c r="FR494" s="707"/>
      <c r="FS494" s="707"/>
      <c r="FT494" s="707"/>
      <c r="FU494" s="707"/>
      <c r="FV494" s="707"/>
      <c r="FW494" s="707"/>
      <c r="FX494" s="707"/>
      <c r="FY494" s="707"/>
      <c r="FZ494" s="707"/>
      <c r="GA494" s="707"/>
      <c r="GB494" s="707"/>
      <c r="GC494" s="707"/>
      <c r="GD494" s="707"/>
      <c r="GE494" s="707"/>
      <c r="GF494" s="707"/>
      <c r="GG494" s="707"/>
      <c r="GH494" s="707"/>
      <c r="GI494" s="707"/>
      <c r="GJ494" s="707"/>
      <c r="GK494" s="707"/>
      <c r="GL494" s="707"/>
      <c r="GM494" s="707"/>
      <c r="GN494" s="707"/>
      <c r="GO494" s="707"/>
      <c r="GP494" s="707"/>
      <c r="GQ494" s="707"/>
      <c r="GR494" s="707"/>
      <c r="GS494" s="707"/>
      <c r="GT494" s="707"/>
      <c r="GU494" s="707"/>
      <c r="GV494" s="707"/>
      <c r="GW494" s="707"/>
      <c r="GX494" s="707"/>
      <c r="GY494" s="707"/>
      <c r="GZ494" s="707"/>
      <c r="HA494" s="707"/>
      <c r="HB494" s="707"/>
      <c r="HC494" s="707"/>
      <c r="HD494" s="707"/>
      <c r="HE494" s="707"/>
      <c r="HF494" s="707"/>
      <c r="HG494" s="707"/>
      <c r="HH494" s="707"/>
      <c r="HI494" s="707"/>
      <c r="HJ494" s="707"/>
      <c r="HK494" s="707"/>
      <c r="HL494" s="707"/>
      <c r="HM494" s="707"/>
      <c r="HN494" s="707"/>
      <c r="HO494" s="707"/>
      <c r="HP494" s="707"/>
      <c r="HQ494" s="707"/>
      <c r="HR494" s="707"/>
      <c r="HS494" s="707"/>
      <c r="HT494" s="707"/>
      <c r="HU494" s="707"/>
      <c r="HV494" s="707"/>
      <c r="HW494" s="707"/>
      <c r="HX494" s="707"/>
      <c r="HY494" s="707"/>
      <c r="HZ494" s="707"/>
      <c r="IA494" s="707"/>
      <c r="IB494" s="707"/>
      <c r="IC494" s="707"/>
      <c r="ID494" s="707"/>
      <c r="IE494" s="707"/>
      <c r="IF494" s="707"/>
      <c r="IG494" s="707"/>
      <c r="IH494" s="707"/>
      <c r="II494" s="707"/>
      <c r="IJ494" s="707"/>
      <c r="IK494" s="707"/>
      <c r="IL494" s="707"/>
      <c r="IM494" s="707"/>
      <c r="IN494" s="707"/>
      <c r="IO494" s="707"/>
      <c r="IP494" s="707"/>
      <c r="IQ494" s="707"/>
      <c r="IR494" s="707"/>
      <c r="IS494" s="707"/>
      <c r="IT494" s="707"/>
      <c r="IU494" s="707"/>
      <c r="IV494" s="707"/>
      <c r="IW494" s="707"/>
    </row>
    <row r="495" customFormat="false" ht="12.75" hidden="false" customHeight="false" outlineLevel="1" collapsed="false">
      <c r="A495" s="388"/>
      <c r="B495" s="717"/>
      <c r="C495" s="717"/>
      <c r="D495" s="717"/>
      <c r="E495" s="713"/>
      <c r="F495" s="713"/>
      <c r="G495" s="713"/>
      <c r="H495" s="713"/>
      <c r="I495" s="713"/>
      <c r="J495" s="713"/>
      <c r="K495" s="713"/>
      <c r="L495" s="713"/>
      <c r="M495" s="713"/>
      <c r="N495" s="713"/>
      <c r="O495" s="713"/>
      <c r="P495" s="713"/>
      <c r="Q495" s="713"/>
      <c r="R495" s="713"/>
      <c r="S495" s="713"/>
      <c r="T495" s="713"/>
      <c r="U495" s="713"/>
      <c r="V495" s="713"/>
      <c r="W495" s="713"/>
      <c r="X495" s="713"/>
      <c r="Y495" s="713"/>
      <c r="Z495" s="713"/>
      <c r="AA495" s="707"/>
      <c r="AB495" s="707"/>
      <c r="AC495" s="707"/>
      <c r="AD495" s="707"/>
      <c r="AE495" s="707"/>
      <c r="AF495" s="707"/>
      <c r="AG495" s="707"/>
      <c r="AH495" s="707"/>
      <c r="AI495" s="707"/>
      <c r="AJ495" s="707"/>
      <c r="AK495" s="707"/>
      <c r="AL495" s="707"/>
      <c r="AM495" s="707"/>
      <c r="AN495" s="707"/>
      <c r="AO495" s="707"/>
      <c r="AP495" s="707"/>
      <c r="AQ495" s="707"/>
      <c r="AR495" s="707"/>
      <c r="AS495" s="707"/>
      <c r="AT495" s="707"/>
      <c r="AU495" s="707"/>
      <c r="AV495" s="707"/>
      <c r="AW495" s="707"/>
      <c r="AX495" s="707"/>
      <c r="AY495" s="707"/>
      <c r="AZ495" s="707"/>
      <c r="BA495" s="707"/>
      <c r="BB495" s="707"/>
      <c r="BC495" s="707"/>
      <c r="BD495" s="707"/>
      <c r="BE495" s="707"/>
      <c r="BF495" s="707"/>
      <c r="BG495" s="707"/>
      <c r="BH495" s="707"/>
      <c r="BI495" s="707"/>
      <c r="BJ495" s="707"/>
      <c r="BK495" s="707"/>
      <c r="BL495" s="707"/>
      <c r="BM495" s="707"/>
      <c r="BN495" s="707"/>
      <c r="BO495" s="707"/>
      <c r="BP495" s="707"/>
      <c r="BQ495" s="707"/>
      <c r="BR495" s="707"/>
      <c r="BS495" s="707"/>
      <c r="BT495" s="707"/>
      <c r="BU495" s="707"/>
      <c r="BV495" s="707"/>
      <c r="BW495" s="707"/>
      <c r="BX495" s="707"/>
      <c r="BY495" s="707"/>
      <c r="BZ495" s="707"/>
      <c r="CA495" s="707"/>
      <c r="CB495" s="707"/>
      <c r="CC495" s="707"/>
      <c r="CD495" s="707"/>
      <c r="CE495" s="707"/>
      <c r="CF495" s="707"/>
      <c r="CG495" s="707"/>
      <c r="CH495" s="707"/>
      <c r="CI495" s="707"/>
      <c r="CJ495" s="707"/>
      <c r="CK495" s="707"/>
      <c r="CL495" s="707"/>
      <c r="CM495" s="707"/>
      <c r="CN495" s="707"/>
      <c r="CO495" s="707"/>
      <c r="CP495" s="707"/>
      <c r="CQ495" s="707"/>
      <c r="CR495" s="707"/>
      <c r="CS495" s="707"/>
      <c r="CT495" s="707"/>
      <c r="CU495" s="707"/>
      <c r="CV495" s="707"/>
      <c r="CW495" s="707"/>
      <c r="CX495" s="707"/>
      <c r="CY495" s="707"/>
      <c r="CZ495" s="707"/>
      <c r="DA495" s="707"/>
      <c r="DB495" s="707"/>
      <c r="DC495" s="707"/>
      <c r="DD495" s="707"/>
      <c r="DE495" s="707"/>
      <c r="DF495" s="707"/>
      <c r="DG495" s="707"/>
      <c r="DH495" s="707"/>
      <c r="DI495" s="707"/>
      <c r="DJ495" s="707"/>
      <c r="DK495" s="707"/>
      <c r="DL495" s="707"/>
      <c r="DM495" s="707"/>
      <c r="DN495" s="707"/>
      <c r="DO495" s="707"/>
      <c r="DP495" s="707"/>
      <c r="DQ495" s="707"/>
      <c r="DR495" s="707"/>
      <c r="DS495" s="707"/>
      <c r="DT495" s="707"/>
      <c r="DU495" s="707"/>
      <c r="DV495" s="707"/>
      <c r="DW495" s="707"/>
      <c r="DX495" s="707"/>
      <c r="DY495" s="707"/>
      <c r="DZ495" s="707"/>
      <c r="EA495" s="707"/>
      <c r="EB495" s="707"/>
      <c r="EC495" s="707"/>
      <c r="ED495" s="707"/>
      <c r="EE495" s="707"/>
      <c r="EF495" s="707"/>
      <c r="EG495" s="707"/>
      <c r="EH495" s="707"/>
      <c r="EI495" s="707"/>
      <c r="EJ495" s="707"/>
      <c r="EK495" s="707"/>
      <c r="EL495" s="707"/>
      <c r="EM495" s="707"/>
      <c r="EN495" s="707"/>
      <c r="EO495" s="707"/>
      <c r="EP495" s="707"/>
      <c r="EQ495" s="707"/>
      <c r="ER495" s="707"/>
      <c r="ES495" s="707"/>
      <c r="ET495" s="707"/>
      <c r="EU495" s="707"/>
      <c r="EV495" s="707"/>
      <c r="EW495" s="707"/>
      <c r="EX495" s="707"/>
      <c r="EY495" s="707"/>
      <c r="EZ495" s="707"/>
      <c r="FA495" s="707"/>
      <c r="FB495" s="707"/>
      <c r="FC495" s="707"/>
      <c r="FD495" s="707"/>
      <c r="FE495" s="707"/>
      <c r="FF495" s="707"/>
      <c r="FG495" s="707"/>
      <c r="FH495" s="707"/>
      <c r="FI495" s="707"/>
      <c r="FJ495" s="707"/>
      <c r="FK495" s="707"/>
      <c r="FL495" s="707"/>
      <c r="FM495" s="707"/>
      <c r="FN495" s="707"/>
      <c r="FO495" s="707"/>
      <c r="FP495" s="707"/>
      <c r="FQ495" s="707"/>
      <c r="FR495" s="707"/>
      <c r="FS495" s="707"/>
      <c r="FT495" s="707"/>
      <c r="FU495" s="707"/>
      <c r="FV495" s="707"/>
      <c r="FW495" s="707"/>
      <c r="FX495" s="707"/>
      <c r="FY495" s="707"/>
      <c r="FZ495" s="707"/>
      <c r="GA495" s="707"/>
      <c r="GB495" s="707"/>
      <c r="GC495" s="707"/>
      <c r="GD495" s="707"/>
      <c r="GE495" s="707"/>
      <c r="GF495" s="707"/>
      <c r="GG495" s="707"/>
      <c r="GH495" s="707"/>
      <c r="GI495" s="707"/>
      <c r="GJ495" s="707"/>
      <c r="GK495" s="707"/>
      <c r="GL495" s="707"/>
      <c r="GM495" s="707"/>
      <c r="GN495" s="707"/>
      <c r="GO495" s="707"/>
      <c r="GP495" s="707"/>
      <c r="GQ495" s="707"/>
      <c r="GR495" s="707"/>
      <c r="GS495" s="707"/>
      <c r="GT495" s="707"/>
      <c r="GU495" s="707"/>
      <c r="GV495" s="707"/>
      <c r="GW495" s="707"/>
      <c r="GX495" s="707"/>
      <c r="GY495" s="707"/>
      <c r="GZ495" s="707"/>
      <c r="HA495" s="707"/>
      <c r="HB495" s="707"/>
      <c r="HC495" s="707"/>
      <c r="HD495" s="707"/>
      <c r="HE495" s="707"/>
      <c r="HF495" s="707"/>
      <c r="HG495" s="707"/>
      <c r="HH495" s="707"/>
      <c r="HI495" s="707"/>
      <c r="HJ495" s="707"/>
      <c r="HK495" s="707"/>
      <c r="HL495" s="707"/>
      <c r="HM495" s="707"/>
      <c r="HN495" s="707"/>
      <c r="HO495" s="707"/>
      <c r="HP495" s="707"/>
      <c r="HQ495" s="707"/>
      <c r="HR495" s="707"/>
      <c r="HS495" s="707"/>
      <c r="HT495" s="707"/>
      <c r="HU495" s="707"/>
      <c r="HV495" s="707"/>
      <c r="HW495" s="707"/>
      <c r="HX495" s="707"/>
      <c r="HY495" s="707"/>
      <c r="HZ495" s="707"/>
      <c r="IA495" s="707"/>
      <c r="IB495" s="707"/>
      <c r="IC495" s="707"/>
      <c r="ID495" s="707"/>
      <c r="IE495" s="707"/>
      <c r="IF495" s="707"/>
      <c r="IG495" s="707"/>
      <c r="IH495" s="707"/>
      <c r="II495" s="707"/>
      <c r="IJ495" s="707"/>
      <c r="IK495" s="707"/>
      <c r="IL495" s="707"/>
      <c r="IM495" s="707"/>
      <c r="IN495" s="707"/>
      <c r="IO495" s="707"/>
      <c r="IP495" s="707"/>
      <c r="IQ495" s="707"/>
      <c r="IR495" s="707"/>
      <c r="IS495" s="707"/>
      <c r="IT495" s="707"/>
      <c r="IU495" s="707"/>
      <c r="IV495" s="707"/>
      <c r="IW495" s="707"/>
    </row>
    <row r="496" customFormat="false" ht="12.75" hidden="false" customHeight="false" outlineLevel="1" collapsed="false">
      <c r="A496" s="681"/>
      <c r="B496" s="717"/>
      <c r="C496" s="717"/>
      <c r="D496" s="717"/>
      <c r="E496" s="406"/>
      <c r="F496" s="406"/>
      <c r="G496" s="406"/>
      <c r="H496" s="406"/>
      <c r="I496" s="406"/>
      <c r="J496" s="406"/>
      <c r="K496" s="406"/>
      <c r="L496" s="406"/>
      <c r="M496" s="406"/>
      <c r="N496" s="406"/>
      <c r="O496" s="406"/>
      <c r="P496" s="406"/>
      <c r="Q496" s="406"/>
      <c r="R496" s="406"/>
      <c r="S496" s="406"/>
      <c r="T496" s="406"/>
      <c r="U496" s="406"/>
      <c r="V496" s="406"/>
      <c r="W496" s="406"/>
      <c r="X496" s="406"/>
      <c r="Y496" s="406"/>
      <c r="Z496" s="406"/>
      <c r="AA496" s="707"/>
      <c r="AB496" s="707"/>
      <c r="AC496" s="707"/>
      <c r="AD496" s="707"/>
      <c r="AE496" s="707"/>
      <c r="AF496" s="707"/>
      <c r="AG496" s="707"/>
      <c r="AH496" s="707"/>
      <c r="AI496" s="707"/>
      <c r="AJ496" s="707"/>
      <c r="AK496" s="707"/>
      <c r="AL496" s="707"/>
      <c r="AM496" s="707"/>
      <c r="AN496" s="707"/>
      <c r="AO496" s="707"/>
      <c r="AP496" s="707"/>
      <c r="AQ496" s="707"/>
      <c r="AR496" s="707"/>
      <c r="AS496" s="707"/>
      <c r="AT496" s="707"/>
      <c r="AU496" s="707"/>
      <c r="AV496" s="707"/>
      <c r="AW496" s="707"/>
      <c r="AX496" s="707"/>
      <c r="AY496" s="707"/>
      <c r="AZ496" s="707"/>
      <c r="BA496" s="707"/>
      <c r="BB496" s="707"/>
      <c r="BC496" s="707"/>
      <c r="BD496" s="707"/>
      <c r="BE496" s="707"/>
      <c r="BF496" s="707"/>
      <c r="BG496" s="707"/>
      <c r="BH496" s="707"/>
      <c r="BI496" s="707"/>
      <c r="BJ496" s="707"/>
      <c r="BK496" s="707"/>
      <c r="BL496" s="707"/>
      <c r="BM496" s="707"/>
      <c r="BN496" s="707"/>
      <c r="BO496" s="707"/>
      <c r="BP496" s="707"/>
      <c r="BQ496" s="707"/>
      <c r="BR496" s="707"/>
      <c r="BS496" s="707"/>
      <c r="BT496" s="707"/>
      <c r="BU496" s="707"/>
      <c r="BV496" s="707"/>
      <c r="BW496" s="707"/>
      <c r="BX496" s="707"/>
      <c r="BY496" s="707"/>
      <c r="BZ496" s="707"/>
      <c r="CA496" s="707"/>
      <c r="CB496" s="707"/>
      <c r="CC496" s="707"/>
      <c r="CD496" s="707"/>
      <c r="CE496" s="707"/>
      <c r="CF496" s="707"/>
      <c r="CG496" s="707"/>
      <c r="CH496" s="707"/>
      <c r="CI496" s="707"/>
      <c r="CJ496" s="707"/>
      <c r="CK496" s="707"/>
      <c r="CL496" s="707"/>
      <c r="CM496" s="707"/>
      <c r="CN496" s="707"/>
      <c r="CO496" s="707"/>
      <c r="CP496" s="707"/>
      <c r="CQ496" s="707"/>
      <c r="CR496" s="707"/>
      <c r="CS496" s="707"/>
      <c r="CT496" s="707"/>
      <c r="CU496" s="707"/>
      <c r="CV496" s="707"/>
      <c r="CW496" s="707"/>
      <c r="CX496" s="707"/>
      <c r="CY496" s="707"/>
      <c r="CZ496" s="707"/>
      <c r="DA496" s="707"/>
      <c r="DB496" s="707"/>
      <c r="DC496" s="707"/>
      <c r="DD496" s="707"/>
      <c r="DE496" s="707"/>
      <c r="DF496" s="707"/>
      <c r="DG496" s="707"/>
      <c r="DH496" s="707"/>
      <c r="DI496" s="707"/>
      <c r="DJ496" s="707"/>
      <c r="DK496" s="707"/>
      <c r="DL496" s="707"/>
      <c r="DM496" s="707"/>
      <c r="DN496" s="707"/>
      <c r="DO496" s="707"/>
      <c r="DP496" s="707"/>
      <c r="DQ496" s="707"/>
      <c r="DR496" s="707"/>
      <c r="DS496" s="707"/>
      <c r="DT496" s="707"/>
      <c r="DU496" s="707"/>
      <c r="DV496" s="707"/>
      <c r="DW496" s="707"/>
      <c r="DX496" s="707"/>
      <c r="DY496" s="707"/>
      <c r="DZ496" s="707"/>
      <c r="EA496" s="707"/>
      <c r="EB496" s="707"/>
      <c r="EC496" s="707"/>
      <c r="ED496" s="707"/>
      <c r="EE496" s="707"/>
      <c r="EF496" s="707"/>
      <c r="EG496" s="707"/>
      <c r="EH496" s="707"/>
      <c r="EI496" s="707"/>
      <c r="EJ496" s="707"/>
      <c r="EK496" s="707"/>
      <c r="EL496" s="707"/>
      <c r="EM496" s="707"/>
      <c r="EN496" s="707"/>
      <c r="EO496" s="707"/>
      <c r="EP496" s="707"/>
      <c r="EQ496" s="707"/>
      <c r="ER496" s="707"/>
      <c r="ES496" s="707"/>
      <c r="ET496" s="707"/>
      <c r="EU496" s="707"/>
      <c r="EV496" s="707"/>
      <c r="EW496" s="707"/>
      <c r="EX496" s="707"/>
      <c r="EY496" s="707"/>
      <c r="EZ496" s="707"/>
      <c r="FA496" s="707"/>
      <c r="FB496" s="707"/>
      <c r="FC496" s="707"/>
      <c r="FD496" s="707"/>
      <c r="FE496" s="707"/>
      <c r="FF496" s="707"/>
      <c r="FG496" s="707"/>
      <c r="FH496" s="707"/>
      <c r="FI496" s="707"/>
      <c r="FJ496" s="707"/>
      <c r="FK496" s="707"/>
      <c r="FL496" s="707"/>
      <c r="FM496" s="707"/>
      <c r="FN496" s="707"/>
      <c r="FO496" s="707"/>
      <c r="FP496" s="707"/>
      <c r="FQ496" s="707"/>
      <c r="FR496" s="707"/>
      <c r="FS496" s="707"/>
      <c r="FT496" s="707"/>
      <c r="FU496" s="707"/>
      <c r="FV496" s="707"/>
      <c r="FW496" s="707"/>
      <c r="FX496" s="707"/>
      <c r="FY496" s="707"/>
      <c r="FZ496" s="707"/>
      <c r="GA496" s="707"/>
      <c r="GB496" s="707"/>
      <c r="GC496" s="707"/>
      <c r="GD496" s="707"/>
      <c r="GE496" s="707"/>
      <c r="GF496" s="707"/>
      <c r="GG496" s="707"/>
      <c r="GH496" s="707"/>
      <c r="GI496" s="707"/>
      <c r="GJ496" s="707"/>
      <c r="GK496" s="707"/>
      <c r="GL496" s="707"/>
      <c r="GM496" s="707"/>
      <c r="GN496" s="707"/>
      <c r="GO496" s="707"/>
      <c r="GP496" s="707"/>
      <c r="GQ496" s="707"/>
      <c r="GR496" s="707"/>
      <c r="GS496" s="707"/>
      <c r="GT496" s="707"/>
      <c r="GU496" s="707"/>
      <c r="GV496" s="707"/>
      <c r="GW496" s="707"/>
      <c r="GX496" s="707"/>
      <c r="GY496" s="707"/>
      <c r="GZ496" s="707"/>
      <c r="HA496" s="707"/>
      <c r="HB496" s="707"/>
      <c r="HC496" s="707"/>
      <c r="HD496" s="707"/>
      <c r="HE496" s="707"/>
      <c r="HF496" s="707"/>
      <c r="HG496" s="707"/>
      <c r="HH496" s="707"/>
      <c r="HI496" s="707"/>
      <c r="HJ496" s="707"/>
      <c r="HK496" s="707"/>
      <c r="HL496" s="707"/>
      <c r="HM496" s="707"/>
      <c r="HN496" s="707"/>
      <c r="HO496" s="707"/>
      <c r="HP496" s="707"/>
      <c r="HQ496" s="707"/>
      <c r="HR496" s="707"/>
      <c r="HS496" s="707"/>
      <c r="HT496" s="707"/>
      <c r="HU496" s="707"/>
      <c r="HV496" s="707"/>
      <c r="HW496" s="707"/>
      <c r="HX496" s="707"/>
      <c r="HY496" s="707"/>
      <c r="HZ496" s="707"/>
      <c r="IA496" s="707"/>
      <c r="IB496" s="707"/>
      <c r="IC496" s="707"/>
      <c r="ID496" s="707"/>
      <c r="IE496" s="707"/>
      <c r="IF496" s="707"/>
      <c r="IG496" s="707"/>
      <c r="IH496" s="707"/>
      <c r="II496" s="707"/>
      <c r="IJ496" s="707"/>
      <c r="IK496" s="707"/>
      <c r="IL496" s="707"/>
      <c r="IM496" s="707"/>
      <c r="IN496" s="707"/>
      <c r="IO496" s="707"/>
      <c r="IP496" s="707"/>
      <c r="IQ496" s="707"/>
      <c r="IR496" s="707"/>
      <c r="IS496" s="707"/>
      <c r="IT496" s="707"/>
      <c r="IU496" s="707"/>
      <c r="IV496" s="707"/>
      <c r="IW496" s="707"/>
    </row>
    <row r="497" customFormat="false" ht="12.75" hidden="false" customHeight="false" outlineLevel="1" collapsed="false">
      <c r="A497" s="367"/>
      <c r="B497" s="719"/>
      <c r="C497" s="719"/>
      <c r="D497" s="719"/>
      <c r="E497" s="713"/>
      <c r="F497" s="713"/>
      <c r="G497" s="713"/>
      <c r="H497" s="713"/>
      <c r="I497" s="713"/>
      <c r="J497" s="713"/>
      <c r="K497" s="713"/>
      <c r="L497" s="713"/>
      <c r="M497" s="713"/>
      <c r="N497" s="713"/>
      <c r="O497" s="713"/>
      <c r="P497" s="713"/>
      <c r="Q497" s="713"/>
      <c r="R497" s="713"/>
      <c r="S497" s="713"/>
      <c r="T497" s="713"/>
      <c r="U497" s="713"/>
      <c r="V497" s="713"/>
      <c r="W497" s="713"/>
      <c r="X497" s="713"/>
      <c r="Y497" s="713"/>
      <c r="Z497" s="713"/>
      <c r="AA497" s="707"/>
      <c r="AB497" s="707"/>
      <c r="AC497" s="707"/>
      <c r="AD497" s="707"/>
      <c r="AE497" s="707"/>
      <c r="AF497" s="707"/>
      <c r="AG497" s="707"/>
      <c r="AH497" s="707"/>
      <c r="AI497" s="707"/>
      <c r="AJ497" s="707"/>
      <c r="AK497" s="707"/>
      <c r="AL497" s="707"/>
      <c r="AM497" s="707"/>
      <c r="AN497" s="707"/>
      <c r="AO497" s="707"/>
      <c r="AP497" s="707"/>
      <c r="AQ497" s="707"/>
      <c r="AR497" s="707"/>
      <c r="AS497" s="707"/>
      <c r="AT497" s="707"/>
      <c r="AU497" s="707"/>
      <c r="AV497" s="707"/>
      <c r="AW497" s="707"/>
      <c r="AX497" s="707"/>
      <c r="AY497" s="707"/>
      <c r="AZ497" s="707"/>
      <c r="BA497" s="707"/>
      <c r="BB497" s="707"/>
      <c r="BC497" s="707"/>
      <c r="BD497" s="707"/>
      <c r="BE497" s="707"/>
      <c r="BF497" s="707"/>
      <c r="BG497" s="707"/>
      <c r="BH497" s="707"/>
      <c r="BI497" s="707"/>
      <c r="BJ497" s="707"/>
      <c r="BK497" s="707"/>
      <c r="BL497" s="707"/>
      <c r="BM497" s="707"/>
      <c r="BN497" s="707"/>
      <c r="BO497" s="707"/>
      <c r="BP497" s="707"/>
      <c r="BQ497" s="707"/>
      <c r="BR497" s="707"/>
      <c r="BS497" s="707"/>
      <c r="BT497" s="707"/>
      <c r="BU497" s="707"/>
      <c r="BV497" s="707"/>
      <c r="BW497" s="707"/>
      <c r="BX497" s="707"/>
      <c r="BY497" s="707"/>
      <c r="BZ497" s="707"/>
      <c r="CA497" s="707"/>
      <c r="CB497" s="707"/>
      <c r="CC497" s="707"/>
      <c r="CD497" s="707"/>
      <c r="CE497" s="707"/>
      <c r="CF497" s="707"/>
      <c r="CG497" s="707"/>
      <c r="CH497" s="707"/>
      <c r="CI497" s="707"/>
      <c r="CJ497" s="707"/>
      <c r="CK497" s="707"/>
      <c r="CL497" s="707"/>
      <c r="CM497" s="707"/>
      <c r="CN497" s="707"/>
      <c r="CO497" s="707"/>
      <c r="CP497" s="707"/>
      <c r="CQ497" s="707"/>
      <c r="CR497" s="707"/>
      <c r="CS497" s="707"/>
      <c r="CT497" s="707"/>
      <c r="CU497" s="707"/>
      <c r="CV497" s="707"/>
      <c r="CW497" s="707"/>
      <c r="CX497" s="707"/>
      <c r="CY497" s="707"/>
      <c r="CZ497" s="707"/>
      <c r="DA497" s="707"/>
      <c r="DB497" s="707"/>
      <c r="DC497" s="707"/>
      <c r="DD497" s="707"/>
      <c r="DE497" s="707"/>
      <c r="DF497" s="707"/>
      <c r="DG497" s="707"/>
      <c r="DH497" s="707"/>
      <c r="DI497" s="707"/>
      <c r="DJ497" s="707"/>
      <c r="DK497" s="707"/>
      <c r="DL497" s="707"/>
      <c r="DM497" s="707"/>
      <c r="DN497" s="707"/>
      <c r="DO497" s="707"/>
      <c r="DP497" s="707"/>
      <c r="DQ497" s="707"/>
      <c r="DR497" s="707"/>
      <c r="DS497" s="707"/>
      <c r="DT497" s="707"/>
      <c r="DU497" s="707"/>
      <c r="DV497" s="707"/>
      <c r="DW497" s="707"/>
      <c r="DX497" s="707"/>
      <c r="DY497" s="707"/>
      <c r="DZ497" s="707"/>
      <c r="EA497" s="707"/>
      <c r="EB497" s="707"/>
      <c r="EC497" s="707"/>
      <c r="ED497" s="707"/>
      <c r="EE497" s="707"/>
      <c r="EF497" s="707"/>
      <c r="EG497" s="707"/>
      <c r="EH497" s="707"/>
      <c r="EI497" s="707"/>
      <c r="EJ497" s="707"/>
      <c r="EK497" s="707"/>
      <c r="EL497" s="707"/>
      <c r="EM497" s="707"/>
      <c r="EN497" s="707"/>
      <c r="EO497" s="707"/>
      <c r="EP497" s="707"/>
      <c r="EQ497" s="707"/>
      <c r="ER497" s="707"/>
      <c r="ES497" s="707"/>
      <c r="ET497" s="707"/>
      <c r="EU497" s="707"/>
      <c r="EV497" s="707"/>
      <c r="EW497" s="707"/>
      <c r="EX497" s="707"/>
      <c r="EY497" s="707"/>
      <c r="EZ497" s="707"/>
      <c r="FA497" s="707"/>
      <c r="FB497" s="707"/>
      <c r="FC497" s="707"/>
      <c r="FD497" s="707"/>
      <c r="FE497" s="707"/>
      <c r="FF497" s="707"/>
      <c r="FG497" s="707"/>
      <c r="FH497" s="707"/>
      <c r="FI497" s="707"/>
      <c r="FJ497" s="707"/>
      <c r="FK497" s="707"/>
      <c r="FL497" s="707"/>
      <c r="FM497" s="707"/>
      <c r="FN497" s="707"/>
      <c r="FO497" s="707"/>
      <c r="FP497" s="707"/>
      <c r="FQ497" s="707"/>
      <c r="FR497" s="707"/>
      <c r="FS497" s="707"/>
      <c r="FT497" s="707"/>
      <c r="FU497" s="707"/>
      <c r="FV497" s="707"/>
      <c r="FW497" s="707"/>
      <c r="FX497" s="707"/>
      <c r="FY497" s="707"/>
      <c r="FZ497" s="707"/>
      <c r="GA497" s="707"/>
      <c r="GB497" s="707"/>
      <c r="GC497" s="707"/>
      <c r="GD497" s="707"/>
      <c r="GE497" s="707"/>
      <c r="GF497" s="707"/>
      <c r="GG497" s="707"/>
      <c r="GH497" s="707"/>
      <c r="GI497" s="707"/>
      <c r="GJ497" s="707"/>
      <c r="GK497" s="707"/>
      <c r="GL497" s="707"/>
      <c r="GM497" s="707"/>
      <c r="GN497" s="707"/>
      <c r="GO497" s="707"/>
      <c r="GP497" s="707"/>
      <c r="GQ497" s="707"/>
      <c r="GR497" s="707"/>
      <c r="GS497" s="707"/>
      <c r="GT497" s="707"/>
      <c r="GU497" s="707"/>
      <c r="GV497" s="707"/>
      <c r="GW497" s="707"/>
      <c r="GX497" s="707"/>
      <c r="GY497" s="707"/>
      <c r="GZ497" s="707"/>
      <c r="HA497" s="707"/>
      <c r="HB497" s="707"/>
      <c r="HC497" s="707"/>
      <c r="HD497" s="707"/>
      <c r="HE497" s="707"/>
      <c r="HF497" s="707"/>
      <c r="HG497" s="707"/>
      <c r="HH497" s="707"/>
      <c r="HI497" s="707"/>
      <c r="HJ497" s="707"/>
      <c r="HK497" s="707"/>
      <c r="HL497" s="707"/>
      <c r="HM497" s="707"/>
      <c r="HN497" s="707"/>
      <c r="HO497" s="707"/>
      <c r="HP497" s="707"/>
      <c r="HQ497" s="707"/>
      <c r="HR497" s="707"/>
      <c r="HS497" s="707"/>
      <c r="HT497" s="707"/>
      <c r="HU497" s="707"/>
      <c r="HV497" s="707"/>
      <c r="HW497" s="707"/>
      <c r="HX497" s="707"/>
      <c r="HY497" s="707"/>
      <c r="HZ497" s="707"/>
      <c r="IA497" s="707"/>
      <c r="IB497" s="707"/>
      <c r="IC497" s="707"/>
      <c r="ID497" s="707"/>
      <c r="IE497" s="707"/>
      <c r="IF497" s="707"/>
      <c r="IG497" s="707"/>
      <c r="IH497" s="707"/>
      <c r="II497" s="707"/>
      <c r="IJ497" s="707"/>
      <c r="IK497" s="707"/>
      <c r="IL497" s="707"/>
      <c r="IM497" s="707"/>
      <c r="IN497" s="707"/>
      <c r="IO497" s="707"/>
      <c r="IP497" s="707"/>
      <c r="IQ497" s="707"/>
      <c r="IR497" s="707"/>
      <c r="IS497" s="707"/>
      <c r="IT497" s="707"/>
      <c r="IU497" s="707"/>
      <c r="IV497" s="707"/>
      <c r="IW497" s="707"/>
    </row>
    <row r="498" customFormat="false" ht="13.9" hidden="false" customHeight="true" outlineLevel="1" collapsed="false">
      <c r="A498" s="366"/>
      <c r="B498" s="719"/>
      <c r="C498" s="719"/>
      <c r="D498" s="719"/>
      <c r="E498" s="713"/>
      <c r="F498" s="713"/>
      <c r="G498" s="713"/>
      <c r="H498" s="713"/>
      <c r="I498" s="713"/>
      <c r="J498" s="713"/>
      <c r="K498" s="713"/>
      <c r="L498" s="713"/>
      <c r="M498" s="713"/>
      <c r="N498" s="713"/>
      <c r="O498" s="713"/>
      <c r="P498" s="713"/>
      <c r="Q498" s="713"/>
      <c r="R498" s="713"/>
      <c r="S498" s="713"/>
      <c r="T498" s="713"/>
      <c r="U498" s="713"/>
      <c r="V498" s="713"/>
      <c r="W498" s="713"/>
      <c r="X498" s="713"/>
      <c r="Y498" s="713"/>
      <c r="Z498" s="713"/>
      <c r="AA498" s="707"/>
      <c r="AB498" s="707"/>
      <c r="AC498" s="707"/>
      <c r="AD498" s="707"/>
      <c r="AE498" s="707"/>
      <c r="AF498" s="707"/>
      <c r="AG498" s="707"/>
      <c r="AH498" s="707"/>
      <c r="AI498" s="707"/>
      <c r="AJ498" s="707"/>
      <c r="AK498" s="707"/>
      <c r="AL498" s="707"/>
      <c r="AM498" s="707"/>
      <c r="AN498" s="707"/>
      <c r="AO498" s="707"/>
      <c r="AP498" s="707"/>
      <c r="AQ498" s="707"/>
      <c r="AR498" s="707"/>
      <c r="AS498" s="707"/>
      <c r="AT498" s="707"/>
      <c r="AU498" s="707"/>
      <c r="AV498" s="707"/>
      <c r="AW498" s="707"/>
      <c r="AX498" s="707"/>
      <c r="AY498" s="707"/>
      <c r="AZ498" s="707"/>
      <c r="BA498" s="707"/>
      <c r="BB498" s="707"/>
      <c r="BC498" s="707"/>
      <c r="BD498" s="707"/>
      <c r="BE498" s="707"/>
      <c r="BF498" s="707"/>
      <c r="BG498" s="707"/>
      <c r="BH498" s="707"/>
      <c r="BI498" s="707"/>
      <c r="BJ498" s="707"/>
      <c r="BK498" s="707"/>
      <c r="BL498" s="707"/>
      <c r="BM498" s="707"/>
      <c r="BN498" s="707"/>
      <c r="BO498" s="707"/>
      <c r="BP498" s="707"/>
      <c r="BQ498" s="707"/>
      <c r="BR498" s="707"/>
      <c r="BS498" s="707"/>
      <c r="BT498" s="707"/>
      <c r="BU498" s="707"/>
      <c r="BV498" s="707"/>
      <c r="BW498" s="707"/>
      <c r="BX498" s="707"/>
      <c r="BY498" s="707"/>
      <c r="BZ498" s="707"/>
      <c r="CA498" s="707"/>
      <c r="CB498" s="707"/>
      <c r="CC498" s="707"/>
      <c r="CD498" s="707"/>
      <c r="CE498" s="707"/>
      <c r="CF498" s="707"/>
      <c r="CG498" s="707"/>
      <c r="CH498" s="707"/>
      <c r="CI498" s="707"/>
      <c r="CJ498" s="707"/>
      <c r="CK498" s="707"/>
      <c r="CL498" s="707"/>
      <c r="CM498" s="707"/>
      <c r="CN498" s="707"/>
      <c r="CO498" s="707"/>
      <c r="CP498" s="707"/>
      <c r="CQ498" s="707"/>
      <c r="CR498" s="707"/>
      <c r="CS498" s="707"/>
      <c r="CT498" s="707"/>
      <c r="CU498" s="707"/>
      <c r="CV498" s="707"/>
      <c r="CW498" s="707"/>
      <c r="CX498" s="707"/>
      <c r="CY498" s="707"/>
      <c r="CZ498" s="707"/>
      <c r="DA498" s="707"/>
      <c r="DB498" s="707"/>
      <c r="DC498" s="707"/>
      <c r="DD498" s="707"/>
      <c r="DE498" s="707"/>
      <c r="DF498" s="707"/>
      <c r="DG498" s="707"/>
      <c r="DH498" s="707"/>
      <c r="DI498" s="707"/>
      <c r="DJ498" s="707"/>
      <c r="DK498" s="707"/>
      <c r="DL498" s="707"/>
      <c r="DM498" s="707"/>
      <c r="DN498" s="707"/>
      <c r="DO498" s="707"/>
      <c r="DP498" s="707"/>
      <c r="DQ498" s="707"/>
      <c r="DR498" s="707"/>
      <c r="DS498" s="707"/>
      <c r="DT498" s="707"/>
      <c r="DU498" s="707"/>
      <c r="DV498" s="707"/>
      <c r="DW498" s="707"/>
      <c r="DX498" s="707"/>
      <c r="DY498" s="707"/>
      <c r="DZ498" s="707"/>
      <c r="EA498" s="707"/>
      <c r="EB498" s="707"/>
      <c r="EC498" s="707"/>
      <c r="ED498" s="707"/>
      <c r="EE498" s="707"/>
      <c r="EF498" s="707"/>
      <c r="EG498" s="707"/>
      <c r="EH498" s="707"/>
      <c r="EI498" s="707"/>
      <c r="EJ498" s="707"/>
      <c r="EK498" s="707"/>
      <c r="EL498" s="707"/>
      <c r="EM498" s="707"/>
      <c r="EN498" s="707"/>
      <c r="EO498" s="707"/>
      <c r="EP498" s="707"/>
      <c r="EQ498" s="707"/>
      <c r="ER498" s="707"/>
      <c r="ES498" s="707"/>
      <c r="ET498" s="707"/>
      <c r="EU498" s="707"/>
      <c r="EV498" s="707"/>
      <c r="EW498" s="707"/>
      <c r="EX498" s="707"/>
      <c r="EY498" s="707"/>
      <c r="EZ498" s="707"/>
      <c r="FA498" s="707"/>
      <c r="FB498" s="707"/>
      <c r="FC498" s="707"/>
      <c r="FD498" s="707"/>
      <c r="FE498" s="707"/>
      <c r="FF498" s="707"/>
      <c r="FG498" s="707"/>
      <c r="FH498" s="707"/>
      <c r="FI498" s="707"/>
      <c r="FJ498" s="707"/>
      <c r="FK498" s="707"/>
      <c r="FL498" s="707"/>
      <c r="FM498" s="707"/>
      <c r="FN498" s="707"/>
      <c r="FO498" s="707"/>
      <c r="FP498" s="707"/>
      <c r="FQ498" s="707"/>
      <c r="FR498" s="707"/>
      <c r="FS498" s="707"/>
      <c r="FT498" s="707"/>
      <c r="FU498" s="707"/>
      <c r="FV498" s="707"/>
      <c r="FW498" s="707"/>
      <c r="FX498" s="707"/>
      <c r="FY498" s="707"/>
      <c r="FZ498" s="707"/>
      <c r="GA498" s="707"/>
      <c r="GB498" s="707"/>
      <c r="GC498" s="707"/>
      <c r="GD498" s="707"/>
      <c r="GE498" s="707"/>
      <c r="GF498" s="707"/>
      <c r="GG498" s="707"/>
      <c r="GH498" s="707"/>
      <c r="GI498" s="707"/>
      <c r="GJ498" s="707"/>
      <c r="GK498" s="707"/>
      <c r="GL498" s="707"/>
      <c r="GM498" s="707"/>
      <c r="GN498" s="707"/>
      <c r="GO498" s="707"/>
      <c r="GP498" s="707"/>
      <c r="GQ498" s="707"/>
      <c r="GR498" s="707"/>
      <c r="GS498" s="707"/>
      <c r="GT498" s="707"/>
      <c r="GU498" s="707"/>
      <c r="GV498" s="707"/>
      <c r="GW498" s="707"/>
      <c r="GX498" s="707"/>
      <c r="GY498" s="707"/>
      <c r="GZ498" s="707"/>
      <c r="HA498" s="707"/>
      <c r="HB498" s="707"/>
      <c r="HC498" s="707"/>
      <c r="HD498" s="707"/>
      <c r="HE498" s="707"/>
      <c r="HF498" s="707"/>
      <c r="HG498" s="707"/>
      <c r="HH498" s="707"/>
      <c r="HI498" s="707"/>
      <c r="HJ498" s="707"/>
      <c r="HK498" s="707"/>
      <c r="HL498" s="707"/>
      <c r="HM498" s="707"/>
      <c r="HN498" s="707"/>
      <c r="HO498" s="707"/>
      <c r="HP498" s="707"/>
      <c r="HQ498" s="707"/>
      <c r="HR498" s="707"/>
      <c r="HS498" s="707"/>
      <c r="HT498" s="707"/>
      <c r="HU498" s="707"/>
      <c r="HV498" s="707"/>
      <c r="HW498" s="707"/>
      <c r="HX498" s="707"/>
      <c r="HY498" s="707"/>
      <c r="HZ498" s="707"/>
      <c r="IA498" s="707"/>
      <c r="IB498" s="707"/>
      <c r="IC498" s="707"/>
      <c r="ID498" s="707"/>
      <c r="IE498" s="707"/>
      <c r="IF498" s="707"/>
      <c r="IG498" s="707"/>
      <c r="IH498" s="707"/>
      <c r="II498" s="707"/>
      <c r="IJ498" s="707"/>
      <c r="IK498" s="707"/>
      <c r="IL498" s="707"/>
      <c r="IM498" s="707"/>
      <c r="IN498" s="707"/>
      <c r="IO498" s="707"/>
      <c r="IP498" s="707"/>
      <c r="IQ498" s="707"/>
      <c r="IR498" s="707"/>
      <c r="IS498" s="707"/>
      <c r="IT498" s="707"/>
      <c r="IU498" s="707"/>
      <c r="IV498" s="707"/>
      <c r="IW498" s="707"/>
    </row>
    <row r="499" customFormat="false" ht="12.75" hidden="false" customHeight="false" outlineLevel="1" collapsed="false">
      <c r="A499" s="720"/>
      <c r="B499" s="721"/>
      <c r="C499" s="721"/>
      <c r="D499" s="721"/>
      <c r="E499" s="713"/>
      <c r="F499" s="713"/>
      <c r="G499" s="713"/>
      <c r="H499" s="713"/>
      <c r="I499" s="713"/>
      <c r="J499" s="713"/>
      <c r="K499" s="713"/>
      <c r="L499" s="713"/>
      <c r="M499" s="713"/>
      <c r="N499" s="713"/>
      <c r="O499" s="713"/>
      <c r="P499" s="713"/>
      <c r="Q499" s="713"/>
      <c r="R499" s="713"/>
      <c r="S499" s="713"/>
      <c r="T499" s="713"/>
      <c r="U499" s="713"/>
      <c r="V499" s="713"/>
      <c r="W499" s="713"/>
      <c r="X499" s="713"/>
      <c r="Y499" s="713"/>
      <c r="Z499" s="713"/>
      <c r="AA499" s="722"/>
      <c r="AB499" s="722"/>
      <c r="AC499" s="722"/>
      <c r="AD499" s="722"/>
      <c r="AE499" s="722"/>
      <c r="AF499" s="722"/>
      <c r="AG499" s="722"/>
      <c r="AH499" s="722"/>
      <c r="AI499" s="722"/>
      <c r="AJ499" s="722"/>
      <c r="AK499" s="722"/>
      <c r="AL499" s="722"/>
      <c r="AM499" s="722"/>
      <c r="AN499" s="722"/>
      <c r="AO499" s="722"/>
      <c r="AP499" s="722"/>
      <c r="AQ499" s="722"/>
      <c r="AR499" s="722"/>
      <c r="AS499" s="722"/>
      <c r="AT499" s="722"/>
      <c r="AU499" s="722"/>
      <c r="AV499" s="722"/>
      <c r="AW499" s="722"/>
      <c r="AX499" s="722"/>
      <c r="AY499" s="722"/>
      <c r="AZ499" s="722"/>
      <c r="BA499" s="722"/>
      <c r="BB499" s="722"/>
      <c r="BC499" s="722"/>
      <c r="BD499" s="722"/>
      <c r="BE499" s="722"/>
      <c r="BF499" s="722"/>
      <c r="BG499" s="722"/>
      <c r="BH499" s="722"/>
      <c r="BI499" s="722"/>
      <c r="BJ499" s="722"/>
      <c r="BK499" s="722"/>
      <c r="BL499" s="722"/>
      <c r="BM499" s="722"/>
      <c r="BN499" s="722"/>
      <c r="BO499" s="722"/>
      <c r="BP499" s="722"/>
      <c r="BQ499" s="722"/>
      <c r="BR499" s="722"/>
      <c r="BS499" s="722"/>
      <c r="BT499" s="722"/>
      <c r="BU499" s="722"/>
      <c r="BV499" s="722"/>
      <c r="BW499" s="722"/>
      <c r="BX499" s="722"/>
      <c r="BY499" s="722"/>
      <c r="BZ499" s="722"/>
      <c r="CA499" s="722"/>
      <c r="CB499" s="722"/>
      <c r="CC499" s="722"/>
      <c r="CD499" s="722"/>
      <c r="CE499" s="722"/>
      <c r="CF499" s="722"/>
      <c r="CG499" s="722"/>
      <c r="CH499" s="722"/>
      <c r="CI499" s="722"/>
      <c r="CJ499" s="722"/>
      <c r="CK499" s="722"/>
      <c r="CL499" s="722"/>
      <c r="CM499" s="722"/>
      <c r="CN499" s="722"/>
      <c r="CO499" s="722"/>
      <c r="CP499" s="722"/>
      <c r="CQ499" s="722"/>
      <c r="CR499" s="722"/>
      <c r="CS499" s="722"/>
      <c r="CT499" s="722"/>
      <c r="CU499" s="722"/>
      <c r="CV499" s="722"/>
      <c r="CW499" s="722"/>
      <c r="CX499" s="722"/>
      <c r="CY499" s="722"/>
      <c r="CZ499" s="722"/>
      <c r="DA499" s="722"/>
      <c r="DB499" s="722"/>
      <c r="DC499" s="722"/>
      <c r="DD499" s="722"/>
      <c r="DE499" s="722"/>
      <c r="DF499" s="722"/>
      <c r="DG499" s="722"/>
      <c r="DH499" s="722"/>
      <c r="DI499" s="722"/>
      <c r="DJ499" s="722"/>
      <c r="DK499" s="722"/>
      <c r="DL499" s="722"/>
      <c r="DM499" s="722"/>
      <c r="DN499" s="722"/>
      <c r="DO499" s="722"/>
      <c r="DP499" s="722"/>
      <c r="DQ499" s="722"/>
      <c r="DR499" s="722"/>
      <c r="DS499" s="722"/>
      <c r="DT499" s="722"/>
      <c r="DU499" s="722"/>
      <c r="DV499" s="722"/>
      <c r="DW499" s="722"/>
      <c r="DX499" s="722"/>
      <c r="DY499" s="722"/>
      <c r="DZ499" s="722"/>
      <c r="EA499" s="722"/>
      <c r="EB499" s="722"/>
      <c r="EC499" s="722"/>
      <c r="ED499" s="722"/>
      <c r="EE499" s="722"/>
      <c r="EF499" s="722"/>
      <c r="EG499" s="722"/>
      <c r="EH499" s="722"/>
      <c r="EI499" s="722"/>
      <c r="EJ499" s="722"/>
      <c r="EK499" s="722"/>
      <c r="EL499" s="722"/>
      <c r="EM499" s="722"/>
      <c r="EN499" s="722"/>
      <c r="EO499" s="722"/>
      <c r="EP499" s="722"/>
      <c r="EQ499" s="722"/>
      <c r="ER499" s="722"/>
      <c r="ES499" s="722"/>
      <c r="ET499" s="722"/>
      <c r="EU499" s="722"/>
      <c r="EV499" s="722"/>
      <c r="EW499" s="722"/>
      <c r="EX499" s="722"/>
      <c r="EY499" s="722"/>
      <c r="EZ499" s="722"/>
      <c r="FA499" s="722"/>
      <c r="FB499" s="722"/>
      <c r="FC499" s="722"/>
      <c r="FD499" s="722"/>
      <c r="FE499" s="722"/>
      <c r="FF499" s="722"/>
      <c r="FG499" s="722"/>
      <c r="FH499" s="722"/>
      <c r="FI499" s="722"/>
      <c r="FJ499" s="722"/>
      <c r="FK499" s="722"/>
      <c r="FL499" s="722"/>
      <c r="FM499" s="722"/>
      <c r="FN499" s="722"/>
      <c r="FO499" s="722"/>
      <c r="FP499" s="722"/>
      <c r="FQ499" s="722"/>
      <c r="FR499" s="722"/>
      <c r="FS499" s="722"/>
      <c r="FT499" s="722"/>
      <c r="FU499" s="722"/>
      <c r="FV499" s="722"/>
      <c r="FW499" s="722"/>
      <c r="FX499" s="722"/>
      <c r="FY499" s="722"/>
      <c r="FZ499" s="722"/>
      <c r="GA499" s="722"/>
      <c r="GB499" s="722"/>
      <c r="GC499" s="722"/>
      <c r="GD499" s="722"/>
      <c r="GE499" s="722"/>
      <c r="GF499" s="722"/>
      <c r="GG499" s="722"/>
      <c r="GH499" s="722"/>
      <c r="GI499" s="722"/>
      <c r="GJ499" s="722"/>
      <c r="GK499" s="722"/>
      <c r="GL499" s="722"/>
      <c r="GM499" s="722"/>
      <c r="GN499" s="722"/>
      <c r="GO499" s="722"/>
      <c r="GP499" s="722"/>
      <c r="GQ499" s="722"/>
      <c r="GR499" s="722"/>
      <c r="GS499" s="722"/>
      <c r="GT499" s="722"/>
      <c r="GU499" s="722"/>
      <c r="GV499" s="722"/>
      <c r="GW499" s="722"/>
      <c r="GX499" s="722"/>
      <c r="GY499" s="722"/>
      <c r="GZ499" s="722"/>
      <c r="HA499" s="722"/>
      <c r="HB499" s="722"/>
      <c r="HC499" s="722"/>
      <c r="HD499" s="722"/>
      <c r="HE499" s="722"/>
      <c r="HF499" s="722"/>
      <c r="HG499" s="722"/>
      <c r="HH499" s="722"/>
      <c r="HI499" s="722"/>
      <c r="HJ499" s="722"/>
      <c r="HK499" s="722"/>
      <c r="HL499" s="722"/>
      <c r="HM499" s="722"/>
      <c r="HN499" s="722"/>
      <c r="HO499" s="722"/>
      <c r="HP499" s="722"/>
      <c r="HQ499" s="722"/>
      <c r="HR499" s="722"/>
      <c r="HS499" s="722"/>
      <c r="HT499" s="722"/>
      <c r="HU499" s="722"/>
      <c r="HV499" s="722"/>
      <c r="HW499" s="722"/>
      <c r="HX499" s="722"/>
      <c r="HY499" s="722"/>
      <c r="HZ499" s="722"/>
      <c r="IA499" s="722"/>
      <c r="IB499" s="722"/>
      <c r="IC499" s="722"/>
      <c r="ID499" s="722"/>
      <c r="IE499" s="722"/>
      <c r="IF499" s="722"/>
      <c r="IG499" s="722"/>
      <c r="IH499" s="722"/>
      <c r="II499" s="722"/>
      <c r="IJ499" s="722"/>
      <c r="IK499" s="722"/>
      <c r="IL499" s="722"/>
      <c r="IM499" s="722"/>
      <c r="IN499" s="722"/>
      <c r="IO499" s="722"/>
      <c r="IP499" s="722"/>
      <c r="IQ499" s="722"/>
      <c r="IR499" s="722"/>
      <c r="IS499" s="722"/>
      <c r="IT499" s="722"/>
      <c r="IU499" s="722"/>
      <c r="IV499" s="722"/>
      <c r="IW499" s="722"/>
    </row>
    <row r="500" customFormat="false" ht="12.75" hidden="false" customHeight="false" outlineLevel="1" collapsed="false">
      <c r="A500" s="366"/>
      <c r="B500" s="714"/>
      <c r="C500" s="714"/>
      <c r="D500" s="714"/>
      <c r="E500" s="713"/>
      <c r="F500" s="713"/>
      <c r="G500" s="713"/>
      <c r="H500" s="713"/>
      <c r="I500" s="713"/>
      <c r="J500" s="713"/>
      <c r="K500" s="713"/>
      <c r="L500" s="713"/>
      <c r="M500" s="713"/>
      <c r="N500" s="713"/>
      <c r="O500" s="713"/>
      <c r="P500" s="713"/>
      <c r="Q500" s="713"/>
      <c r="R500" s="713"/>
      <c r="S500" s="713"/>
      <c r="T500" s="713"/>
      <c r="U500" s="713"/>
      <c r="V500" s="713"/>
      <c r="W500" s="713"/>
      <c r="X500" s="713"/>
      <c r="Y500" s="713"/>
      <c r="Z500" s="713"/>
      <c r="AA500" s="707"/>
      <c r="AB500" s="707"/>
      <c r="AC500" s="707"/>
      <c r="AD500" s="707"/>
      <c r="AE500" s="707"/>
      <c r="AF500" s="707"/>
      <c r="AG500" s="707"/>
      <c r="AH500" s="707"/>
      <c r="AI500" s="707"/>
      <c r="AJ500" s="707"/>
      <c r="AK500" s="707"/>
      <c r="AL500" s="707"/>
      <c r="AM500" s="707"/>
      <c r="AN500" s="707"/>
      <c r="AO500" s="707"/>
      <c r="AP500" s="707"/>
      <c r="AQ500" s="707"/>
      <c r="AR500" s="707"/>
      <c r="AS500" s="707"/>
      <c r="AT500" s="707"/>
      <c r="AU500" s="707"/>
      <c r="AV500" s="707"/>
      <c r="AW500" s="707"/>
      <c r="AX500" s="707"/>
      <c r="AY500" s="707"/>
      <c r="AZ500" s="707"/>
      <c r="BA500" s="707"/>
      <c r="BB500" s="707"/>
      <c r="BC500" s="707"/>
      <c r="BD500" s="707"/>
      <c r="BE500" s="707"/>
      <c r="BF500" s="707"/>
      <c r="BG500" s="707"/>
      <c r="BH500" s="707"/>
      <c r="BI500" s="707"/>
      <c r="BJ500" s="707"/>
      <c r="BK500" s="707"/>
      <c r="BL500" s="707"/>
      <c r="BM500" s="707"/>
      <c r="BN500" s="707"/>
      <c r="BO500" s="707"/>
      <c r="BP500" s="707"/>
      <c r="BQ500" s="707"/>
      <c r="BR500" s="707"/>
      <c r="BS500" s="707"/>
      <c r="BT500" s="707"/>
      <c r="BU500" s="707"/>
      <c r="BV500" s="707"/>
      <c r="BW500" s="707"/>
      <c r="BX500" s="707"/>
      <c r="BY500" s="707"/>
      <c r="BZ500" s="707"/>
      <c r="CA500" s="707"/>
      <c r="CB500" s="707"/>
      <c r="CC500" s="707"/>
      <c r="CD500" s="707"/>
      <c r="CE500" s="707"/>
      <c r="CF500" s="707"/>
      <c r="CG500" s="707"/>
      <c r="CH500" s="707"/>
      <c r="CI500" s="707"/>
      <c r="CJ500" s="707"/>
      <c r="CK500" s="707"/>
      <c r="CL500" s="707"/>
      <c r="CM500" s="707"/>
      <c r="CN500" s="707"/>
      <c r="CO500" s="707"/>
      <c r="CP500" s="707"/>
      <c r="CQ500" s="707"/>
      <c r="CR500" s="707"/>
      <c r="CS500" s="707"/>
      <c r="CT500" s="707"/>
      <c r="CU500" s="707"/>
      <c r="CV500" s="707"/>
      <c r="CW500" s="707"/>
      <c r="CX500" s="707"/>
      <c r="CY500" s="707"/>
      <c r="CZ500" s="707"/>
      <c r="DA500" s="707"/>
      <c r="DB500" s="707"/>
      <c r="DC500" s="707"/>
      <c r="DD500" s="707"/>
      <c r="DE500" s="707"/>
      <c r="DF500" s="707"/>
      <c r="DG500" s="707"/>
      <c r="DH500" s="707"/>
      <c r="DI500" s="707"/>
      <c r="DJ500" s="707"/>
      <c r="DK500" s="707"/>
      <c r="DL500" s="707"/>
      <c r="DM500" s="707"/>
      <c r="DN500" s="707"/>
      <c r="DO500" s="707"/>
      <c r="DP500" s="707"/>
      <c r="DQ500" s="707"/>
      <c r="DR500" s="707"/>
      <c r="DS500" s="707"/>
      <c r="DT500" s="707"/>
      <c r="DU500" s="707"/>
      <c r="DV500" s="707"/>
      <c r="DW500" s="707"/>
      <c r="DX500" s="707"/>
      <c r="DY500" s="707"/>
      <c r="DZ500" s="707"/>
      <c r="EA500" s="707"/>
      <c r="EB500" s="707"/>
      <c r="EC500" s="707"/>
      <c r="ED500" s="707"/>
      <c r="EE500" s="707"/>
      <c r="EF500" s="707"/>
      <c r="EG500" s="707"/>
      <c r="EH500" s="707"/>
      <c r="EI500" s="707"/>
      <c r="EJ500" s="707"/>
      <c r="EK500" s="707"/>
      <c r="EL500" s="707"/>
      <c r="EM500" s="707"/>
      <c r="EN500" s="707"/>
      <c r="EO500" s="707"/>
      <c r="EP500" s="707"/>
      <c r="EQ500" s="707"/>
      <c r="ER500" s="707"/>
      <c r="ES500" s="707"/>
      <c r="ET500" s="707"/>
      <c r="EU500" s="707"/>
      <c r="EV500" s="707"/>
      <c r="EW500" s="707"/>
      <c r="EX500" s="707"/>
      <c r="EY500" s="707"/>
      <c r="EZ500" s="707"/>
      <c r="FA500" s="707"/>
      <c r="FB500" s="707"/>
      <c r="FC500" s="707"/>
      <c r="FD500" s="707"/>
      <c r="FE500" s="707"/>
      <c r="FF500" s="707"/>
      <c r="FG500" s="707"/>
      <c r="FH500" s="707"/>
      <c r="FI500" s="707"/>
      <c r="FJ500" s="707"/>
      <c r="FK500" s="707"/>
      <c r="FL500" s="707"/>
      <c r="FM500" s="707"/>
      <c r="FN500" s="707"/>
      <c r="FO500" s="707"/>
      <c r="FP500" s="707"/>
      <c r="FQ500" s="707"/>
      <c r="FR500" s="707"/>
      <c r="FS500" s="707"/>
      <c r="FT500" s="707"/>
      <c r="FU500" s="707"/>
      <c r="FV500" s="707"/>
      <c r="FW500" s="707"/>
      <c r="FX500" s="707"/>
      <c r="FY500" s="707"/>
      <c r="FZ500" s="707"/>
      <c r="GA500" s="707"/>
      <c r="GB500" s="707"/>
      <c r="GC500" s="707"/>
      <c r="GD500" s="707"/>
      <c r="GE500" s="707"/>
      <c r="GF500" s="707"/>
      <c r="GG500" s="707"/>
      <c r="GH500" s="707"/>
      <c r="GI500" s="707"/>
      <c r="GJ500" s="707"/>
      <c r="GK500" s="707"/>
      <c r="GL500" s="707"/>
      <c r="GM500" s="707"/>
      <c r="GN500" s="707"/>
      <c r="GO500" s="707"/>
      <c r="GP500" s="707"/>
      <c r="GQ500" s="707"/>
      <c r="GR500" s="707"/>
      <c r="GS500" s="707"/>
      <c r="GT500" s="707"/>
      <c r="GU500" s="707"/>
      <c r="GV500" s="707"/>
      <c r="GW500" s="707"/>
      <c r="GX500" s="707"/>
      <c r="GY500" s="707"/>
      <c r="GZ500" s="707"/>
      <c r="HA500" s="707"/>
      <c r="HB500" s="707"/>
      <c r="HC500" s="707"/>
      <c r="HD500" s="707"/>
      <c r="HE500" s="707"/>
      <c r="HF500" s="707"/>
      <c r="HG500" s="707"/>
      <c r="HH500" s="707"/>
      <c r="HI500" s="707"/>
      <c r="HJ500" s="707"/>
      <c r="HK500" s="707"/>
      <c r="HL500" s="707"/>
      <c r="HM500" s="707"/>
      <c r="HN500" s="707"/>
      <c r="HO500" s="707"/>
      <c r="HP500" s="707"/>
      <c r="HQ500" s="707"/>
      <c r="HR500" s="707"/>
      <c r="HS500" s="707"/>
      <c r="HT500" s="707"/>
      <c r="HU500" s="707"/>
      <c r="HV500" s="707"/>
      <c r="HW500" s="707"/>
      <c r="HX500" s="707"/>
      <c r="HY500" s="707"/>
      <c r="HZ500" s="707"/>
      <c r="IA500" s="707"/>
      <c r="IB500" s="707"/>
      <c r="IC500" s="707"/>
      <c r="ID500" s="707"/>
      <c r="IE500" s="707"/>
      <c r="IF500" s="707"/>
      <c r="IG500" s="707"/>
      <c r="IH500" s="707"/>
      <c r="II500" s="707"/>
      <c r="IJ500" s="707"/>
      <c r="IK500" s="707"/>
      <c r="IL500" s="707"/>
      <c r="IM500" s="707"/>
      <c r="IN500" s="707"/>
      <c r="IO500" s="707"/>
      <c r="IP500" s="707"/>
      <c r="IQ500" s="707"/>
      <c r="IR500" s="707"/>
      <c r="IS500" s="707"/>
      <c r="IT500" s="707"/>
      <c r="IU500" s="707"/>
      <c r="IV500" s="707"/>
      <c r="IW500" s="707"/>
    </row>
    <row r="501" customFormat="false" ht="12.75" hidden="false" customHeight="false" outlineLevel="1" collapsed="false">
      <c r="A501" s="367"/>
      <c r="B501" s="714"/>
      <c r="C501" s="714"/>
      <c r="D501" s="714"/>
      <c r="E501" s="713"/>
      <c r="F501" s="713"/>
      <c r="G501" s="713"/>
      <c r="H501" s="713"/>
      <c r="I501" s="713"/>
      <c r="J501" s="713"/>
      <c r="K501" s="713"/>
      <c r="L501" s="713"/>
      <c r="M501" s="713"/>
      <c r="N501" s="713"/>
      <c r="O501" s="713"/>
      <c r="P501" s="713"/>
      <c r="Q501" s="713"/>
      <c r="R501" s="713"/>
      <c r="S501" s="713"/>
      <c r="T501" s="713"/>
      <c r="U501" s="713"/>
      <c r="V501" s="713"/>
      <c r="W501" s="713"/>
      <c r="X501" s="713"/>
      <c r="Y501" s="713"/>
      <c r="Z501" s="713"/>
      <c r="AA501" s="707"/>
      <c r="AB501" s="707"/>
      <c r="AC501" s="707"/>
      <c r="AD501" s="707"/>
      <c r="AE501" s="707"/>
      <c r="AF501" s="707"/>
      <c r="AG501" s="707"/>
      <c r="AH501" s="707"/>
      <c r="AI501" s="707"/>
      <c r="AJ501" s="707"/>
      <c r="AK501" s="707"/>
      <c r="AL501" s="707"/>
      <c r="AM501" s="707"/>
      <c r="AN501" s="707"/>
      <c r="AO501" s="707"/>
      <c r="AP501" s="707"/>
      <c r="AQ501" s="707"/>
      <c r="AR501" s="707"/>
      <c r="AS501" s="707"/>
      <c r="AT501" s="707"/>
      <c r="AU501" s="707"/>
      <c r="AV501" s="707"/>
      <c r="AW501" s="707"/>
      <c r="AX501" s="707"/>
      <c r="AY501" s="707"/>
      <c r="AZ501" s="707"/>
      <c r="BA501" s="707"/>
      <c r="BB501" s="707"/>
      <c r="BC501" s="707"/>
      <c r="BD501" s="707"/>
      <c r="BE501" s="707"/>
      <c r="BF501" s="707"/>
      <c r="BG501" s="707"/>
      <c r="BH501" s="707"/>
      <c r="BI501" s="707"/>
      <c r="BJ501" s="707"/>
      <c r="BK501" s="707"/>
      <c r="BL501" s="707"/>
      <c r="BM501" s="707"/>
      <c r="BN501" s="707"/>
      <c r="BO501" s="707"/>
      <c r="BP501" s="707"/>
      <c r="BQ501" s="707"/>
      <c r="BR501" s="707"/>
      <c r="BS501" s="707"/>
      <c r="BT501" s="707"/>
      <c r="BU501" s="707"/>
      <c r="BV501" s="707"/>
      <c r="BW501" s="707"/>
      <c r="BX501" s="707"/>
      <c r="BY501" s="707"/>
      <c r="BZ501" s="707"/>
      <c r="CA501" s="707"/>
      <c r="CB501" s="707"/>
      <c r="CC501" s="707"/>
      <c r="CD501" s="707"/>
      <c r="CE501" s="707"/>
      <c r="CF501" s="707"/>
      <c r="CG501" s="707"/>
      <c r="CH501" s="707"/>
      <c r="CI501" s="707"/>
      <c r="CJ501" s="707"/>
      <c r="CK501" s="707"/>
      <c r="CL501" s="707"/>
      <c r="CM501" s="707"/>
      <c r="CN501" s="707"/>
      <c r="CO501" s="707"/>
      <c r="CP501" s="707"/>
      <c r="CQ501" s="707"/>
      <c r="CR501" s="707"/>
      <c r="CS501" s="707"/>
      <c r="CT501" s="707"/>
      <c r="CU501" s="707"/>
      <c r="CV501" s="707"/>
      <c r="CW501" s="707"/>
      <c r="CX501" s="707"/>
      <c r="CY501" s="707"/>
      <c r="CZ501" s="707"/>
      <c r="DA501" s="707"/>
      <c r="DB501" s="707"/>
      <c r="DC501" s="707"/>
      <c r="DD501" s="707"/>
      <c r="DE501" s="707"/>
      <c r="DF501" s="707"/>
      <c r="DG501" s="707"/>
      <c r="DH501" s="707"/>
      <c r="DI501" s="707"/>
      <c r="DJ501" s="707"/>
      <c r="DK501" s="707"/>
      <c r="DL501" s="707"/>
      <c r="DM501" s="707"/>
      <c r="DN501" s="707"/>
      <c r="DO501" s="707"/>
      <c r="DP501" s="707"/>
      <c r="DQ501" s="707"/>
      <c r="DR501" s="707"/>
      <c r="DS501" s="707"/>
      <c r="DT501" s="707"/>
      <c r="DU501" s="707"/>
      <c r="DV501" s="707"/>
      <c r="DW501" s="707"/>
      <c r="DX501" s="707"/>
      <c r="DY501" s="707"/>
      <c r="DZ501" s="707"/>
      <c r="EA501" s="707"/>
      <c r="EB501" s="707"/>
      <c r="EC501" s="707"/>
      <c r="ED501" s="707"/>
      <c r="EE501" s="707"/>
      <c r="EF501" s="707"/>
      <c r="EG501" s="707"/>
      <c r="EH501" s="707"/>
      <c r="EI501" s="707"/>
      <c r="EJ501" s="707"/>
      <c r="EK501" s="707"/>
      <c r="EL501" s="707"/>
      <c r="EM501" s="707"/>
      <c r="EN501" s="707"/>
      <c r="EO501" s="707"/>
      <c r="EP501" s="707"/>
      <c r="EQ501" s="707"/>
      <c r="ER501" s="707"/>
      <c r="ES501" s="707"/>
      <c r="ET501" s="707"/>
      <c r="EU501" s="707"/>
      <c r="EV501" s="707"/>
      <c r="EW501" s="707"/>
      <c r="EX501" s="707"/>
      <c r="EY501" s="707"/>
      <c r="EZ501" s="707"/>
      <c r="FA501" s="707"/>
      <c r="FB501" s="707"/>
      <c r="FC501" s="707"/>
      <c r="FD501" s="707"/>
      <c r="FE501" s="707"/>
      <c r="FF501" s="707"/>
      <c r="FG501" s="707"/>
      <c r="FH501" s="707"/>
      <c r="FI501" s="707"/>
      <c r="FJ501" s="707"/>
      <c r="FK501" s="707"/>
      <c r="FL501" s="707"/>
      <c r="FM501" s="707"/>
      <c r="FN501" s="707"/>
      <c r="FO501" s="707"/>
      <c r="FP501" s="707"/>
      <c r="FQ501" s="707"/>
      <c r="FR501" s="707"/>
      <c r="FS501" s="707"/>
      <c r="FT501" s="707"/>
      <c r="FU501" s="707"/>
      <c r="FV501" s="707"/>
      <c r="FW501" s="707"/>
      <c r="FX501" s="707"/>
      <c r="FY501" s="707"/>
      <c r="FZ501" s="707"/>
      <c r="GA501" s="707"/>
      <c r="GB501" s="707"/>
      <c r="GC501" s="707"/>
      <c r="GD501" s="707"/>
      <c r="GE501" s="707"/>
      <c r="GF501" s="707"/>
      <c r="GG501" s="707"/>
      <c r="GH501" s="707"/>
      <c r="GI501" s="707"/>
      <c r="GJ501" s="707"/>
      <c r="GK501" s="707"/>
      <c r="GL501" s="707"/>
      <c r="GM501" s="707"/>
      <c r="GN501" s="707"/>
      <c r="GO501" s="707"/>
      <c r="GP501" s="707"/>
      <c r="GQ501" s="707"/>
      <c r="GR501" s="707"/>
      <c r="GS501" s="707"/>
      <c r="GT501" s="707"/>
      <c r="GU501" s="707"/>
      <c r="GV501" s="707"/>
      <c r="GW501" s="707"/>
      <c r="GX501" s="707"/>
      <c r="GY501" s="707"/>
      <c r="GZ501" s="707"/>
      <c r="HA501" s="707"/>
      <c r="HB501" s="707"/>
      <c r="HC501" s="707"/>
      <c r="HD501" s="707"/>
      <c r="HE501" s="707"/>
      <c r="HF501" s="707"/>
      <c r="HG501" s="707"/>
      <c r="HH501" s="707"/>
      <c r="HI501" s="707"/>
      <c r="HJ501" s="707"/>
      <c r="HK501" s="707"/>
      <c r="HL501" s="707"/>
      <c r="HM501" s="707"/>
      <c r="HN501" s="707"/>
      <c r="HO501" s="707"/>
      <c r="HP501" s="707"/>
      <c r="HQ501" s="707"/>
      <c r="HR501" s="707"/>
      <c r="HS501" s="707"/>
      <c r="HT501" s="707"/>
      <c r="HU501" s="707"/>
      <c r="HV501" s="707"/>
      <c r="HW501" s="707"/>
      <c r="HX501" s="707"/>
      <c r="HY501" s="707"/>
      <c r="HZ501" s="707"/>
      <c r="IA501" s="707"/>
      <c r="IB501" s="707"/>
      <c r="IC501" s="707"/>
      <c r="ID501" s="707"/>
      <c r="IE501" s="707"/>
      <c r="IF501" s="707"/>
      <c r="IG501" s="707"/>
      <c r="IH501" s="707"/>
      <c r="II501" s="707"/>
      <c r="IJ501" s="707"/>
      <c r="IK501" s="707"/>
      <c r="IL501" s="707"/>
      <c r="IM501" s="707"/>
      <c r="IN501" s="707"/>
      <c r="IO501" s="707"/>
      <c r="IP501" s="707"/>
      <c r="IQ501" s="707"/>
      <c r="IR501" s="707"/>
      <c r="IS501" s="707"/>
      <c r="IT501" s="707"/>
      <c r="IU501" s="707"/>
      <c r="IV501" s="707"/>
      <c r="IW501" s="707"/>
    </row>
    <row r="502" customFormat="false" ht="12.75" hidden="false" customHeight="false" outlineLevel="1" collapsed="false">
      <c r="A502" s="367"/>
      <c r="B502" s="723"/>
      <c r="C502" s="723"/>
      <c r="D502" s="723"/>
      <c r="E502" s="713"/>
      <c r="F502" s="713"/>
      <c r="G502" s="713"/>
      <c r="H502" s="713"/>
      <c r="I502" s="713"/>
      <c r="J502" s="713"/>
      <c r="K502" s="713"/>
      <c r="L502" s="713"/>
      <c r="M502" s="713"/>
      <c r="N502" s="713"/>
      <c r="O502" s="713"/>
      <c r="P502" s="713"/>
      <c r="Q502" s="713"/>
      <c r="R502" s="713"/>
      <c r="S502" s="713"/>
      <c r="T502" s="713"/>
      <c r="U502" s="713"/>
      <c r="V502" s="713"/>
      <c r="W502" s="713"/>
      <c r="X502" s="713"/>
      <c r="Y502" s="713"/>
      <c r="Z502" s="713"/>
      <c r="AA502" s="707"/>
      <c r="AB502" s="707"/>
      <c r="AC502" s="707"/>
      <c r="AD502" s="707"/>
      <c r="AE502" s="707"/>
      <c r="AF502" s="707"/>
      <c r="AG502" s="707"/>
      <c r="AH502" s="707"/>
      <c r="AI502" s="707"/>
      <c r="AJ502" s="707"/>
      <c r="AK502" s="707"/>
      <c r="AL502" s="707"/>
      <c r="AM502" s="707"/>
      <c r="AN502" s="707"/>
      <c r="AO502" s="707"/>
      <c r="AP502" s="707"/>
      <c r="AQ502" s="707"/>
      <c r="AR502" s="707"/>
      <c r="AS502" s="707"/>
      <c r="AT502" s="707"/>
      <c r="AU502" s="707"/>
      <c r="AV502" s="707"/>
      <c r="AW502" s="707"/>
      <c r="AX502" s="707"/>
      <c r="AY502" s="707"/>
      <c r="AZ502" s="707"/>
      <c r="BA502" s="707"/>
      <c r="BB502" s="707"/>
      <c r="BC502" s="707"/>
      <c r="BD502" s="707"/>
      <c r="BE502" s="707"/>
      <c r="BF502" s="707"/>
      <c r="BG502" s="707"/>
      <c r="BH502" s="707"/>
      <c r="BI502" s="707"/>
      <c r="BJ502" s="707"/>
      <c r="BK502" s="707"/>
      <c r="BL502" s="707"/>
      <c r="BM502" s="707"/>
      <c r="BN502" s="707"/>
      <c r="BO502" s="707"/>
      <c r="BP502" s="707"/>
      <c r="BQ502" s="707"/>
      <c r="BR502" s="707"/>
      <c r="BS502" s="707"/>
      <c r="BT502" s="707"/>
      <c r="BU502" s="707"/>
      <c r="BV502" s="707"/>
      <c r="BW502" s="707"/>
      <c r="BX502" s="707"/>
      <c r="BY502" s="707"/>
      <c r="BZ502" s="707"/>
      <c r="CA502" s="707"/>
      <c r="CB502" s="707"/>
      <c r="CC502" s="707"/>
      <c r="CD502" s="707"/>
      <c r="CE502" s="707"/>
      <c r="CF502" s="707"/>
      <c r="CG502" s="707"/>
      <c r="CH502" s="707"/>
      <c r="CI502" s="707"/>
      <c r="CJ502" s="707"/>
      <c r="CK502" s="707"/>
      <c r="CL502" s="707"/>
      <c r="CM502" s="707"/>
      <c r="CN502" s="707"/>
      <c r="CO502" s="707"/>
      <c r="CP502" s="707"/>
      <c r="CQ502" s="707"/>
      <c r="CR502" s="707"/>
      <c r="CS502" s="707"/>
      <c r="CT502" s="707"/>
      <c r="CU502" s="707"/>
      <c r="CV502" s="707"/>
      <c r="CW502" s="707"/>
      <c r="CX502" s="707"/>
      <c r="CY502" s="707"/>
      <c r="CZ502" s="707"/>
      <c r="DA502" s="707"/>
      <c r="DB502" s="707"/>
      <c r="DC502" s="707"/>
      <c r="DD502" s="707"/>
      <c r="DE502" s="707"/>
      <c r="DF502" s="707"/>
      <c r="DG502" s="707"/>
      <c r="DH502" s="707"/>
      <c r="DI502" s="707"/>
      <c r="DJ502" s="707"/>
      <c r="DK502" s="707"/>
      <c r="DL502" s="707"/>
      <c r="DM502" s="707"/>
      <c r="DN502" s="707"/>
      <c r="DO502" s="707"/>
      <c r="DP502" s="707"/>
      <c r="DQ502" s="707"/>
      <c r="DR502" s="707"/>
      <c r="DS502" s="707"/>
      <c r="DT502" s="707"/>
      <c r="DU502" s="707"/>
      <c r="DV502" s="707"/>
      <c r="DW502" s="707"/>
      <c r="DX502" s="707"/>
      <c r="DY502" s="707"/>
      <c r="DZ502" s="707"/>
      <c r="EA502" s="707"/>
      <c r="EB502" s="707"/>
      <c r="EC502" s="707"/>
      <c r="ED502" s="707"/>
      <c r="EE502" s="707"/>
      <c r="EF502" s="707"/>
      <c r="EG502" s="707"/>
      <c r="EH502" s="707"/>
      <c r="EI502" s="707"/>
      <c r="EJ502" s="707"/>
      <c r="EK502" s="707"/>
      <c r="EL502" s="707"/>
      <c r="EM502" s="707"/>
      <c r="EN502" s="707"/>
      <c r="EO502" s="707"/>
      <c r="EP502" s="707"/>
      <c r="EQ502" s="707"/>
      <c r="ER502" s="707"/>
      <c r="ES502" s="707"/>
      <c r="ET502" s="707"/>
      <c r="EU502" s="707"/>
      <c r="EV502" s="707"/>
      <c r="EW502" s="707"/>
      <c r="EX502" s="707"/>
      <c r="EY502" s="707"/>
      <c r="EZ502" s="707"/>
      <c r="FA502" s="707"/>
      <c r="FB502" s="707"/>
      <c r="FC502" s="707"/>
      <c r="FD502" s="707"/>
      <c r="FE502" s="707"/>
      <c r="FF502" s="707"/>
      <c r="FG502" s="707"/>
      <c r="FH502" s="707"/>
      <c r="FI502" s="707"/>
      <c r="FJ502" s="707"/>
      <c r="FK502" s="707"/>
      <c r="FL502" s="707"/>
      <c r="FM502" s="707"/>
      <c r="FN502" s="707"/>
      <c r="FO502" s="707"/>
      <c r="FP502" s="707"/>
      <c r="FQ502" s="707"/>
      <c r="FR502" s="707"/>
      <c r="FS502" s="707"/>
      <c r="FT502" s="707"/>
      <c r="FU502" s="707"/>
      <c r="FV502" s="707"/>
      <c r="FW502" s="707"/>
      <c r="FX502" s="707"/>
      <c r="FY502" s="707"/>
      <c r="FZ502" s="707"/>
      <c r="GA502" s="707"/>
      <c r="GB502" s="707"/>
      <c r="GC502" s="707"/>
      <c r="GD502" s="707"/>
      <c r="GE502" s="707"/>
      <c r="GF502" s="707"/>
      <c r="GG502" s="707"/>
      <c r="GH502" s="707"/>
      <c r="GI502" s="707"/>
      <c r="GJ502" s="707"/>
      <c r="GK502" s="707"/>
      <c r="GL502" s="707"/>
      <c r="GM502" s="707"/>
      <c r="GN502" s="707"/>
      <c r="GO502" s="707"/>
      <c r="GP502" s="707"/>
      <c r="GQ502" s="707"/>
      <c r="GR502" s="707"/>
      <c r="GS502" s="707"/>
      <c r="GT502" s="707"/>
      <c r="GU502" s="707"/>
      <c r="GV502" s="707"/>
      <c r="GW502" s="707"/>
      <c r="GX502" s="707"/>
      <c r="GY502" s="707"/>
      <c r="GZ502" s="707"/>
      <c r="HA502" s="707"/>
      <c r="HB502" s="707"/>
      <c r="HC502" s="707"/>
      <c r="HD502" s="707"/>
      <c r="HE502" s="707"/>
      <c r="HF502" s="707"/>
      <c r="HG502" s="707"/>
      <c r="HH502" s="707"/>
      <c r="HI502" s="707"/>
      <c r="HJ502" s="707"/>
      <c r="HK502" s="707"/>
      <c r="HL502" s="707"/>
      <c r="HM502" s="707"/>
      <c r="HN502" s="707"/>
      <c r="HO502" s="707"/>
      <c r="HP502" s="707"/>
      <c r="HQ502" s="707"/>
      <c r="HR502" s="707"/>
      <c r="HS502" s="707"/>
      <c r="HT502" s="707"/>
      <c r="HU502" s="707"/>
      <c r="HV502" s="707"/>
      <c r="HW502" s="707"/>
      <c r="HX502" s="707"/>
      <c r="HY502" s="707"/>
      <c r="HZ502" s="707"/>
      <c r="IA502" s="707"/>
      <c r="IB502" s="707"/>
      <c r="IC502" s="707"/>
      <c r="ID502" s="707"/>
      <c r="IE502" s="707"/>
      <c r="IF502" s="707"/>
      <c r="IG502" s="707"/>
      <c r="IH502" s="707"/>
      <c r="II502" s="707"/>
      <c r="IJ502" s="707"/>
      <c r="IK502" s="707"/>
      <c r="IL502" s="707"/>
      <c r="IM502" s="707"/>
      <c r="IN502" s="707"/>
      <c r="IO502" s="707"/>
      <c r="IP502" s="707"/>
      <c r="IQ502" s="707"/>
      <c r="IR502" s="707"/>
      <c r="IS502" s="707"/>
      <c r="IT502" s="707"/>
      <c r="IU502" s="707"/>
      <c r="IV502" s="707"/>
      <c r="IW502" s="707"/>
    </row>
    <row r="503" customFormat="false" ht="12.75" hidden="false" customHeight="false" outlineLevel="1" collapsed="false">
      <c r="A503" s="367"/>
      <c r="B503" s="723"/>
      <c r="C503" s="723"/>
      <c r="D503" s="723"/>
      <c r="E503" s="713"/>
      <c r="F503" s="713"/>
      <c r="G503" s="713"/>
      <c r="H503" s="713"/>
      <c r="I503" s="713"/>
      <c r="J503" s="713"/>
      <c r="K503" s="713"/>
      <c r="L503" s="713"/>
      <c r="M503" s="713"/>
      <c r="N503" s="713"/>
      <c r="O503" s="713"/>
      <c r="P503" s="713"/>
      <c r="Q503" s="713"/>
      <c r="R503" s="713"/>
      <c r="S503" s="713"/>
      <c r="T503" s="713"/>
      <c r="U503" s="713"/>
      <c r="V503" s="713"/>
      <c r="W503" s="713"/>
      <c r="X503" s="713"/>
      <c r="Y503" s="713"/>
      <c r="Z503" s="713"/>
      <c r="AA503" s="707"/>
      <c r="AB503" s="707"/>
      <c r="AC503" s="707"/>
      <c r="AD503" s="707"/>
      <c r="AE503" s="707"/>
      <c r="AF503" s="707"/>
      <c r="AG503" s="707"/>
      <c r="AH503" s="707"/>
      <c r="AI503" s="707"/>
      <c r="AJ503" s="707"/>
      <c r="AK503" s="707"/>
      <c r="AL503" s="707"/>
      <c r="AM503" s="707"/>
      <c r="AN503" s="707"/>
      <c r="AO503" s="707"/>
      <c r="AP503" s="707"/>
      <c r="AQ503" s="707"/>
      <c r="AR503" s="707"/>
      <c r="AS503" s="707"/>
      <c r="AT503" s="707"/>
      <c r="AU503" s="707"/>
      <c r="AV503" s="707"/>
      <c r="AW503" s="707"/>
      <c r="AX503" s="707"/>
      <c r="AY503" s="707"/>
      <c r="AZ503" s="707"/>
      <c r="BA503" s="707"/>
      <c r="BB503" s="707"/>
      <c r="BC503" s="707"/>
      <c r="BD503" s="707"/>
      <c r="BE503" s="707"/>
      <c r="BF503" s="707"/>
      <c r="BG503" s="707"/>
      <c r="BH503" s="707"/>
      <c r="BI503" s="707"/>
      <c r="BJ503" s="707"/>
      <c r="BK503" s="707"/>
      <c r="BL503" s="707"/>
      <c r="BM503" s="707"/>
      <c r="BN503" s="707"/>
      <c r="BO503" s="707"/>
      <c r="BP503" s="707"/>
      <c r="BQ503" s="707"/>
      <c r="BR503" s="707"/>
      <c r="BS503" s="707"/>
      <c r="BT503" s="707"/>
      <c r="BU503" s="707"/>
      <c r="BV503" s="707"/>
      <c r="BW503" s="707"/>
      <c r="BX503" s="707"/>
      <c r="BY503" s="707"/>
      <c r="BZ503" s="707"/>
      <c r="CA503" s="707"/>
      <c r="CB503" s="707"/>
      <c r="CC503" s="707"/>
      <c r="CD503" s="707"/>
      <c r="CE503" s="707"/>
      <c r="CF503" s="707"/>
      <c r="CG503" s="707"/>
      <c r="CH503" s="707"/>
      <c r="CI503" s="707"/>
      <c r="CJ503" s="707"/>
      <c r="CK503" s="707"/>
      <c r="CL503" s="707"/>
      <c r="CM503" s="707"/>
      <c r="CN503" s="707"/>
      <c r="CO503" s="707"/>
      <c r="CP503" s="707"/>
      <c r="CQ503" s="707"/>
      <c r="CR503" s="707"/>
      <c r="CS503" s="707"/>
      <c r="CT503" s="707"/>
      <c r="CU503" s="707"/>
      <c r="CV503" s="707"/>
      <c r="CW503" s="707"/>
      <c r="CX503" s="707"/>
      <c r="CY503" s="707"/>
      <c r="CZ503" s="707"/>
      <c r="DA503" s="707"/>
      <c r="DB503" s="707"/>
      <c r="DC503" s="707"/>
      <c r="DD503" s="707"/>
      <c r="DE503" s="707"/>
      <c r="DF503" s="707"/>
      <c r="DG503" s="707"/>
      <c r="DH503" s="707"/>
      <c r="DI503" s="707"/>
      <c r="DJ503" s="707"/>
      <c r="DK503" s="707"/>
      <c r="DL503" s="707"/>
      <c r="DM503" s="707"/>
      <c r="DN503" s="707"/>
      <c r="DO503" s="707"/>
      <c r="DP503" s="707"/>
      <c r="DQ503" s="707"/>
      <c r="DR503" s="707"/>
      <c r="DS503" s="707"/>
      <c r="DT503" s="707"/>
      <c r="DU503" s="707"/>
      <c r="DV503" s="707"/>
      <c r="DW503" s="707"/>
      <c r="DX503" s="707"/>
      <c r="DY503" s="707"/>
      <c r="DZ503" s="707"/>
      <c r="EA503" s="707"/>
      <c r="EB503" s="707"/>
      <c r="EC503" s="707"/>
      <c r="ED503" s="707"/>
      <c r="EE503" s="707"/>
      <c r="EF503" s="707"/>
      <c r="EG503" s="707"/>
      <c r="EH503" s="707"/>
      <c r="EI503" s="707"/>
      <c r="EJ503" s="707"/>
      <c r="EK503" s="707"/>
      <c r="EL503" s="707"/>
      <c r="EM503" s="707"/>
      <c r="EN503" s="707"/>
      <c r="EO503" s="707"/>
      <c r="EP503" s="707"/>
      <c r="EQ503" s="707"/>
      <c r="ER503" s="707"/>
      <c r="ES503" s="707"/>
      <c r="ET503" s="707"/>
      <c r="EU503" s="707"/>
      <c r="EV503" s="707"/>
      <c r="EW503" s="707"/>
      <c r="EX503" s="707"/>
      <c r="EY503" s="707"/>
      <c r="EZ503" s="707"/>
      <c r="FA503" s="707"/>
      <c r="FB503" s="707"/>
      <c r="FC503" s="707"/>
      <c r="FD503" s="707"/>
      <c r="FE503" s="707"/>
      <c r="FF503" s="707"/>
      <c r="FG503" s="707"/>
      <c r="FH503" s="707"/>
      <c r="FI503" s="707"/>
      <c r="FJ503" s="707"/>
      <c r="FK503" s="707"/>
      <c r="FL503" s="707"/>
      <c r="FM503" s="707"/>
      <c r="FN503" s="707"/>
      <c r="FO503" s="707"/>
      <c r="FP503" s="707"/>
      <c r="FQ503" s="707"/>
      <c r="FR503" s="707"/>
      <c r="FS503" s="707"/>
      <c r="FT503" s="707"/>
      <c r="FU503" s="707"/>
      <c r="FV503" s="707"/>
      <c r="FW503" s="707"/>
      <c r="FX503" s="707"/>
      <c r="FY503" s="707"/>
      <c r="FZ503" s="707"/>
      <c r="GA503" s="707"/>
      <c r="GB503" s="707"/>
      <c r="GC503" s="707"/>
      <c r="GD503" s="707"/>
      <c r="GE503" s="707"/>
      <c r="GF503" s="707"/>
      <c r="GG503" s="707"/>
      <c r="GH503" s="707"/>
      <c r="GI503" s="707"/>
      <c r="GJ503" s="707"/>
      <c r="GK503" s="707"/>
      <c r="GL503" s="707"/>
      <c r="GM503" s="707"/>
      <c r="GN503" s="707"/>
      <c r="GO503" s="707"/>
      <c r="GP503" s="707"/>
      <c r="GQ503" s="707"/>
      <c r="GR503" s="707"/>
      <c r="GS503" s="707"/>
      <c r="GT503" s="707"/>
      <c r="GU503" s="707"/>
      <c r="GV503" s="707"/>
      <c r="GW503" s="707"/>
      <c r="GX503" s="707"/>
      <c r="GY503" s="707"/>
      <c r="GZ503" s="707"/>
      <c r="HA503" s="707"/>
      <c r="HB503" s="707"/>
      <c r="HC503" s="707"/>
      <c r="HD503" s="707"/>
      <c r="HE503" s="707"/>
      <c r="HF503" s="707"/>
      <c r="HG503" s="707"/>
      <c r="HH503" s="707"/>
      <c r="HI503" s="707"/>
      <c r="HJ503" s="707"/>
      <c r="HK503" s="707"/>
      <c r="HL503" s="707"/>
      <c r="HM503" s="707"/>
      <c r="HN503" s="707"/>
      <c r="HO503" s="707"/>
      <c r="HP503" s="707"/>
      <c r="HQ503" s="707"/>
      <c r="HR503" s="707"/>
      <c r="HS503" s="707"/>
      <c r="HT503" s="707"/>
      <c r="HU503" s="707"/>
      <c r="HV503" s="707"/>
      <c r="HW503" s="707"/>
      <c r="HX503" s="707"/>
      <c r="HY503" s="707"/>
      <c r="HZ503" s="707"/>
      <c r="IA503" s="707"/>
      <c r="IB503" s="707"/>
      <c r="IC503" s="707"/>
      <c r="ID503" s="707"/>
      <c r="IE503" s="707"/>
      <c r="IF503" s="707"/>
      <c r="IG503" s="707"/>
      <c r="IH503" s="707"/>
      <c r="II503" s="707"/>
      <c r="IJ503" s="707"/>
      <c r="IK503" s="707"/>
      <c r="IL503" s="707"/>
      <c r="IM503" s="707"/>
      <c r="IN503" s="707"/>
      <c r="IO503" s="707"/>
      <c r="IP503" s="707"/>
      <c r="IQ503" s="707"/>
      <c r="IR503" s="707"/>
      <c r="IS503" s="707"/>
      <c r="IT503" s="707"/>
      <c r="IU503" s="707"/>
      <c r="IV503" s="707"/>
      <c r="IW503" s="707"/>
    </row>
    <row r="504" customFormat="false" ht="12.75" hidden="false" customHeight="false" outlineLevel="1" collapsed="false">
      <c r="A504" s="367"/>
      <c r="B504" s="723"/>
      <c r="C504" s="723"/>
      <c r="D504" s="723"/>
      <c r="E504" s="713"/>
      <c r="F504" s="713"/>
      <c r="G504" s="713"/>
      <c r="H504" s="713"/>
      <c r="I504" s="713"/>
      <c r="J504" s="713"/>
      <c r="K504" s="713"/>
      <c r="L504" s="713"/>
      <c r="M504" s="713"/>
      <c r="N504" s="713"/>
      <c r="O504" s="713"/>
      <c r="P504" s="713"/>
      <c r="Q504" s="713"/>
      <c r="R504" s="713"/>
      <c r="S504" s="713"/>
      <c r="T504" s="713"/>
      <c r="U504" s="713"/>
      <c r="V504" s="713"/>
      <c r="W504" s="713"/>
      <c r="X504" s="713"/>
      <c r="Y504" s="713"/>
      <c r="Z504" s="713"/>
      <c r="AA504" s="707"/>
      <c r="AB504" s="707"/>
      <c r="AC504" s="707"/>
      <c r="AD504" s="707"/>
      <c r="AE504" s="707"/>
      <c r="AF504" s="707"/>
      <c r="AG504" s="707"/>
      <c r="AH504" s="707"/>
      <c r="AI504" s="707"/>
      <c r="AJ504" s="707"/>
      <c r="AK504" s="707"/>
      <c r="AL504" s="707"/>
      <c r="AM504" s="707"/>
      <c r="AN504" s="707"/>
      <c r="AO504" s="707"/>
      <c r="AP504" s="707"/>
      <c r="AQ504" s="707"/>
      <c r="AR504" s="707"/>
      <c r="AS504" s="707"/>
      <c r="AT504" s="707"/>
      <c r="AU504" s="707"/>
      <c r="AV504" s="707"/>
      <c r="AW504" s="707"/>
      <c r="AX504" s="707"/>
      <c r="AY504" s="707"/>
      <c r="AZ504" s="707"/>
      <c r="BA504" s="707"/>
      <c r="BB504" s="707"/>
      <c r="BC504" s="707"/>
      <c r="BD504" s="707"/>
      <c r="BE504" s="707"/>
      <c r="BF504" s="707"/>
      <c r="BG504" s="707"/>
      <c r="BH504" s="707"/>
      <c r="BI504" s="707"/>
      <c r="BJ504" s="707"/>
      <c r="BK504" s="707"/>
      <c r="BL504" s="707"/>
      <c r="BM504" s="707"/>
      <c r="BN504" s="707"/>
      <c r="BO504" s="707"/>
      <c r="BP504" s="707"/>
      <c r="BQ504" s="707"/>
      <c r="BR504" s="707"/>
      <c r="BS504" s="707"/>
      <c r="BT504" s="707"/>
      <c r="BU504" s="707"/>
      <c r="BV504" s="707"/>
      <c r="BW504" s="707"/>
      <c r="BX504" s="707"/>
      <c r="BY504" s="707"/>
      <c r="BZ504" s="707"/>
      <c r="CA504" s="707"/>
      <c r="CB504" s="707"/>
      <c r="CC504" s="707"/>
      <c r="CD504" s="707"/>
      <c r="CE504" s="707"/>
      <c r="CF504" s="707"/>
      <c r="CG504" s="707"/>
      <c r="CH504" s="707"/>
      <c r="CI504" s="707"/>
      <c r="CJ504" s="707"/>
      <c r="CK504" s="707"/>
      <c r="CL504" s="707"/>
      <c r="CM504" s="707"/>
      <c r="CN504" s="707"/>
      <c r="CO504" s="707"/>
      <c r="CP504" s="707"/>
      <c r="CQ504" s="707"/>
      <c r="CR504" s="707"/>
      <c r="CS504" s="707"/>
      <c r="CT504" s="707"/>
      <c r="CU504" s="707"/>
      <c r="CV504" s="707"/>
      <c r="CW504" s="707"/>
      <c r="CX504" s="707"/>
      <c r="CY504" s="707"/>
      <c r="CZ504" s="707"/>
      <c r="DA504" s="707"/>
      <c r="DB504" s="707"/>
      <c r="DC504" s="707"/>
      <c r="DD504" s="707"/>
      <c r="DE504" s="707"/>
      <c r="DF504" s="707"/>
      <c r="DG504" s="707"/>
      <c r="DH504" s="707"/>
      <c r="DI504" s="707"/>
      <c r="DJ504" s="707"/>
      <c r="DK504" s="707"/>
      <c r="DL504" s="707"/>
      <c r="DM504" s="707"/>
      <c r="DN504" s="707"/>
      <c r="DO504" s="707"/>
      <c r="DP504" s="707"/>
      <c r="DQ504" s="707"/>
      <c r="DR504" s="707"/>
      <c r="DS504" s="707"/>
      <c r="DT504" s="707"/>
      <c r="DU504" s="707"/>
      <c r="DV504" s="707"/>
      <c r="DW504" s="707"/>
      <c r="DX504" s="707"/>
      <c r="DY504" s="707"/>
      <c r="DZ504" s="707"/>
      <c r="EA504" s="707"/>
      <c r="EB504" s="707"/>
      <c r="EC504" s="707"/>
      <c r="ED504" s="707"/>
      <c r="EE504" s="707"/>
      <c r="EF504" s="707"/>
      <c r="EG504" s="707"/>
      <c r="EH504" s="707"/>
      <c r="EI504" s="707"/>
      <c r="EJ504" s="707"/>
      <c r="EK504" s="707"/>
      <c r="EL504" s="707"/>
      <c r="EM504" s="707"/>
      <c r="EN504" s="707"/>
      <c r="EO504" s="707"/>
      <c r="EP504" s="707"/>
      <c r="EQ504" s="707"/>
      <c r="ER504" s="707"/>
      <c r="ES504" s="707"/>
      <c r="ET504" s="707"/>
      <c r="EU504" s="707"/>
      <c r="EV504" s="707"/>
      <c r="EW504" s="707"/>
      <c r="EX504" s="707"/>
      <c r="EY504" s="707"/>
      <c r="EZ504" s="707"/>
      <c r="FA504" s="707"/>
      <c r="FB504" s="707"/>
      <c r="FC504" s="707"/>
      <c r="FD504" s="707"/>
      <c r="FE504" s="707"/>
      <c r="FF504" s="707"/>
      <c r="FG504" s="707"/>
      <c r="FH504" s="707"/>
      <c r="FI504" s="707"/>
      <c r="FJ504" s="707"/>
      <c r="FK504" s="707"/>
      <c r="FL504" s="707"/>
      <c r="FM504" s="707"/>
      <c r="FN504" s="707"/>
      <c r="FO504" s="707"/>
      <c r="FP504" s="707"/>
      <c r="FQ504" s="707"/>
      <c r="FR504" s="707"/>
      <c r="FS504" s="707"/>
      <c r="FT504" s="707"/>
      <c r="FU504" s="707"/>
      <c r="FV504" s="707"/>
      <c r="FW504" s="707"/>
      <c r="FX504" s="707"/>
      <c r="FY504" s="707"/>
      <c r="FZ504" s="707"/>
      <c r="GA504" s="707"/>
      <c r="GB504" s="707"/>
      <c r="GC504" s="707"/>
      <c r="GD504" s="707"/>
      <c r="GE504" s="707"/>
      <c r="GF504" s="707"/>
      <c r="GG504" s="707"/>
      <c r="GH504" s="707"/>
      <c r="GI504" s="707"/>
      <c r="GJ504" s="707"/>
      <c r="GK504" s="707"/>
      <c r="GL504" s="707"/>
      <c r="GM504" s="707"/>
      <c r="GN504" s="707"/>
      <c r="GO504" s="707"/>
      <c r="GP504" s="707"/>
      <c r="GQ504" s="707"/>
      <c r="GR504" s="707"/>
      <c r="GS504" s="707"/>
      <c r="GT504" s="707"/>
      <c r="GU504" s="707"/>
      <c r="GV504" s="707"/>
      <c r="GW504" s="707"/>
      <c r="GX504" s="707"/>
      <c r="GY504" s="707"/>
      <c r="GZ504" s="707"/>
      <c r="HA504" s="707"/>
      <c r="HB504" s="707"/>
      <c r="HC504" s="707"/>
      <c r="HD504" s="707"/>
      <c r="HE504" s="707"/>
      <c r="HF504" s="707"/>
      <c r="HG504" s="707"/>
      <c r="HH504" s="707"/>
      <c r="HI504" s="707"/>
      <c r="HJ504" s="707"/>
      <c r="HK504" s="707"/>
      <c r="HL504" s="707"/>
      <c r="HM504" s="707"/>
      <c r="HN504" s="707"/>
      <c r="HO504" s="707"/>
      <c r="HP504" s="707"/>
      <c r="HQ504" s="707"/>
      <c r="HR504" s="707"/>
      <c r="HS504" s="707"/>
      <c r="HT504" s="707"/>
      <c r="HU504" s="707"/>
      <c r="HV504" s="707"/>
      <c r="HW504" s="707"/>
      <c r="HX504" s="707"/>
      <c r="HY504" s="707"/>
      <c r="HZ504" s="707"/>
      <c r="IA504" s="707"/>
      <c r="IB504" s="707"/>
      <c r="IC504" s="707"/>
      <c r="ID504" s="707"/>
      <c r="IE504" s="707"/>
      <c r="IF504" s="707"/>
      <c r="IG504" s="707"/>
      <c r="IH504" s="707"/>
      <c r="II504" s="707"/>
      <c r="IJ504" s="707"/>
      <c r="IK504" s="707"/>
      <c r="IL504" s="707"/>
      <c r="IM504" s="707"/>
      <c r="IN504" s="707"/>
      <c r="IO504" s="707"/>
      <c r="IP504" s="707"/>
      <c r="IQ504" s="707"/>
      <c r="IR504" s="707"/>
      <c r="IS504" s="707"/>
      <c r="IT504" s="707"/>
      <c r="IU504" s="707"/>
      <c r="IV504" s="707"/>
      <c r="IW504" s="707"/>
    </row>
    <row r="505" customFormat="false" ht="12.75" hidden="false" customHeight="false" outlineLevel="1" collapsed="false">
      <c r="A505" s="388"/>
      <c r="B505" s="707"/>
      <c r="C505" s="707"/>
      <c r="D505" s="707"/>
      <c r="E505" s="713"/>
      <c r="F505" s="713"/>
      <c r="G505" s="713"/>
      <c r="H505" s="713"/>
      <c r="I505" s="713"/>
      <c r="J505" s="713"/>
      <c r="K505" s="713"/>
      <c r="L505" s="713"/>
      <c r="M505" s="713"/>
      <c r="N505" s="713"/>
      <c r="O505" s="713"/>
      <c r="P505" s="713"/>
      <c r="Q505" s="713"/>
      <c r="R505" s="713"/>
      <c r="S505" s="713"/>
      <c r="T505" s="713"/>
      <c r="U505" s="713"/>
      <c r="V505" s="713"/>
      <c r="W505" s="713"/>
      <c r="X505" s="713"/>
      <c r="Y505" s="713"/>
      <c r="Z505" s="713"/>
      <c r="AA505" s="707"/>
      <c r="AB505" s="707"/>
      <c r="AC505" s="707"/>
      <c r="AD505" s="707"/>
      <c r="AE505" s="707"/>
      <c r="AF505" s="707"/>
      <c r="AG505" s="707"/>
      <c r="AH505" s="707"/>
      <c r="AI505" s="707"/>
      <c r="AJ505" s="707"/>
      <c r="AK505" s="707"/>
      <c r="AL505" s="707"/>
      <c r="AM505" s="707"/>
      <c r="AN505" s="707"/>
      <c r="AO505" s="707"/>
      <c r="AP505" s="707"/>
      <c r="AQ505" s="707"/>
      <c r="AR505" s="707"/>
      <c r="AS505" s="707"/>
      <c r="AT505" s="707"/>
      <c r="AU505" s="707"/>
      <c r="AV505" s="707"/>
      <c r="AW505" s="707"/>
      <c r="AX505" s="707"/>
      <c r="AY505" s="707"/>
      <c r="AZ505" s="707"/>
      <c r="BA505" s="707"/>
      <c r="BB505" s="707"/>
      <c r="BC505" s="707"/>
      <c r="BD505" s="707"/>
      <c r="BE505" s="707"/>
      <c r="BF505" s="707"/>
      <c r="BG505" s="707"/>
      <c r="BH505" s="707"/>
      <c r="BI505" s="707"/>
      <c r="BJ505" s="707"/>
      <c r="BK505" s="707"/>
      <c r="BL505" s="707"/>
      <c r="BM505" s="707"/>
      <c r="BN505" s="707"/>
      <c r="BO505" s="707"/>
      <c r="BP505" s="707"/>
      <c r="BQ505" s="707"/>
      <c r="BR505" s="707"/>
      <c r="BS505" s="707"/>
      <c r="BT505" s="707"/>
      <c r="BU505" s="707"/>
      <c r="BV505" s="707"/>
      <c r="BW505" s="707"/>
      <c r="BX505" s="707"/>
      <c r="BY505" s="707"/>
      <c r="BZ505" s="707"/>
      <c r="CA505" s="707"/>
      <c r="CB505" s="707"/>
      <c r="CC505" s="707"/>
      <c r="CD505" s="707"/>
      <c r="CE505" s="707"/>
      <c r="CF505" s="707"/>
      <c r="CG505" s="707"/>
      <c r="CH505" s="707"/>
      <c r="CI505" s="707"/>
      <c r="CJ505" s="707"/>
      <c r="CK505" s="707"/>
      <c r="CL505" s="707"/>
      <c r="CM505" s="707"/>
      <c r="CN505" s="707"/>
      <c r="CO505" s="707"/>
      <c r="CP505" s="707"/>
      <c r="CQ505" s="707"/>
      <c r="CR505" s="707"/>
      <c r="CS505" s="707"/>
      <c r="CT505" s="707"/>
      <c r="CU505" s="707"/>
      <c r="CV505" s="707"/>
      <c r="CW505" s="707"/>
      <c r="CX505" s="707"/>
      <c r="CY505" s="707"/>
      <c r="CZ505" s="707"/>
      <c r="DA505" s="707"/>
      <c r="DB505" s="707"/>
      <c r="DC505" s="707"/>
      <c r="DD505" s="707"/>
      <c r="DE505" s="707"/>
      <c r="DF505" s="707"/>
      <c r="DG505" s="707"/>
      <c r="DH505" s="707"/>
      <c r="DI505" s="707"/>
      <c r="DJ505" s="707"/>
      <c r="DK505" s="707"/>
      <c r="DL505" s="707"/>
      <c r="DM505" s="707"/>
      <c r="DN505" s="707"/>
      <c r="DO505" s="707"/>
      <c r="DP505" s="707"/>
      <c r="DQ505" s="707"/>
      <c r="DR505" s="707"/>
      <c r="DS505" s="707"/>
      <c r="DT505" s="707"/>
      <c r="DU505" s="707"/>
      <c r="DV505" s="707"/>
      <c r="DW505" s="707"/>
      <c r="DX505" s="707"/>
      <c r="DY505" s="707"/>
      <c r="DZ505" s="707"/>
      <c r="EA505" s="707"/>
      <c r="EB505" s="707"/>
      <c r="EC505" s="707"/>
      <c r="ED505" s="707"/>
      <c r="EE505" s="707"/>
      <c r="EF505" s="707"/>
      <c r="EG505" s="707"/>
      <c r="EH505" s="707"/>
      <c r="EI505" s="707"/>
      <c r="EJ505" s="707"/>
      <c r="EK505" s="707"/>
      <c r="EL505" s="707"/>
      <c r="EM505" s="707"/>
      <c r="EN505" s="707"/>
      <c r="EO505" s="707"/>
      <c r="EP505" s="707"/>
      <c r="EQ505" s="707"/>
      <c r="ER505" s="707"/>
      <c r="ES505" s="707"/>
      <c r="ET505" s="707"/>
      <c r="EU505" s="707"/>
      <c r="EV505" s="707"/>
      <c r="EW505" s="707"/>
      <c r="EX505" s="707"/>
      <c r="EY505" s="707"/>
      <c r="EZ505" s="707"/>
      <c r="FA505" s="707"/>
      <c r="FB505" s="707"/>
      <c r="FC505" s="707"/>
      <c r="FD505" s="707"/>
      <c r="FE505" s="707"/>
      <c r="FF505" s="707"/>
      <c r="FG505" s="707"/>
      <c r="FH505" s="707"/>
      <c r="FI505" s="707"/>
      <c r="FJ505" s="707"/>
      <c r="FK505" s="707"/>
      <c r="FL505" s="707"/>
      <c r="FM505" s="707"/>
      <c r="FN505" s="707"/>
      <c r="FO505" s="707"/>
      <c r="FP505" s="707"/>
      <c r="FQ505" s="707"/>
      <c r="FR505" s="707"/>
      <c r="FS505" s="707"/>
      <c r="FT505" s="707"/>
      <c r="FU505" s="707"/>
      <c r="FV505" s="707"/>
      <c r="FW505" s="707"/>
      <c r="FX505" s="707"/>
      <c r="FY505" s="707"/>
      <c r="FZ505" s="707"/>
      <c r="GA505" s="707"/>
      <c r="GB505" s="707"/>
      <c r="GC505" s="707"/>
      <c r="GD505" s="707"/>
      <c r="GE505" s="707"/>
      <c r="GF505" s="707"/>
      <c r="GG505" s="707"/>
      <c r="GH505" s="707"/>
      <c r="GI505" s="707"/>
      <c r="GJ505" s="707"/>
      <c r="GK505" s="707"/>
      <c r="GL505" s="707"/>
      <c r="GM505" s="707"/>
      <c r="GN505" s="707"/>
      <c r="GO505" s="707"/>
      <c r="GP505" s="707"/>
      <c r="GQ505" s="707"/>
      <c r="GR505" s="707"/>
      <c r="GS505" s="707"/>
      <c r="GT505" s="707"/>
      <c r="GU505" s="707"/>
      <c r="GV505" s="707"/>
      <c r="GW505" s="707"/>
      <c r="GX505" s="707"/>
      <c r="GY505" s="707"/>
      <c r="GZ505" s="707"/>
      <c r="HA505" s="707"/>
      <c r="HB505" s="707"/>
      <c r="HC505" s="707"/>
      <c r="HD505" s="707"/>
      <c r="HE505" s="707"/>
      <c r="HF505" s="707"/>
      <c r="HG505" s="707"/>
      <c r="HH505" s="707"/>
      <c r="HI505" s="707"/>
      <c r="HJ505" s="707"/>
      <c r="HK505" s="707"/>
      <c r="HL505" s="707"/>
      <c r="HM505" s="707"/>
      <c r="HN505" s="707"/>
      <c r="HO505" s="707"/>
      <c r="HP505" s="707"/>
      <c r="HQ505" s="707"/>
      <c r="HR505" s="707"/>
      <c r="HS505" s="707"/>
      <c r="HT505" s="707"/>
      <c r="HU505" s="707"/>
      <c r="HV505" s="707"/>
      <c r="HW505" s="707"/>
      <c r="HX505" s="707"/>
      <c r="HY505" s="707"/>
      <c r="HZ505" s="707"/>
      <c r="IA505" s="707"/>
      <c r="IB505" s="707"/>
      <c r="IC505" s="707"/>
      <c r="ID505" s="707"/>
      <c r="IE505" s="707"/>
      <c r="IF505" s="707"/>
      <c r="IG505" s="707"/>
      <c r="IH505" s="707"/>
      <c r="II505" s="707"/>
      <c r="IJ505" s="707"/>
      <c r="IK505" s="707"/>
      <c r="IL505" s="707"/>
      <c r="IM505" s="707"/>
      <c r="IN505" s="707"/>
      <c r="IO505" s="707"/>
      <c r="IP505" s="707"/>
      <c r="IQ505" s="707"/>
      <c r="IR505" s="707"/>
      <c r="IS505" s="707"/>
      <c r="IT505" s="707"/>
      <c r="IU505" s="707"/>
      <c r="IV505" s="707"/>
      <c r="IW505" s="707"/>
    </row>
    <row r="506" customFormat="false" ht="12.75" hidden="false" customHeight="false" outlineLevel="1" collapsed="false">
      <c r="A506" s="724"/>
      <c r="B506" s="725"/>
      <c r="C506" s="725"/>
      <c r="D506" s="725"/>
      <c r="E506" s="713"/>
      <c r="F506" s="713"/>
      <c r="G506" s="713"/>
      <c r="H506" s="713"/>
      <c r="I506" s="713"/>
      <c r="J506" s="713"/>
      <c r="K506" s="713"/>
      <c r="L506" s="713"/>
      <c r="M506" s="713"/>
      <c r="N506" s="713"/>
      <c r="O506" s="713"/>
      <c r="P506" s="713"/>
      <c r="Q506" s="713"/>
      <c r="R506" s="713"/>
      <c r="S506" s="713"/>
      <c r="T506" s="713"/>
      <c r="U506" s="713"/>
      <c r="V506" s="713"/>
      <c r="W506" s="713"/>
      <c r="X506" s="713"/>
      <c r="Y506" s="713"/>
      <c r="Z506" s="713"/>
      <c r="AA506" s="722"/>
      <c r="AB506" s="722"/>
      <c r="AC506" s="722"/>
      <c r="AD506" s="722"/>
      <c r="AE506" s="722"/>
      <c r="AF506" s="722"/>
      <c r="AG506" s="722"/>
      <c r="AH506" s="722"/>
      <c r="AI506" s="722"/>
      <c r="AJ506" s="722"/>
      <c r="AK506" s="722"/>
      <c r="AL506" s="722"/>
      <c r="AM506" s="722"/>
      <c r="AN506" s="722"/>
      <c r="AO506" s="722"/>
      <c r="AP506" s="722"/>
      <c r="AQ506" s="722"/>
      <c r="AR506" s="722"/>
      <c r="AS506" s="722"/>
      <c r="AT506" s="722"/>
      <c r="AU506" s="722"/>
      <c r="AV506" s="722"/>
      <c r="AW506" s="722"/>
      <c r="AX506" s="722"/>
      <c r="AY506" s="722"/>
      <c r="AZ506" s="722"/>
      <c r="BA506" s="722"/>
      <c r="BB506" s="722"/>
      <c r="BC506" s="722"/>
      <c r="BD506" s="722"/>
      <c r="BE506" s="722"/>
      <c r="BF506" s="722"/>
      <c r="BG506" s="722"/>
      <c r="BH506" s="722"/>
      <c r="BI506" s="722"/>
      <c r="BJ506" s="722"/>
      <c r="BK506" s="722"/>
      <c r="BL506" s="722"/>
      <c r="BM506" s="722"/>
      <c r="BN506" s="722"/>
      <c r="BO506" s="722"/>
      <c r="BP506" s="722"/>
      <c r="BQ506" s="722"/>
      <c r="BR506" s="722"/>
      <c r="BS506" s="722"/>
      <c r="BT506" s="722"/>
      <c r="BU506" s="722"/>
      <c r="BV506" s="722"/>
      <c r="BW506" s="722"/>
      <c r="BX506" s="722"/>
      <c r="BY506" s="722"/>
      <c r="BZ506" s="722"/>
      <c r="CA506" s="722"/>
      <c r="CB506" s="722"/>
      <c r="CC506" s="722"/>
      <c r="CD506" s="722"/>
      <c r="CE506" s="722"/>
      <c r="CF506" s="722"/>
      <c r="CG506" s="722"/>
      <c r="CH506" s="722"/>
      <c r="CI506" s="722"/>
      <c r="CJ506" s="722"/>
      <c r="CK506" s="722"/>
      <c r="CL506" s="722"/>
      <c r="CM506" s="722"/>
      <c r="CN506" s="722"/>
      <c r="CO506" s="722"/>
      <c r="CP506" s="722"/>
      <c r="CQ506" s="722"/>
      <c r="CR506" s="722"/>
      <c r="CS506" s="722"/>
      <c r="CT506" s="722"/>
      <c r="CU506" s="722"/>
      <c r="CV506" s="722"/>
      <c r="CW506" s="722"/>
      <c r="CX506" s="722"/>
      <c r="CY506" s="722"/>
      <c r="CZ506" s="722"/>
      <c r="DA506" s="722"/>
      <c r="DB506" s="722"/>
      <c r="DC506" s="722"/>
      <c r="DD506" s="722"/>
      <c r="DE506" s="722"/>
      <c r="DF506" s="722"/>
      <c r="DG506" s="722"/>
      <c r="DH506" s="722"/>
      <c r="DI506" s="722"/>
      <c r="DJ506" s="722"/>
      <c r="DK506" s="722"/>
      <c r="DL506" s="722"/>
      <c r="DM506" s="722"/>
      <c r="DN506" s="722"/>
      <c r="DO506" s="722"/>
      <c r="DP506" s="722"/>
      <c r="DQ506" s="722"/>
      <c r="DR506" s="722"/>
      <c r="DS506" s="722"/>
      <c r="DT506" s="722"/>
      <c r="DU506" s="722"/>
      <c r="DV506" s="722"/>
      <c r="DW506" s="722"/>
      <c r="DX506" s="722"/>
      <c r="DY506" s="722"/>
      <c r="DZ506" s="722"/>
      <c r="EA506" s="722"/>
      <c r="EB506" s="722"/>
      <c r="EC506" s="722"/>
      <c r="ED506" s="722"/>
      <c r="EE506" s="722"/>
      <c r="EF506" s="722"/>
      <c r="EG506" s="722"/>
      <c r="EH506" s="722"/>
      <c r="EI506" s="722"/>
      <c r="EJ506" s="722"/>
      <c r="EK506" s="722"/>
      <c r="EL506" s="722"/>
      <c r="EM506" s="722"/>
      <c r="EN506" s="722"/>
      <c r="EO506" s="722"/>
      <c r="EP506" s="722"/>
      <c r="EQ506" s="722"/>
      <c r="ER506" s="722"/>
      <c r="ES506" s="722"/>
      <c r="ET506" s="722"/>
      <c r="EU506" s="722"/>
      <c r="EV506" s="722"/>
      <c r="EW506" s="722"/>
      <c r="EX506" s="722"/>
      <c r="EY506" s="722"/>
      <c r="EZ506" s="722"/>
      <c r="FA506" s="722"/>
      <c r="FB506" s="722"/>
      <c r="FC506" s="722"/>
      <c r="FD506" s="722"/>
      <c r="FE506" s="722"/>
      <c r="FF506" s="722"/>
      <c r="FG506" s="722"/>
      <c r="FH506" s="722"/>
      <c r="FI506" s="722"/>
      <c r="FJ506" s="722"/>
      <c r="FK506" s="722"/>
      <c r="FL506" s="722"/>
      <c r="FM506" s="722"/>
      <c r="FN506" s="722"/>
      <c r="FO506" s="722"/>
      <c r="FP506" s="722"/>
      <c r="FQ506" s="722"/>
      <c r="FR506" s="722"/>
      <c r="FS506" s="722"/>
      <c r="FT506" s="722"/>
      <c r="FU506" s="722"/>
      <c r="FV506" s="722"/>
      <c r="FW506" s="722"/>
      <c r="FX506" s="722"/>
      <c r="FY506" s="722"/>
      <c r="FZ506" s="722"/>
      <c r="GA506" s="722"/>
      <c r="GB506" s="722"/>
      <c r="GC506" s="722"/>
      <c r="GD506" s="722"/>
      <c r="GE506" s="722"/>
      <c r="GF506" s="722"/>
      <c r="GG506" s="722"/>
      <c r="GH506" s="722"/>
      <c r="GI506" s="722"/>
      <c r="GJ506" s="722"/>
      <c r="GK506" s="722"/>
      <c r="GL506" s="722"/>
      <c r="GM506" s="722"/>
      <c r="GN506" s="722"/>
      <c r="GO506" s="722"/>
      <c r="GP506" s="722"/>
      <c r="GQ506" s="722"/>
      <c r="GR506" s="722"/>
      <c r="GS506" s="722"/>
      <c r="GT506" s="722"/>
      <c r="GU506" s="722"/>
      <c r="GV506" s="722"/>
      <c r="GW506" s="722"/>
      <c r="GX506" s="722"/>
      <c r="GY506" s="722"/>
      <c r="GZ506" s="722"/>
      <c r="HA506" s="722"/>
      <c r="HB506" s="722"/>
      <c r="HC506" s="722"/>
      <c r="HD506" s="722"/>
      <c r="HE506" s="722"/>
      <c r="HF506" s="722"/>
      <c r="HG506" s="722"/>
      <c r="HH506" s="722"/>
      <c r="HI506" s="722"/>
      <c r="HJ506" s="722"/>
      <c r="HK506" s="722"/>
      <c r="HL506" s="722"/>
      <c r="HM506" s="722"/>
      <c r="HN506" s="722"/>
      <c r="HO506" s="722"/>
      <c r="HP506" s="722"/>
      <c r="HQ506" s="722"/>
      <c r="HR506" s="722"/>
      <c r="HS506" s="722"/>
      <c r="HT506" s="722"/>
      <c r="HU506" s="722"/>
      <c r="HV506" s="722"/>
      <c r="HW506" s="722"/>
      <c r="HX506" s="722"/>
      <c r="HY506" s="722"/>
      <c r="HZ506" s="722"/>
      <c r="IA506" s="722"/>
      <c r="IB506" s="722"/>
      <c r="IC506" s="722"/>
      <c r="ID506" s="722"/>
      <c r="IE506" s="722"/>
      <c r="IF506" s="722"/>
      <c r="IG506" s="722"/>
      <c r="IH506" s="722"/>
      <c r="II506" s="722"/>
      <c r="IJ506" s="722"/>
      <c r="IK506" s="722"/>
      <c r="IL506" s="722"/>
      <c r="IM506" s="722"/>
      <c r="IN506" s="722"/>
      <c r="IO506" s="722"/>
      <c r="IP506" s="722"/>
      <c r="IQ506" s="722"/>
      <c r="IR506" s="722"/>
      <c r="IS506" s="722"/>
      <c r="IT506" s="722"/>
      <c r="IU506" s="722"/>
      <c r="IV506" s="722"/>
      <c r="IW506" s="722"/>
    </row>
    <row r="507" customFormat="false" ht="12.75" hidden="false" customHeight="false" outlineLevel="1" collapsed="false">
      <c r="A507" s="367"/>
      <c r="B507" s="706"/>
      <c r="C507" s="706"/>
      <c r="D507" s="706"/>
      <c r="E507" s="713"/>
      <c r="F507" s="713"/>
      <c r="G507" s="713"/>
      <c r="H507" s="713"/>
      <c r="I507" s="713"/>
      <c r="J507" s="713"/>
      <c r="K507" s="713"/>
      <c r="L507" s="713"/>
      <c r="M507" s="713"/>
      <c r="N507" s="713"/>
      <c r="O507" s="713"/>
      <c r="P507" s="713"/>
      <c r="Q507" s="713"/>
      <c r="R507" s="713"/>
      <c r="S507" s="713"/>
      <c r="T507" s="713"/>
      <c r="U507" s="713"/>
      <c r="V507" s="713"/>
      <c r="W507" s="713"/>
      <c r="X507" s="713"/>
      <c r="Y507" s="713"/>
      <c r="Z507" s="713"/>
      <c r="AA507" s="707"/>
      <c r="AB507" s="707"/>
      <c r="AC507" s="707"/>
      <c r="AD507" s="707"/>
      <c r="AE507" s="707"/>
      <c r="AF507" s="707"/>
      <c r="AG507" s="707"/>
      <c r="AH507" s="707"/>
      <c r="AI507" s="707"/>
      <c r="AJ507" s="707"/>
      <c r="AK507" s="707"/>
      <c r="AL507" s="707"/>
      <c r="AM507" s="707"/>
      <c r="AN507" s="707"/>
      <c r="AO507" s="707"/>
      <c r="AP507" s="707"/>
      <c r="AQ507" s="707"/>
      <c r="AR507" s="707"/>
      <c r="AS507" s="707"/>
      <c r="AT507" s="707"/>
      <c r="AU507" s="707"/>
      <c r="AV507" s="707"/>
      <c r="AW507" s="707"/>
      <c r="AX507" s="707"/>
      <c r="AY507" s="707"/>
      <c r="AZ507" s="707"/>
      <c r="BA507" s="707"/>
      <c r="BB507" s="707"/>
      <c r="BC507" s="707"/>
      <c r="BD507" s="707"/>
      <c r="BE507" s="707"/>
      <c r="BF507" s="707"/>
      <c r="BG507" s="707"/>
      <c r="BH507" s="707"/>
      <c r="BI507" s="707"/>
      <c r="BJ507" s="707"/>
      <c r="BK507" s="707"/>
      <c r="BL507" s="707"/>
      <c r="BM507" s="707"/>
      <c r="BN507" s="707"/>
      <c r="BO507" s="707"/>
      <c r="BP507" s="707"/>
      <c r="BQ507" s="707"/>
      <c r="BR507" s="707"/>
      <c r="BS507" s="707"/>
      <c r="BT507" s="707"/>
      <c r="BU507" s="707"/>
      <c r="BV507" s="707"/>
      <c r="BW507" s="707"/>
      <c r="BX507" s="707"/>
      <c r="BY507" s="707"/>
      <c r="BZ507" s="707"/>
      <c r="CA507" s="707"/>
      <c r="CB507" s="707"/>
      <c r="CC507" s="707"/>
      <c r="CD507" s="707"/>
      <c r="CE507" s="707"/>
      <c r="CF507" s="707"/>
      <c r="CG507" s="707"/>
      <c r="CH507" s="707"/>
      <c r="CI507" s="707"/>
      <c r="CJ507" s="707"/>
      <c r="CK507" s="707"/>
      <c r="CL507" s="707"/>
      <c r="CM507" s="707"/>
      <c r="CN507" s="707"/>
      <c r="CO507" s="707"/>
      <c r="CP507" s="707"/>
      <c r="CQ507" s="707"/>
      <c r="CR507" s="707"/>
      <c r="CS507" s="707"/>
      <c r="CT507" s="707"/>
      <c r="CU507" s="707"/>
      <c r="CV507" s="707"/>
      <c r="CW507" s="707"/>
      <c r="CX507" s="707"/>
      <c r="CY507" s="707"/>
      <c r="CZ507" s="707"/>
      <c r="DA507" s="707"/>
      <c r="DB507" s="707"/>
      <c r="DC507" s="707"/>
      <c r="DD507" s="707"/>
      <c r="DE507" s="707"/>
      <c r="DF507" s="707"/>
      <c r="DG507" s="707"/>
      <c r="DH507" s="707"/>
      <c r="DI507" s="707"/>
      <c r="DJ507" s="707"/>
      <c r="DK507" s="707"/>
      <c r="DL507" s="707"/>
      <c r="DM507" s="707"/>
      <c r="DN507" s="707"/>
      <c r="DO507" s="707"/>
      <c r="DP507" s="707"/>
      <c r="DQ507" s="707"/>
      <c r="DR507" s="707"/>
      <c r="DS507" s="707"/>
      <c r="DT507" s="707"/>
      <c r="DU507" s="707"/>
      <c r="DV507" s="707"/>
      <c r="DW507" s="707"/>
      <c r="DX507" s="707"/>
      <c r="DY507" s="707"/>
      <c r="DZ507" s="707"/>
      <c r="EA507" s="707"/>
      <c r="EB507" s="707"/>
      <c r="EC507" s="707"/>
      <c r="ED507" s="707"/>
      <c r="EE507" s="707"/>
      <c r="EF507" s="707"/>
      <c r="EG507" s="707"/>
      <c r="EH507" s="707"/>
      <c r="EI507" s="707"/>
      <c r="EJ507" s="707"/>
      <c r="EK507" s="707"/>
      <c r="EL507" s="707"/>
      <c r="EM507" s="707"/>
      <c r="EN507" s="707"/>
      <c r="EO507" s="707"/>
      <c r="EP507" s="707"/>
      <c r="EQ507" s="707"/>
      <c r="ER507" s="707"/>
      <c r="ES507" s="707"/>
      <c r="ET507" s="707"/>
      <c r="EU507" s="707"/>
      <c r="EV507" s="707"/>
      <c r="EW507" s="707"/>
      <c r="EX507" s="707"/>
      <c r="EY507" s="707"/>
      <c r="EZ507" s="707"/>
      <c r="FA507" s="707"/>
      <c r="FB507" s="707"/>
      <c r="FC507" s="707"/>
      <c r="FD507" s="707"/>
      <c r="FE507" s="707"/>
      <c r="FF507" s="707"/>
      <c r="FG507" s="707"/>
      <c r="FH507" s="707"/>
      <c r="FI507" s="707"/>
      <c r="FJ507" s="707"/>
      <c r="FK507" s="707"/>
      <c r="FL507" s="707"/>
      <c r="FM507" s="707"/>
      <c r="FN507" s="707"/>
      <c r="FO507" s="707"/>
      <c r="FP507" s="707"/>
      <c r="FQ507" s="707"/>
      <c r="FR507" s="707"/>
      <c r="FS507" s="707"/>
      <c r="FT507" s="707"/>
      <c r="FU507" s="707"/>
      <c r="FV507" s="707"/>
      <c r="FW507" s="707"/>
      <c r="FX507" s="707"/>
      <c r="FY507" s="707"/>
      <c r="FZ507" s="707"/>
      <c r="GA507" s="707"/>
      <c r="GB507" s="707"/>
      <c r="GC507" s="707"/>
      <c r="GD507" s="707"/>
      <c r="GE507" s="707"/>
      <c r="GF507" s="707"/>
      <c r="GG507" s="707"/>
      <c r="GH507" s="707"/>
      <c r="GI507" s="707"/>
      <c r="GJ507" s="707"/>
      <c r="GK507" s="707"/>
      <c r="GL507" s="707"/>
      <c r="GM507" s="707"/>
      <c r="GN507" s="707"/>
      <c r="GO507" s="707"/>
      <c r="GP507" s="707"/>
      <c r="GQ507" s="707"/>
      <c r="GR507" s="707"/>
      <c r="GS507" s="707"/>
      <c r="GT507" s="707"/>
      <c r="GU507" s="707"/>
      <c r="GV507" s="707"/>
      <c r="GW507" s="707"/>
      <c r="GX507" s="707"/>
      <c r="GY507" s="707"/>
      <c r="GZ507" s="707"/>
      <c r="HA507" s="707"/>
      <c r="HB507" s="707"/>
      <c r="HC507" s="707"/>
      <c r="HD507" s="707"/>
      <c r="HE507" s="707"/>
      <c r="HF507" s="707"/>
      <c r="HG507" s="707"/>
      <c r="HH507" s="707"/>
      <c r="HI507" s="707"/>
      <c r="HJ507" s="707"/>
      <c r="HK507" s="707"/>
      <c r="HL507" s="707"/>
      <c r="HM507" s="707"/>
      <c r="HN507" s="707"/>
      <c r="HO507" s="707"/>
      <c r="HP507" s="707"/>
      <c r="HQ507" s="707"/>
      <c r="HR507" s="707"/>
      <c r="HS507" s="707"/>
      <c r="HT507" s="707"/>
      <c r="HU507" s="707"/>
      <c r="HV507" s="707"/>
      <c r="HW507" s="707"/>
      <c r="HX507" s="707"/>
      <c r="HY507" s="707"/>
      <c r="HZ507" s="707"/>
      <c r="IA507" s="707"/>
      <c r="IB507" s="707"/>
      <c r="IC507" s="707"/>
      <c r="ID507" s="707"/>
      <c r="IE507" s="707"/>
      <c r="IF507" s="707"/>
      <c r="IG507" s="707"/>
      <c r="IH507" s="707"/>
      <c r="II507" s="707"/>
      <c r="IJ507" s="707"/>
      <c r="IK507" s="707"/>
      <c r="IL507" s="707"/>
      <c r="IM507" s="707"/>
      <c r="IN507" s="707"/>
      <c r="IO507" s="707"/>
      <c r="IP507" s="707"/>
      <c r="IQ507" s="707"/>
      <c r="IR507" s="707"/>
      <c r="IS507" s="707"/>
      <c r="IT507" s="707"/>
      <c r="IU507" s="707"/>
      <c r="IV507" s="707"/>
      <c r="IW507" s="707"/>
    </row>
    <row r="508" customFormat="false" ht="12.75" hidden="false" customHeight="false" outlineLevel="1" collapsed="false">
      <c r="A508" s="681"/>
      <c r="B508" s="706"/>
      <c r="C508" s="706"/>
      <c r="D508" s="706"/>
      <c r="E508" s="713"/>
      <c r="F508" s="713"/>
      <c r="G508" s="713"/>
      <c r="H508" s="713"/>
      <c r="I508" s="713"/>
      <c r="J508" s="713"/>
      <c r="K508" s="713"/>
      <c r="L508" s="713"/>
      <c r="M508" s="713"/>
      <c r="N508" s="713"/>
      <c r="O508" s="713"/>
      <c r="P508" s="713"/>
      <c r="Q508" s="713"/>
      <c r="R508" s="713"/>
      <c r="S508" s="713"/>
      <c r="T508" s="713"/>
      <c r="U508" s="713"/>
      <c r="V508" s="713"/>
      <c r="W508" s="713"/>
      <c r="X508" s="713"/>
      <c r="Y508" s="713"/>
      <c r="Z508" s="713"/>
      <c r="AA508" s="707"/>
      <c r="AB508" s="707"/>
      <c r="AC508" s="707"/>
      <c r="AD508" s="707"/>
      <c r="AE508" s="707"/>
      <c r="AF508" s="707"/>
      <c r="AG508" s="707"/>
      <c r="AH508" s="707"/>
      <c r="AI508" s="707"/>
      <c r="AJ508" s="707"/>
      <c r="AK508" s="707"/>
      <c r="AL508" s="707"/>
      <c r="AM508" s="707"/>
      <c r="AN508" s="707"/>
      <c r="AO508" s="707"/>
      <c r="AP508" s="707"/>
      <c r="AQ508" s="707"/>
      <c r="AR508" s="707"/>
      <c r="AS508" s="707"/>
      <c r="AT508" s="707"/>
      <c r="AU508" s="707"/>
      <c r="AV508" s="707"/>
      <c r="AW508" s="707"/>
      <c r="AX508" s="707"/>
      <c r="AY508" s="707"/>
      <c r="AZ508" s="707"/>
      <c r="BA508" s="707"/>
      <c r="BB508" s="707"/>
      <c r="BC508" s="707"/>
      <c r="BD508" s="707"/>
      <c r="BE508" s="707"/>
      <c r="BF508" s="707"/>
      <c r="BG508" s="707"/>
      <c r="BH508" s="707"/>
      <c r="BI508" s="707"/>
      <c r="BJ508" s="707"/>
      <c r="BK508" s="707"/>
      <c r="BL508" s="707"/>
      <c r="BM508" s="707"/>
      <c r="BN508" s="707"/>
      <c r="BO508" s="707"/>
      <c r="BP508" s="707"/>
      <c r="BQ508" s="707"/>
      <c r="BR508" s="707"/>
      <c r="BS508" s="707"/>
      <c r="BT508" s="707"/>
      <c r="BU508" s="707"/>
      <c r="BV508" s="707"/>
      <c r="BW508" s="707"/>
      <c r="BX508" s="707"/>
      <c r="BY508" s="707"/>
      <c r="BZ508" s="707"/>
      <c r="CA508" s="707"/>
      <c r="CB508" s="707"/>
      <c r="CC508" s="707"/>
      <c r="CD508" s="707"/>
      <c r="CE508" s="707"/>
      <c r="CF508" s="707"/>
      <c r="CG508" s="707"/>
      <c r="CH508" s="707"/>
      <c r="CI508" s="707"/>
      <c r="CJ508" s="707"/>
      <c r="CK508" s="707"/>
      <c r="CL508" s="707"/>
      <c r="CM508" s="707"/>
      <c r="CN508" s="707"/>
      <c r="CO508" s="707"/>
      <c r="CP508" s="707"/>
      <c r="CQ508" s="707"/>
      <c r="CR508" s="707"/>
      <c r="CS508" s="707"/>
      <c r="CT508" s="707"/>
      <c r="CU508" s="707"/>
      <c r="CV508" s="707"/>
      <c r="CW508" s="707"/>
      <c r="CX508" s="707"/>
      <c r="CY508" s="707"/>
      <c r="CZ508" s="707"/>
      <c r="DA508" s="707"/>
      <c r="DB508" s="707"/>
      <c r="DC508" s="707"/>
      <c r="DD508" s="707"/>
      <c r="DE508" s="707"/>
      <c r="DF508" s="707"/>
      <c r="DG508" s="707"/>
      <c r="DH508" s="707"/>
      <c r="DI508" s="707"/>
      <c r="DJ508" s="707"/>
      <c r="DK508" s="707"/>
      <c r="DL508" s="707"/>
      <c r="DM508" s="707"/>
      <c r="DN508" s="707"/>
      <c r="DO508" s="707"/>
      <c r="DP508" s="707"/>
      <c r="DQ508" s="707"/>
      <c r="DR508" s="707"/>
      <c r="DS508" s="707"/>
      <c r="DT508" s="707"/>
      <c r="DU508" s="707"/>
      <c r="DV508" s="707"/>
      <c r="DW508" s="707"/>
      <c r="DX508" s="707"/>
      <c r="DY508" s="707"/>
      <c r="DZ508" s="707"/>
      <c r="EA508" s="707"/>
      <c r="EB508" s="707"/>
      <c r="EC508" s="707"/>
      <c r="ED508" s="707"/>
      <c r="EE508" s="707"/>
      <c r="EF508" s="707"/>
      <c r="EG508" s="707"/>
      <c r="EH508" s="707"/>
      <c r="EI508" s="707"/>
      <c r="EJ508" s="707"/>
      <c r="EK508" s="707"/>
      <c r="EL508" s="707"/>
      <c r="EM508" s="707"/>
      <c r="EN508" s="707"/>
      <c r="EO508" s="707"/>
      <c r="EP508" s="707"/>
      <c r="EQ508" s="707"/>
      <c r="ER508" s="707"/>
      <c r="ES508" s="707"/>
      <c r="ET508" s="707"/>
      <c r="EU508" s="707"/>
      <c r="EV508" s="707"/>
      <c r="EW508" s="707"/>
      <c r="EX508" s="707"/>
      <c r="EY508" s="707"/>
      <c r="EZ508" s="707"/>
      <c r="FA508" s="707"/>
      <c r="FB508" s="707"/>
      <c r="FC508" s="707"/>
      <c r="FD508" s="707"/>
      <c r="FE508" s="707"/>
      <c r="FF508" s="707"/>
      <c r="FG508" s="707"/>
      <c r="FH508" s="707"/>
      <c r="FI508" s="707"/>
      <c r="FJ508" s="707"/>
      <c r="FK508" s="707"/>
      <c r="FL508" s="707"/>
      <c r="FM508" s="707"/>
      <c r="FN508" s="707"/>
      <c r="FO508" s="707"/>
      <c r="FP508" s="707"/>
      <c r="FQ508" s="707"/>
      <c r="FR508" s="707"/>
      <c r="FS508" s="707"/>
      <c r="FT508" s="707"/>
      <c r="FU508" s="707"/>
      <c r="FV508" s="707"/>
      <c r="FW508" s="707"/>
      <c r="FX508" s="707"/>
      <c r="FY508" s="707"/>
      <c r="FZ508" s="707"/>
      <c r="GA508" s="707"/>
      <c r="GB508" s="707"/>
      <c r="GC508" s="707"/>
      <c r="GD508" s="707"/>
      <c r="GE508" s="707"/>
      <c r="GF508" s="707"/>
      <c r="GG508" s="707"/>
      <c r="GH508" s="707"/>
      <c r="GI508" s="707"/>
      <c r="GJ508" s="707"/>
      <c r="GK508" s="707"/>
      <c r="GL508" s="707"/>
      <c r="GM508" s="707"/>
      <c r="GN508" s="707"/>
      <c r="GO508" s="707"/>
      <c r="GP508" s="707"/>
      <c r="GQ508" s="707"/>
      <c r="GR508" s="707"/>
      <c r="GS508" s="707"/>
      <c r="GT508" s="707"/>
      <c r="GU508" s="707"/>
      <c r="GV508" s="707"/>
      <c r="GW508" s="707"/>
      <c r="GX508" s="707"/>
      <c r="GY508" s="707"/>
      <c r="GZ508" s="707"/>
      <c r="HA508" s="707"/>
      <c r="HB508" s="707"/>
      <c r="HC508" s="707"/>
      <c r="HD508" s="707"/>
      <c r="HE508" s="707"/>
      <c r="HF508" s="707"/>
      <c r="HG508" s="707"/>
      <c r="HH508" s="707"/>
      <c r="HI508" s="707"/>
      <c r="HJ508" s="707"/>
      <c r="HK508" s="707"/>
      <c r="HL508" s="707"/>
      <c r="HM508" s="707"/>
      <c r="HN508" s="707"/>
      <c r="HO508" s="707"/>
      <c r="HP508" s="707"/>
      <c r="HQ508" s="707"/>
      <c r="HR508" s="707"/>
      <c r="HS508" s="707"/>
      <c r="HT508" s="707"/>
      <c r="HU508" s="707"/>
      <c r="HV508" s="707"/>
      <c r="HW508" s="707"/>
      <c r="HX508" s="707"/>
      <c r="HY508" s="707"/>
      <c r="HZ508" s="707"/>
      <c r="IA508" s="707"/>
      <c r="IB508" s="707"/>
      <c r="IC508" s="707"/>
      <c r="ID508" s="707"/>
      <c r="IE508" s="707"/>
      <c r="IF508" s="707"/>
      <c r="IG508" s="707"/>
      <c r="IH508" s="707"/>
      <c r="II508" s="707"/>
      <c r="IJ508" s="707"/>
      <c r="IK508" s="707"/>
      <c r="IL508" s="707"/>
      <c r="IM508" s="707"/>
      <c r="IN508" s="707"/>
      <c r="IO508" s="707"/>
      <c r="IP508" s="707"/>
      <c r="IQ508" s="707"/>
      <c r="IR508" s="707"/>
      <c r="IS508" s="707"/>
      <c r="IT508" s="707"/>
      <c r="IU508" s="707"/>
      <c r="IV508" s="707"/>
      <c r="IW508" s="707"/>
    </row>
    <row r="509" customFormat="false" ht="12.75" hidden="false" customHeight="false" outlineLevel="1" collapsed="false">
      <c r="A509" s="681"/>
      <c r="B509" s="706"/>
      <c r="C509" s="706"/>
      <c r="D509" s="706"/>
      <c r="E509" s="713"/>
      <c r="F509" s="713"/>
      <c r="G509" s="713"/>
      <c r="H509" s="713"/>
      <c r="I509" s="713"/>
      <c r="J509" s="713"/>
      <c r="K509" s="713"/>
      <c r="L509" s="713"/>
      <c r="M509" s="713"/>
      <c r="N509" s="713"/>
      <c r="O509" s="713"/>
      <c r="P509" s="713"/>
      <c r="Q509" s="713"/>
      <c r="R509" s="713"/>
      <c r="S509" s="713"/>
      <c r="T509" s="713"/>
      <c r="U509" s="713"/>
      <c r="V509" s="713"/>
      <c r="W509" s="713"/>
      <c r="X509" s="713"/>
      <c r="Y509" s="713"/>
      <c r="Z509" s="713"/>
      <c r="AA509" s="707"/>
      <c r="AB509" s="707"/>
      <c r="AC509" s="707"/>
      <c r="AD509" s="707"/>
      <c r="AE509" s="707"/>
      <c r="AF509" s="707"/>
      <c r="AG509" s="707"/>
      <c r="AH509" s="707"/>
      <c r="AI509" s="707"/>
      <c r="AJ509" s="707"/>
      <c r="AK509" s="707"/>
      <c r="AL509" s="707"/>
      <c r="AM509" s="707"/>
      <c r="AN509" s="707"/>
      <c r="AO509" s="707"/>
      <c r="AP509" s="707"/>
      <c r="AQ509" s="707"/>
      <c r="AR509" s="707"/>
      <c r="AS509" s="707"/>
      <c r="AT509" s="707"/>
      <c r="AU509" s="707"/>
      <c r="AV509" s="707"/>
      <c r="AW509" s="707"/>
      <c r="AX509" s="707"/>
      <c r="AY509" s="707"/>
      <c r="AZ509" s="707"/>
      <c r="BA509" s="707"/>
      <c r="BB509" s="707"/>
      <c r="BC509" s="707"/>
      <c r="BD509" s="707"/>
      <c r="BE509" s="707"/>
      <c r="BF509" s="707"/>
      <c r="BG509" s="707"/>
      <c r="BH509" s="707"/>
      <c r="BI509" s="707"/>
      <c r="BJ509" s="707"/>
      <c r="BK509" s="707"/>
      <c r="BL509" s="707"/>
      <c r="BM509" s="707"/>
      <c r="BN509" s="707"/>
      <c r="BO509" s="707"/>
      <c r="BP509" s="707"/>
      <c r="BQ509" s="707"/>
      <c r="BR509" s="707"/>
      <c r="BS509" s="707"/>
      <c r="BT509" s="707"/>
      <c r="BU509" s="707"/>
      <c r="BV509" s="707"/>
      <c r="BW509" s="707"/>
      <c r="BX509" s="707"/>
      <c r="BY509" s="707"/>
      <c r="BZ509" s="707"/>
      <c r="CA509" s="707"/>
      <c r="CB509" s="707"/>
      <c r="CC509" s="707"/>
      <c r="CD509" s="707"/>
      <c r="CE509" s="707"/>
      <c r="CF509" s="707"/>
      <c r="CG509" s="707"/>
      <c r="CH509" s="707"/>
      <c r="CI509" s="707"/>
      <c r="CJ509" s="707"/>
      <c r="CK509" s="707"/>
      <c r="CL509" s="707"/>
      <c r="CM509" s="707"/>
      <c r="CN509" s="707"/>
      <c r="CO509" s="707"/>
      <c r="CP509" s="707"/>
      <c r="CQ509" s="707"/>
      <c r="CR509" s="707"/>
      <c r="CS509" s="707"/>
      <c r="CT509" s="707"/>
      <c r="CU509" s="707"/>
      <c r="CV509" s="707"/>
      <c r="CW509" s="707"/>
      <c r="CX509" s="707"/>
      <c r="CY509" s="707"/>
      <c r="CZ509" s="707"/>
      <c r="DA509" s="707"/>
      <c r="DB509" s="707"/>
      <c r="DC509" s="707"/>
      <c r="DD509" s="707"/>
      <c r="DE509" s="707"/>
      <c r="DF509" s="707"/>
      <c r="DG509" s="707"/>
      <c r="DH509" s="707"/>
      <c r="DI509" s="707"/>
      <c r="DJ509" s="707"/>
      <c r="DK509" s="707"/>
      <c r="DL509" s="707"/>
      <c r="DM509" s="707"/>
      <c r="DN509" s="707"/>
      <c r="DO509" s="707"/>
      <c r="DP509" s="707"/>
      <c r="DQ509" s="707"/>
      <c r="DR509" s="707"/>
      <c r="DS509" s="707"/>
      <c r="DT509" s="707"/>
      <c r="DU509" s="707"/>
      <c r="DV509" s="707"/>
      <c r="DW509" s="707"/>
      <c r="DX509" s="707"/>
      <c r="DY509" s="707"/>
      <c r="DZ509" s="707"/>
      <c r="EA509" s="707"/>
      <c r="EB509" s="707"/>
      <c r="EC509" s="707"/>
      <c r="ED509" s="707"/>
      <c r="EE509" s="707"/>
      <c r="EF509" s="707"/>
      <c r="EG509" s="707"/>
      <c r="EH509" s="707"/>
      <c r="EI509" s="707"/>
      <c r="EJ509" s="707"/>
      <c r="EK509" s="707"/>
      <c r="EL509" s="707"/>
      <c r="EM509" s="707"/>
      <c r="EN509" s="707"/>
      <c r="EO509" s="707"/>
      <c r="EP509" s="707"/>
      <c r="EQ509" s="707"/>
      <c r="ER509" s="707"/>
      <c r="ES509" s="707"/>
      <c r="ET509" s="707"/>
      <c r="EU509" s="707"/>
      <c r="EV509" s="707"/>
      <c r="EW509" s="707"/>
      <c r="EX509" s="707"/>
      <c r="EY509" s="707"/>
      <c r="EZ509" s="707"/>
      <c r="FA509" s="707"/>
      <c r="FB509" s="707"/>
      <c r="FC509" s="707"/>
      <c r="FD509" s="707"/>
      <c r="FE509" s="707"/>
      <c r="FF509" s="707"/>
      <c r="FG509" s="707"/>
      <c r="FH509" s="707"/>
      <c r="FI509" s="707"/>
      <c r="FJ509" s="707"/>
      <c r="FK509" s="707"/>
      <c r="FL509" s="707"/>
      <c r="FM509" s="707"/>
      <c r="FN509" s="707"/>
      <c r="FO509" s="707"/>
      <c r="FP509" s="707"/>
      <c r="FQ509" s="707"/>
      <c r="FR509" s="707"/>
      <c r="FS509" s="707"/>
      <c r="FT509" s="707"/>
      <c r="FU509" s="707"/>
      <c r="FV509" s="707"/>
      <c r="FW509" s="707"/>
      <c r="FX509" s="707"/>
      <c r="FY509" s="707"/>
      <c r="FZ509" s="707"/>
      <c r="GA509" s="707"/>
      <c r="GB509" s="707"/>
      <c r="GC509" s="707"/>
      <c r="GD509" s="707"/>
      <c r="GE509" s="707"/>
      <c r="GF509" s="707"/>
      <c r="GG509" s="707"/>
      <c r="GH509" s="707"/>
      <c r="GI509" s="707"/>
      <c r="GJ509" s="707"/>
      <c r="GK509" s="707"/>
      <c r="GL509" s="707"/>
      <c r="GM509" s="707"/>
      <c r="GN509" s="707"/>
      <c r="GO509" s="707"/>
      <c r="GP509" s="707"/>
      <c r="GQ509" s="707"/>
      <c r="GR509" s="707"/>
      <c r="GS509" s="707"/>
      <c r="GT509" s="707"/>
      <c r="GU509" s="707"/>
      <c r="GV509" s="707"/>
      <c r="GW509" s="707"/>
      <c r="GX509" s="707"/>
      <c r="GY509" s="707"/>
      <c r="GZ509" s="707"/>
      <c r="HA509" s="707"/>
      <c r="HB509" s="707"/>
      <c r="HC509" s="707"/>
      <c r="HD509" s="707"/>
      <c r="HE509" s="707"/>
      <c r="HF509" s="707"/>
      <c r="HG509" s="707"/>
      <c r="HH509" s="707"/>
      <c r="HI509" s="707"/>
      <c r="HJ509" s="707"/>
      <c r="HK509" s="707"/>
      <c r="HL509" s="707"/>
      <c r="HM509" s="707"/>
      <c r="HN509" s="707"/>
      <c r="HO509" s="707"/>
      <c r="HP509" s="707"/>
      <c r="HQ509" s="707"/>
      <c r="HR509" s="707"/>
      <c r="HS509" s="707"/>
      <c r="HT509" s="707"/>
      <c r="HU509" s="707"/>
      <c r="HV509" s="707"/>
      <c r="HW509" s="707"/>
      <c r="HX509" s="707"/>
      <c r="HY509" s="707"/>
      <c r="HZ509" s="707"/>
      <c r="IA509" s="707"/>
      <c r="IB509" s="707"/>
      <c r="IC509" s="707"/>
      <c r="ID509" s="707"/>
      <c r="IE509" s="707"/>
      <c r="IF509" s="707"/>
      <c r="IG509" s="707"/>
      <c r="IH509" s="707"/>
      <c r="II509" s="707"/>
      <c r="IJ509" s="707"/>
      <c r="IK509" s="707"/>
      <c r="IL509" s="707"/>
      <c r="IM509" s="707"/>
      <c r="IN509" s="707"/>
      <c r="IO509" s="707"/>
      <c r="IP509" s="707"/>
      <c r="IQ509" s="707"/>
      <c r="IR509" s="707"/>
      <c r="IS509" s="707"/>
      <c r="IT509" s="707"/>
      <c r="IU509" s="707"/>
      <c r="IV509" s="707"/>
      <c r="IW509" s="707"/>
    </row>
    <row r="510" customFormat="false" ht="12.75" hidden="false" customHeight="false" outlineLevel="1" collapsed="false">
      <c r="A510" s="681"/>
      <c r="B510" s="706"/>
      <c r="C510" s="706"/>
      <c r="D510" s="706"/>
      <c r="E510" s="713"/>
      <c r="F510" s="713"/>
      <c r="G510" s="713"/>
      <c r="H510" s="713"/>
      <c r="I510" s="713"/>
      <c r="J510" s="713"/>
      <c r="K510" s="713"/>
      <c r="L510" s="713"/>
      <c r="M510" s="713"/>
      <c r="N510" s="713"/>
      <c r="O510" s="713"/>
      <c r="P510" s="713"/>
      <c r="Q510" s="713"/>
      <c r="R510" s="713"/>
      <c r="S510" s="713"/>
      <c r="T510" s="713"/>
      <c r="U510" s="713"/>
      <c r="V510" s="713"/>
      <c r="W510" s="713"/>
      <c r="X510" s="713"/>
      <c r="Y510" s="713"/>
      <c r="Z510" s="713"/>
      <c r="AA510" s="707"/>
      <c r="AB510" s="707"/>
      <c r="AC510" s="707"/>
      <c r="AD510" s="707"/>
      <c r="AE510" s="707"/>
      <c r="AF510" s="707"/>
      <c r="AG510" s="707"/>
      <c r="AH510" s="707"/>
      <c r="AI510" s="707"/>
      <c r="AJ510" s="707"/>
      <c r="AK510" s="707"/>
      <c r="AL510" s="707"/>
      <c r="AM510" s="707"/>
      <c r="AN510" s="707"/>
      <c r="AO510" s="707"/>
      <c r="AP510" s="707"/>
      <c r="AQ510" s="707"/>
      <c r="AR510" s="707"/>
      <c r="AS510" s="707"/>
      <c r="AT510" s="707"/>
      <c r="AU510" s="707"/>
      <c r="AV510" s="707"/>
      <c r="AW510" s="707"/>
      <c r="AX510" s="707"/>
      <c r="AY510" s="707"/>
      <c r="AZ510" s="707"/>
      <c r="BA510" s="707"/>
      <c r="BB510" s="707"/>
      <c r="BC510" s="707"/>
      <c r="BD510" s="707"/>
      <c r="BE510" s="707"/>
      <c r="BF510" s="707"/>
      <c r="BG510" s="707"/>
      <c r="BH510" s="707"/>
      <c r="BI510" s="707"/>
      <c r="BJ510" s="707"/>
      <c r="BK510" s="707"/>
      <c r="BL510" s="707"/>
      <c r="BM510" s="707"/>
      <c r="BN510" s="707"/>
      <c r="BO510" s="707"/>
      <c r="BP510" s="707"/>
      <c r="BQ510" s="707"/>
      <c r="BR510" s="707"/>
      <c r="BS510" s="707"/>
      <c r="BT510" s="707"/>
      <c r="BU510" s="707"/>
      <c r="BV510" s="707"/>
      <c r="BW510" s="707"/>
      <c r="BX510" s="707"/>
      <c r="BY510" s="707"/>
      <c r="BZ510" s="707"/>
      <c r="CA510" s="707"/>
      <c r="CB510" s="707"/>
      <c r="CC510" s="707"/>
      <c r="CD510" s="707"/>
      <c r="CE510" s="707"/>
      <c r="CF510" s="707"/>
      <c r="CG510" s="707"/>
      <c r="CH510" s="707"/>
      <c r="CI510" s="707"/>
      <c r="CJ510" s="707"/>
      <c r="CK510" s="707"/>
      <c r="CL510" s="707"/>
      <c r="CM510" s="707"/>
      <c r="CN510" s="707"/>
      <c r="CO510" s="707"/>
      <c r="CP510" s="707"/>
      <c r="CQ510" s="707"/>
      <c r="CR510" s="707"/>
      <c r="CS510" s="707"/>
      <c r="CT510" s="707"/>
      <c r="CU510" s="707"/>
      <c r="CV510" s="707"/>
      <c r="CW510" s="707"/>
      <c r="CX510" s="707"/>
      <c r="CY510" s="707"/>
      <c r="CZ510" s="707"/>
      <c r="DA510" s="707"/>
      <c r="DB510" s="707"/>
      <c r="DC510" s="707"/>
      <c r="DD510" s="707"/>
      <c r="DE510" s="707"/>
      <c r="DF510" s="707"/>
      <c r="DG510" s="707"/>
      <c r="DH510" s="707"/>
      <c r="DI510" s="707"/>
      <c r="DJ510" s="707"/>
      <c r="DK510" s="707"/>
      <c r="DL510" s="707"/>
      <c r="DM510" s="707"/>
      <c r="DN510" s="707"/>
      <c r="DO510" s="707"/>
      <c r="DP510" s="707"/>
      <c r="DQ510" s="707"/>
      <c r="DR510" s="707"/>
      <c r="DS510" s="707"/>
      <c r="DT510" s="707"/>
      <c r="DU510" s="707"/>
      <c r="DV510" s="707"/>
      <c r="DW510" s="707"/>
      <c r="DX510" s="707"/>
      <c r="DY510" s="707"/>
      <c r="DZ510" s="707"/>
      <c r="EA510" s="707"/>
      <c r="EB510" s="707"/>
      <c r="EC510" s="707"/>
      <c r="ED510" s="707"/>
      <c r="EE510" s="707"/>
      <c r="EF510" s="707"/>
      <c r="EG510" s="707"/>
      <c r="EH510" s="707"/>
      <c r="EI510" s="707"/>
      <c r="EJ510" s="707"/>
      <c r="EK510" s="707"/>
      <c r="EL510" s="707"/>
      <c r="EM510" s="707"/>
      <c r="EN510" s="707"/>
      <c r="EO510" s="707"/>
      <c r="EP510" s="707"/>
      <c r="EQ510" s="707"/>
      <c r="ER510" s="707"/>
      <c r="ES510" s="707"/>
      <c r="ET510" s="707"/>
      <c r="EU510" s="707"/>
      <c r="EV510" s="707"/>
      <c r="EW510" s="707"/>
      <c r="EX510" s="707"/>
      <c r="EY510" s="707"/>
      <c r="EZ510" s="707"/>
      <c r="FA510" s="707"/>
      <c r="FB510" s="707"/>
      <c r="FC510" s="707"/>
      <c r="FD510" s="707"/>
      <c r="FE510" s="707"/>
      <c r="FF510" s="707"/>
      <c r="FG510" s="707"/>
      <c r="FH510" s="707"/>
      <c r="FI510" s="707"/>
      <c r="FJ510" s="707"/>
      <c r="FK510" s="707"/>
      <c r="FL510" s="707"/>
      <c r="FM510" s="707"/>
      <c r="FN510" s="707"/>
      <c r="FO510" s="707"/>
      <c r="FP510" s="707"/>
      <c r="FQ510" s="707"/>
      <c r="FR510" s="707"/>
      <c r="FS510" s="707"/>
      <c r="FT510" s="707"/>
      <c r="FU510" s="707"/>
      <c r="FV510" s="707"/>
      <c r="FW510" s="707"/>
      <c r="FX510" s="707"/>
      <c r="FY510" s="707"/>
      <c r="FZ510" s="707"/>
      <c r="GA510" s="707"/>
      <c r="GB510" s="707"/>
      <c r="GC510" s="707"/>
      <c r="GD510" s="707"/>
      <c r="GE510" s="707"/>
      <c r="GF510" s="707"/>
      <c r="GG510" s="707"/>
      <c r="GH510" s="707"/>
      <c r="GI510" s="707"/>
      <c r="GJ510" s="707"/>
      <c r="GK510" s="707"/>
      <c r="GL510" s="707"/>
      <c r="GM510" s="707"/>
      <c r="GN510" s="707"/>
      <c r="GO510" s="707"/>
      <c r="GP510" s="707"/>
      <c r="GQ510" s="707"/>
      <c r="GR510" s="707"/>
      <c r="GS510" s="707"/>
      <c r="GT510" s="707"/>
      <c r="GU510" s="707"/>
      <c r="GV510" s="707"/>
      <c r="GW510" s="707"/>
      <c r="GX510" s="707"/>
      <c r="GY510" s="707"/>
      <c r="GZ510" s="707"/>
      <c r="HA510" s="707"/>
      <c r="HB510" s="707"/>
      <c r="HC510" s="707"/>
      <c r="HD510" s="707"/>
      <c r="HE510" s="707"/>
      <c r="HF510" s="707"/>
      <c r="HG510" s="707"/>
      <c r="HH510" s="707"/>
      <c r="HI510" s="707"/>
      <c r="HJ510" s="707"/>
      <c r="HK510" s="707"/>
      <c r="HL510" s="707"/>
      <c r="HM510" s="707"/>
      <c r="HN510" s="707"/>
      <c r="HO510" s="707"/>
      <c r="HP510" s="707"/>
      <c r="HQ510" s="707"/>
      <c r="HR510" s="707"/>
      <c r="HS510" s="707"/>
      <c r="HT510" s="707"/>
      <c r="HU510" s="707"/>
      <c r="HV510" s="707"/>
      <c r="HW510" s="707"/>
      <c r="HX510" s="707"/>
      <c r="HY510" s="707"/>
      <c r="HZ510" s="707"/>
      <c r="IA510" s="707"/>
      <c r="IB510" s="707"/>
      <c r="IC510" s="707"/>
      <c r="ID510" s="707"/>
      <c r="IE510" s="707"/>
      <c r="IF510" s="707"/>
      <c r="IG510" s="707"/>
      <c r="IH510" s="707"/>
      <c r="II510" s="707"/>
      <c r="IJ510" s="707"/>
      <c r="IK510" s="707"/>
      <c r="IL510" s="707"/>
      <c r="IM510" s="707"/>
      <c r="IN510" s="707"/>
      <c r="IO510" s="707"/>
      <c r="IP510" s="707"/>
      <c r="IQ510" s="707"/>
      <c r="IR510" s="707"/>
      <c r="IS510" s="707"/>
      <c r="IT510" s="707"/>
      <c r="IU510" s="707"/>
      <c r="IV510" s="707"/>
      <c r="IW510" s="707"/>
    </row>
    <row r="511" customFormat="false" ht="12.75" hidden="false" customHeight="false" outlineLevel="1" collapsed="false">
      <c r="A511" s="367"/>
      <c r="B511" s="706"/>
      <c r="C511" s="706"/>
      <c r="D511" s="706"/>
      <c r="E511" s="713"/>
      <c r="F511" s="713"/>
      <c r="G511" s="713"/>
      <c r="H511" s="713"/>
      <c r="I511" s="713"/>
      <c r="J511" s="713"/>
      <c r="K511" s="713"/>
      <c r="L511" s="713"/>
      <c r="M511" s="713"/>
      <c r="N511" s="713"/>
      <c r="O511" s="713"/>
      <c r="P511" s="713"/>
      <c r="Q511" s="713"/>
      <c r="R511" s="713"/>
      <c r="S511" s="713"/>
      <c r="T511" s="713"/>
      <c r="U511" s="713"/>
      <c r="V511" s="713"/>
      <c r="W511" s="713"/>
      <c r="X511" s="713"/>
      <c r="Y511" s="713"/>
      <c r="Z511" s="713"/>
      <c r="AA511" s="707"/>
      <c r="AB511" s="707"/>
      <c r="AC511" s="707"/>
      <c r="AD511" s="707"/>
      <c r="AE511" s="707"/>
      <c r="AF511" s="707"/>
      <c r="AG511" s="707"/>
      <c r="AH511" s="707"/>
      <c r="AI511" s="707"/>
      <c r="AJ511" s="707"/>
      <c r="AK511" s="707"/>
      <c r="AL511" s="707"/>
      <c r="AM511" s="707"/>
      <c r="AN511" s="707"/>
      <c r="AO511" s="707"/>
      <c r="AP511" s="707"/>
      <c r="AQ511" s="707"/>
      <c r="AR511" s="707"/>
      <c r="AS511" s="707"/>
      <c r="AT511" s="707"/>
      <c r="AU511" s="707"/>
      <c r="AV511" s="707"/>
      <c r="AW511" s="707"/>
      <c r="AX511" s="707"/>
      <c r="AY511" s="707"/>
      <c r="AZ511" s="707"/>
      <c r="BA511" s="707"/>
      <c r="BB511" s="707"/>
      <c r="BC511" s="707"/>
      <c r="BD511" s="707"/>
      <c r="BE511" s="707"/>
      <c r="BF511" s="707"/>
      <c r="BG511" s="707"/>
      <c r="BH511" s="707"/>
      <c r="BI511" s="707"/>
      <c r="BJ511" s="707"/>
      <c r="BK511" s="707"/>
      <c r="BL511" s="707"/>
      <c r="BM511" s="707"/>
      <c r="BN511" s="707"/>
      <c r="BO511" s="707"/>
      <c r="BP511" s="707"/>
      <c r="BQ511" s="707"/>
      <c r="BR511" s="707"/>
      <c r="BS511" s="707"/>
      <c r="BT511" s="707"/>
      <c r="BU511" s="707"/>
      <c r="BV511" s="707"/>
      <c r="BW511" s="707"/>
      <c r="BX511" s="707"/>
      <c r="BY511" s="707"/>
      <c r="BZ511" s="707"/>
      <c r="CA511" s="707"/>
      <c r="CB511" s="707"/>
      <c r="CC511" s="707"/>
      <c r="CD511" s="707"/>
      <c r="CE511" s="707"/>
      <c r="CF511" s="707"/>
      <c r="CG511" s="707"/>
      <c r="CH511" s="707"/>
      <c r="CI511" s="707"/>
      <c r="CJ511" s="707"/>
      <c r="CK511" s="707"/>
      <c r="CL511" s="707"/>
      <c r="CM511" s="707"/>
      <c r="CN511" s="707"/>
      <c r="CO511" s="707"/>
      <c r="CP511" s="707"/>
      <c r="CQ511" s="707"/>
      <c r="CR511" s="707"/>
      <c r="CS511" s="707"/>
      <c r="CT511" s="707"/>
      <c r="CU511" s="707"/>
      <c r="CV511" s="707"/>
      <c r="CW511" s="707"/>
      <c r="CX511" s="707"/>
      <c r="CY511" s="707"/>
      <c r="CZ511" s="707"/>
      <c r="DA511" s="707"/>
      <c r="DB511" s="707"/>
      <c r="DC511" s="707"/>
      <c r="DD511" s="707"/>
      <c r="DE511" s="707"/>
      <c r="DF511" s="707"/>
      <c r="DG511" s="707"/>
      <c r="DH511" s="707"/>
      <c r="DI511" s="707"/>
      <c r="DJ511" s="707"/>
      <c r="DK511" s="707"/>
      <c r="DL511" s="707"/>
      <c r="DM511" s="707"/>
      <c r="DN511" s="707"/>
      <c r="DO511" s="707"/>
      <c r="DP511" s="707"/>
      <c r="DQ511" s="707"/>
      <c r="DR511" s="707"/>
      <c r="DS511" s="707"/>
      <c r="DT511" s="707"/>
      <c r="DU511" s="707"/>
      <c r="DV511" s="707"/>
      <c r="DW511" s="707"/>
      <c r="DX511" s="707"/>
      <c r="DY511" s="707"/>
      <c r="DZ511" s="707"/>
      <c r="EA511" s="707"/>
      <c r="EB511" s="707"/>
      <c r="EC511" s="707"/>
      <c r="ED511" s="707"/>
      <c r="EE511" s="707"/>
      <c r="EF511" s="707"/>
      <c r="EG511" s="707"/>
      <c r="EH511" s="707"/>
      <c r="EI511" s="707"/>
      <c r="EJ511" s="707"/>
      <c r="EK511" s="707"/>
      <c r="EL511" s="707"/>
      <c r="EM511" s="707"/>
      <c r="EN511" s="707"/>
      <c r="EO511" s="707"/>
      <c r="EP511" s="707"/>
      <c r="EQ511" s="707"/>
      <c r="ER511" s="707"/>
      <c r="ES511" s="707"/>
      <c r="ET511" s="707"/>
      <c r="EU511" s="707"/>
      <c r="EV511" s="707"/>
      <c r="EW511" s="707"/>
      <c r="EX511" s="707"/>
      <c r="EY511" s="707"/>
      <c r="EZ511" s="707"/>
      <c r="FA511" s="707"/>
      <c r="FB511" s="707"/>
      <c r="FC511" s="707"/>
      <c r="FD511" s="707"/>
      <c r="FE511" s="707"/>
      <c r="FF511" s="707"/>
      <c r="FG511" s="707"/>
      <c r="FH511" s="707"/>
      <c r="FI511" s="707"/>
      <c r="FJ511" s="707"/>
      <c r="FK511" s="707"/>
      <c r="FL511" s="707"/>
      <c r="FM511" s="707"/>
      <c r="FN511" s="707"/>
      <c r="FO511" s="707"/>
      <c r="FP511" s="707"/>
      <c r="FQ511" s="707"/>
      <c r="FR511" s="707"/>
      <c r="FS511" s="707"/>
      <c r="FT511" s="707"/>
      <c r="FU511" s="707"/>
      <c r="FV511" s="707"/>
      <c r="FW511" s="707"/>
      <c r="FX511" s="707"/>
      <c r="FY511" s="707"/>
      <c r="FZ511" s="707"/>
      <c r="GA511" s="707"/>
      <c r="GB511" s="707"/>
      <c r="GC511" s="707"/>
      <c r="GD511" s="707"/>
      <c r="GE511" s="707"/>
      <c r="GF511" s="707"/>
      <c r="GG511" s="707"/>
      <c r="GH511" s="707"/>
      <c r="GI511" s="707"/>
      <c r="GJ511" s="707"/>
      <c r="GK511" s="707"/>
      <c r="GL511" s="707"/>
      <c r="GM511" s="707"/>
      <c r="GN511" s="707"/>
      <c r="GO511" s="707"/>
      <c r="GP511" s="707"/>
      <c r="GQ511" s="707"/>
      <c r="GR511" s="707"/>
      <c r="GS511" s="707"/>
      <c r="GT511" s="707"/>
      <c r="GU511" s="707"/>
      <c r="GV511" s="707"/>
      <c r="GW511" s="707"/>
      <c r="GX511" s="707"/>
      <c r="GY511" s="707"/>
      <c r="GZ511" s="707"/>
      <c r="HA511" s="707"/>
      <c r="HB511" s="707"/>
      <c r="HC511" s="707"/>
      <c r="HD511" s="707"/>
      <c r="HE511" s="707"/>
      <c r="HF511" s="707"/>
      <c r="HG511" s="707"/>
      <c r="HH511" s="707"/>
      <c r="HI511" s="707"/>
      <c r="HJ511" s="707"/>
      <c r="HK511" s="707"/>
      <c r="HL511" s="707"/>
      <c r="HM511" s="707"/>
      <c r="HN511" s="707"/>
      <c r="HO511" s="707"/>
      <c r="HP511" s="707"/>
      <c r="HQ511" s="707"/>
      <c r="HR511" s="707"/>
      <c r="HS511" s="707"/>
      <c r="HT511" s="707"/>
      <c r="HU511" s="707"/>
      <c r="HV511" s="707"/>
      <c r="HW511" s="707"/>
      <c r="HX511" s="707"/>
      <c r="HY511" s="707"/>
      <c r="HZ511" s="707"/>
      <c r="IA511" s="707"/>
      <c r="IB511" s="707"/>
      <c r="IC511" s="707"/>
      <c r="ID511" s="707"/>
      <c r="IE511" s="707"/>
      <c r="IF511" s="707"/>
      <c r="IG511" s="707"/>
      <c r="IH511" s="707"/>
      <c r="II511" s="707"/>
      <c r="IJ511" s="707"/>
      <c r="IK511" s="707"/>
      <c r="IL511" s="707"/>
      <c r="IM511" s="707"/>
      <c r="IN511" s="707"/>
      <c r="IO511" s="707"/>
      <c r="IP511" s="707"/>
      <c r="IQ511" s="707"/>
      <c r="IR511" s="707"/>
      <c r="IS511" s="707"/>
      <c r="IT511" s="707"/>
      <c r="IU511" s="707"/>
      <c r="IV511" s="707"/>
      <c r="IW511" s="707"/>
    </row>
    <row r="512" customFormat="false" ht="12.75" hidden="false" customHeight="false" outlineLevel="1" collapsed="false">
      <c r="A512" s="720"/>
      <c r="B512" s="725"/>
      <c r="C512" s="725"/>
      <c r="D512" s="725"/>
      <c r="E512" s="713"/>
      <c r="F512" s="713"/>
      <c r="G512" s="713"/>
      <c r="H512" s="713"/>
      <c r="I512" s="713"/>
      <c r="J512" s="713"/>
      <c r="K512" s="713"/>
      <c r="L512" s="713"/>
      <c r="M512" s="713"/>
      <c r="N512" s="713"/>
      <c r="O512" s="713"/>
      <c r="P512" s="713"/>
      <c r="Q512" s="713"/>
      <c r="R512" s="713"/>
      <c r="S512" s="713"/>
      <c r="T512" s="713"/>
      <c r="U512" s="713"/>
      <c r="V512" s="713"/>
      <c r="W512" s="713"/>
      <c r="X512" s="713"/>
      <c r="Y512" s="713"/>
      <c r="Z512" s="713"/>
      <c r="AA512" s="722"/>
      <c r="AB512" s="722"/>
      <c r="AC512" s="722"/>
      <c r="AD512" s="722"/>
      <c r="AE512" s="722"/>
      <c r="AF512" s="722"/>
      <c r="AG512" s="722"/>
      <c r="AH512" s="722"/>
      <c r="AI512" s="722"/>
      <c r="AJ512" s="722"/>
      <c r="AK512" s="722"/>
      <c r="AL512" s="722"/>
      <c r="AM512" s="722"/>
      <c r="AN512" s="722"/>
      <c r="AO512" s="722"/>
      <c r="AP512" s="722"/>
      <c r="AQ512" s="722"/>
      <c r="AR512" s="722"/>
      <c r="AS512" s="722"/>
      <c r="AT512" s="722"/>
      <c r="AU512" s="722"/>
      <c r="AV512" s="722"/>
      <c r="AW512" s="722"/>
      <c r="AX512" s="722"/>
      <c r="AY512" s="722"/>
      <c r="AZ512" s="722"/>
      <c r="BA512" s="722"/>
      <c r="BB512" s="722"/>
      <c r="BC512" s="722"/>
      <c r="BD512" s="722"/>
      <c r="BE512" s="722"/>
      <c r="BF512" s="722"/>
      <c r="BG512" s="722"/>
      <c r="BH512" s="722"/>
      <c r="BI512" s="722"/>
      <c r="BJ512" s="722"/>
      <c r="BK512" s="722"/>
      <c r="BL512" s="722"/>
      <c r="BM512" s="722"/>
      <c r="BN512" s="722"/>
      <c r="BO512" s="722"/>
      <c r="BP512" s="722"/>
      <c r="BQ512" s="722"/>
      <c r="BR512" s="722"/>
      <c r="BS512" s="722"/>
      <c r="BT512" s="722"/>
      <c r="BU512" s="722"/>
      <c r="BV512" s="722"/>
      <c r="BW512" s="722"/>
      <c r="BX512" s="722"/>
      <c r="BY512" s="722"/>
      <c r="BZ512" s="722"/>
      <c r="CA512" s="722"/>
      <c r="CB512" s="722"/>
      <c r="CC512" s="722"/>
      <c r="CD512" s="722"/>
      <c r="CE512" s="722"/>
      <c r="CF512" s="722"/>
      <c r="CG512" s="722"/>
      <c r="CH512" s="722"/>
      <c r="CI512" s="722"/>
      <c r="CJ512" s="722"/>
      <c r="CK512" s="722"/>
      <c r="CL512" s="722"/>
      <c r="CM512" s="722"/>
      <c r="CN512" s="722"/>
      <c r="CO512" s="722"/>
      <c r="CP512" s="722"/>
      <c r="CQ512" s="722"/>
      <c r="CR512" s="722"/>
      <c r="CS512" s="722"/>
      <c r="CT512" s="722"/>
      <c r="CU512" s="722"/>
      <c r="CV512" s="722"/>
      <c r="CW512" s="722"/>
      <c r="CX512" s="722"/>
      <c r="CY512" s="722"/>
      <c r="CZ512" s="722"/>
      <c r="DA512" s="722"/>
      <c r="DB512" s="722"/>
      <c r="DC512" s="722"/>
      <c r="DD512" s="722"/>
      <c r="DE512" s="722"/>
      <c r="DF512" s="722"/>
      <c r="DG512" s="722"/>
      <c r="DH512" s="722"/>
      <c r="DI512" s="722"/>
      <c r="DJ512" s="722"/>
      <c r="DK512" s="722"/>
      <c r="DL512" s="722"/>
      <c r="DM512" s="722"/>
      <c r="DN512" s="722"/>
      <c r="DO512" s="722"/>
      <c r="DP512" s="722"/>
      <c r="DQ512" s="722"/>
      <c r="DR512" s="722"/>
      <c r="DS512" s="722"/>
      <c r="DT512" s="722"/>
      <c r="DU512" s="722"/>
      <c r="DV512" s="722"/>
      <c r="DW512" s="722"/>
      <c r="DX512" s="722"/>
      <c r="DY512" s="722"/>
      <c r="DZ512" s="722"/>
      <c r="EA512" s="722"/>
      <c r="EB512" s="722"/>
      <c r="EC512" s="722"/>
      <c r="ED512" s="722"/>
      <c r="EE512" s="722"/>
      <c r="EF512" s="722"/>
      <c r="EG512" s="722"/>
      <c r="EH512" s="722"/>
      <c r="EI512" s="722"/>
      <c r="EJ512" s="722"/>
      <c r="EK512" s="722"/>
      <c r="EL512" s="722"/>
      <c r="EM512" s="722"/>
      <c r="EN512" s="722"/>
      <c r="EO512" s="722"/>
      <c r="EP512" s="722"/>
      <c r="EQ512" s="722"/>
      <c r="ER512" s="722"/>
      <c r="ES512" s="722"/>
      <c r="ET512" s="722"/>
      <c r="EU512" s="722"/>
      <c r="EV512" s="722"/>
      <c r="EW512" s="722"/>
      <c r="EX512" s="722"/>
      <c r="EY512" s="722"/>
      <c r="EZ512" s="722"/>
      <c r="FA512" s="722"/>
      <c r="FB512" s="722"/>
      <c r="FC512" s="722"/>
      <c r="FD512" s="722"/>
      <c r="FE512" s="722"/>
      <c r="FF512" s="722"/>
      <c r="FG512" s="722"/>
      <c r="FH512" s="722"/>
      <c r="FI512" s="722"/>
      <c r="FJ512" s="722"/>
      <c r="FK512" s="722"/>
      <c r="FL512" s="722"/>
      <c r="FM512" s="722"/>
      <c r="FN512" s="722"/>
      <c r="FO512" s="722"/>
      <c r="FP512" s="722"/>
      <c r="FQ512" s="722"/>
      <c r="FR512" s="722"/>
      <c r="FS512" s="722"/>
      <c r="FT512" s="722"/>
      <c r="FU512" s="722"/>
      <c r="FV512" s="722"/>
      <c r="FW512" s="722"/>
      <c r="FX512" s="722"/>
      <c r="FY512" s="722"/>
      <c r="FZ512" s="722"/>
      <c r="GA512" s="722"/>
      <c r="GB512" s="722"/>
      <c r="GC512" s="722"/>
      <c r="GD512" s="722"/>
      <c r="GE512" s="722"/>
      <c r="GF512" s="722"/>
      <c r="GG512" s="722"/>
      <c r="GH512" s="722"/>
      <c r="GI512" s="722"/>
      <c r="GJ512" s="722"/>
      <c r="GK512" s="722"/>
      <c r="GL512" s="722"/>
      <c r="GM512" s="722"/>
      <c r="GN512" s="722"/>
      <c r="GO512" s="722"/>
      <c r="GP512" s="722"/>
      <c r="GQ512" s="722"/>
      <c r="GR512" s="722"/>
      <c r="GS512" s="722"/>
      <c r="GT512" s="722"/>
      <c r="GU512" s="722"/>
      <c r="GV512" s="722"/>
      <c r="GW512" s="722"/>
      <c r="GX512" s="722"/>
      <c r="GY512" s="722"/>
      <c r="GZ512" s="722"/>
      <c r="HA512" s="722"/>
      <c r="HB512" s="722"/>
      <c r="HC512" s="722"/>
      <c r="HD512" s="722"/>
      <c r="HE512" s="722"/>
      <c r="HF512" s="722"/>
      <c r="HG512" s="722"/>
      <c r="HH512" s="722"/>
      <c r="HI512" s="722"/>
      <c r="HJ512" s="722"/>
      <c r="HK512" s="722"/>
      <c r="HL512" s="722"/>
      <c r="HM512" s="722"/>
      <c r="HN512" s="722"/>
      <c r="HO512" s="722"/>
      <c r="HP512" s="722"/>
      <c r="HQ512" s="722"/>
      <c r="HR512" s="722"/>
      <c r="HS512" s="722"/>
      <c r="HT512" s="722"/>
      <c r="HU512" s="722"/>
      <c r="HV512" s="722"/>
      <c r="HW512" s="722"/>
      <c r="HX512" s="722"/>
      <c r="HY512" s="722"/>
      <c r="HZ512" s="722"/>
      <c r="IA512" s="722"/>
      <c r="IB512" s="722"/>
      <c r="IC512" s="722"/>
      <c r="ID512" s="722"/>
      <c r="IE512" s="722"/>
      <c r="IF512" s="722"/>
      <c r="IG512" s="722"/>
      <c r="IH512" s="722"/>
      <c r="II512" s="722"/>
      <c r="IJ512" s="722"/>
      <c r="IK512" s="722"/>
      <c r="IL512" s="722"/>
      <c r="IM512" s="722"/>
      <c r="IN512" s="722"/>
      <c r="IO512" s="722"/>
      <c r="IP512" s="722"/>
      <c r="IQ512" s="722"/>
      <c r="IR512" s="722"/>
      <c r="IS512" s="722"/>
      <c r="IT512" s="722"/>
      <c r="IU512" s="722"/>
      <c r="IV512" s="722"/>
      <c r="IW512" s="722"/>
    </row>
    <row r="513" customFormat="false" ht="12.75" hidden="false" customHeight="false" outlineLevel="1" collapsed="false">
      <c r="A513" s="367"/>
      <c r="B513" s="726"/>
      <c r="C513" s="726"/>
      <c r="D513" s="726"/>
      <c r="E513" s="713"/>
      <c r="F513" s="713"/>
      <c r="G513" s="713"/>
      <c r="H513" s="713"/>
      <c r="I513" s="713"/>
      <c r="J513" s="713"/>
      <c r="K513" s="713"/>
      <c r="L513" s="713"/>
      <c r="M513" s="713"/>
      <c r="N513" s="713"/>
      <c r="O513" s="713"/>
      <c r="P513" s="713"/>
      <c r="Q513" s="713"/>
      <c r="R513" s="713"/>
      <c r="S513" s="713"/>
      <c r="T513" s="713"/>
      <c r="U513" s="713"/>
      <c r="V513" s="713"/>
      <c r="W513" s="713"/>
      <c r="X513" s="713"/>
      <c r="Y513" s="713"/>
      <c r="Z513" s="713"/>
      <c r="AA513" s="707"/>
      <c r="AB513" s="707"/>
      <c r="AC513" s="707"/>
      <c r="AD513" s="707"/>
      <c r="AE513" s="707"/>
      <c r="AF513" s="707"/>
      <c r="AG513" s="707"/>
      <c r="AH513" s="707"/>
      <c r="AI513" s="707"/>
      <c r="AJ513" s="707"/>
      <c r="AK513" s="707"/>
      <c r="AL513" s="707"/>
      <c r="AM513" s="707"/>
      <c r="AN513" s="707"/>
      <c r="AO513" s="707"/>
      <c r="AP513" s="707"/>
      <c r="AQ513" s="707"/>
      <c r="AR513" s="707"/>
      <c r="AS513" s="707"/>
      <c r="AT513" s="707"/>
      <c r="AU513" s="707"/>
      <c r="AV513" s="707"/>
      <c r="AW513" s="707"/>
      <c r="AX513" s="707"/>
      <c r="AY513" s="707"/>
      <c r="AZ513" s="707"/>
      <c r="BA513" s="707"/>
      <c r="BB513" s="707"/>
      <c r="BC513" s="707"/>
      <c r="BD513" s="707"/>
      <c r="BE513" s="707"/>
      <c r="BF513" s="707"/>
      <c r="BG513" s="707"/>
      <c r="BH513" s="707"/>
      <c r="BI513" s="707"/>
      <c r="BJ513" s="707"/>
      <c r="BK513" s="707"/>
      <c r="BL513" s="707"/>
      <c r="BM513" s="707"/>
      <c r="BN513" s="707"/>
      <c r="BO513" s="707"/>
      <c r="BP513" s="707"/>
      <c r="BQ513" s="707"/>
      <c r="BR513" s="707"/>
      <c r="BS513" s="707"/>
      <c r="BT513" s="707"/>
      <c r="BU513" s="707"/>
      <c r="BV513" s="707"/>
      <c r="BW513" s="707"/>
      <c r="BX513" s="707"/>
      <c r="BY513" s="707"/>
      <c r="BZ513" s="707"/>
      <c r="CA513" s="707"/>
      <c r="CB513" s="707"/>
      <c r="CC513" s="707"/>
      <c r="CD513" s="707"/>
      <c r="CE513" s="707"/>
      <c r="CF513" s="707"/>
      <c r="CG513" s="707"/>
      <c r="CH513" s="707"/>
      <c r="CI513" s="707"/>
      <c r="CJ513" s="707"/>
      <c r="CK513" s="707"/>
      <c r="CL513" s="707"/>
      <c r="CM513" s="707"/>
      <c r="CN513" s="707"/>
      <c r="CO513" s="707"/>
      <c r="CP513" s="707"/>
      <c r="CQ513" s="707"/>
      <c r="CR513" s="707"/>
      <c r="CS513" s="707"/>
      <c r="CT513" s="707"/>
      <c r="CU513" s="707"/>
      <c r="CV513" s="707"/>
      <c r="CW513" s="707"/>
      <c r="CX513" s="707"/>
      <c r="CY513" s="707"/>
      <c r="CZ513" s="707"/>
      <c r="DA513" s="707"/>
      <c r="DB513" s="707"/>
      <c r="DC513" s="707"/>
      <c r="DD513" s="707"/>
      <c r="DE513" s="707"/>
      <c r="DF513" s="707"/>
      <c r="DG513" s="707"/>
      <c r="DH513" s="707"/>
      <c r="DI513" s="707"/>
      <c r="DJ513" s="707"/>
      <c r="DK513" s="707"/>
      <c r="DL513" s="707"/>
      <c r="DM513" s="707"/>
      <c r="DN513" s="707"/>
      <c r="DO513" s="707"/>
      <c r="DP513" s="707"/>
      <c r="DQ513" s="707"/>
      <c r="DR513" s="707"/>
      <c r="DS513" s="707"/>
      <c r="DT513" s="707"/>
      <c r="DU513" s="707"/>
      <c r="DV513" s="707"/>
      <c r="DW513" s="707"/>
      <c r="DX513" s="707"/>
      <c r="DY513" s="707"/>
      <c r="DZ513" s="707"/>
      <c r="EA513" s="707"/>
      <c r="EB513" s="707"/>
      <c r="EC513" s="707"/>
      <c r="ED513" s="707"/>
      <c r="EE513" s="707"/>
      <c r="EF513" s="707"/>
      <c r="EG513" s="707"/>
      <c r="EH513" s="707"/>
      <c r="EI513" s="707"/>
      <c r="EJ513" s="707"/>
      <c r="EK513" s="707"/>
      <c r="EL513" s="707"/>
      <c r="EM513" s="707"/>
      <c r="EN513" s="707"/>
      <c r="EO513" s="707"/>
      <c r="EP513" s="707"/>
      <c r="EQ513" s="707"/>
      <c r="ER513" s="707"/>
      <c r="ES513" s="707"/>
      <c r="ET513" s="707"/>
      <c r="EU513" s="707"/>
      <c r="EV513" s="707"/>
      <c r="EW513" s="707"/>
      <c r="EX513" s="707"/>
      <c r="EY513" s="707"/>
      <c r="EZ513" s="707"/>
      <c r="FA513" s="707"/>
      <c r="FB513" s="707"/>
      <c r="FC513" s="707"/>
      <c r="FD513" s="707"/>
      <c r="FE513" s="707"/>
      <c r="FF513" s="707"/>
      <c r="FG513" s="707"/>
      <c r="FH513" s="707"/>
      <c r="FI513" s="707"/>
      <c r="FJ513" s="707"/>
      <c r="FK513" s="707"/>
      <c r="FL513" s="707"/>
      <c r="FM513" s="707"/>
      <c r="FN513" s="707"/>
      <c r="FO513" s="707"/>
      <c r="FP513" s="707"/>
      <c r="FQ513" s="707"/>
      <c r="FR513" s="707"/>
      <c r="FS513" s="707"/>
      <c r="FT513" s="707"/>
      <c r="FU513" s="707"/>
      <c r="FV513" s="707"/>
      <c r="FW513" s="707"/>
      <c r="FX513" s="707"/>
      <c r="FY513" s="707"/>
      <c r="FZ513" s="707"/>
      <c r="GA513" s="707"/>
      <c r="GB513" s="707"/>
      <c r="GC513" s="707"/>
      <c r="GD513" s="707"/>
      <c r="GE513" s="707"/>
      <c r="GF513" s="707"/>
      <c r="GG513" s="707"/>
      <c r="GH513" s="707"/>
      <c r="GI513" s="707"/>
      <c r="GJ513" s="707"/>
      <c r="GK513" s="707"/>
      <c r="GL513" s="707"/>
      <c r="GM513" s="707"/>
      <c r="GN513" s="707"/>
      <c r="GO513" s="707"/>
      <c r="GP513" s="707"/>
      <c r="GQ513" s="707"/>
      <c r="GR513" s="707"/>
      <c r="GS513" s="707"/>
      <c r="GT513" s="707"/>
      <c r="GU513" s="707"/>
      <c r="GV513" s="707"/>
      <c r="GW513" s="707"/>
      <c r="GX513" s="707"/>
      <c r="GY513" s="707"/>
      <c r="GZ513" s="707"/>
      <c r="HA513" s="707"/>
      <c r="HB513" s="707"/>
      <c r="HC513" s="707"/>
      <c r="HD513" s="707"/>
      <c r="HE513" s="707"/>
      <c r="HF513" s="707"/>
      <c r="HG513" s="707"/>
      <c r="HH513" s="707"/>
      <c r="HI513" s="707"/>
      <c r="HJ513" s="707"/>
      <c r="HK513" s="707"/>
      <c r="HL513" s="707"/>
      <c r="HM513" s="707"/>
      <c r="HN513" s="707"/>
      <c r="HO513" s="707"/>
      <c r="HP513" s="707"/>
      <c r="HQ513" s="707"/>
      <c r="HR513" s="707"/>
      <c r="HS513" s="707"/>
      <c r="HT513" s="707"/>
      <c r="HU513" s="707"/>
      <c r="HV513" s="707"/>
      <c r="HW513" s="707"/>
      <c r="HX513" s="707"/>
      <c r="HY513" s="707"/>
      <c r="HZ513" s="707"/>
      <c r="IA513" s="707"/>
      <c r="IB513" s="707"/>
      <c r="IC513" s="707"/>
      <c r="ID513" s="707"/>
      <c r="IE513" s="707"/>
      <c r="IF513" s="707"/>
      <c r="IG513" s="707"/>
      <c r="IH513" s="707"/>
      <c r="II513" s="707"/>
      <c r="IJ513" s="707"/>
      <c r="IK513" s="707"/>
      <c r="IL513" s="707"/>
      <c r="IM513" s="707"/>
      <c r="IN513" s="707"/>
      <c r="IO513" s="707"/>
      <c r="IP513" s="707"/>
      <c r="IQ513" s="707"/>
      <c r="IR513" s="707"/>
      <c r="IS513" s="707"/>
      <c r="IT513" s="707"/>
      <c r="IU513" s="707"/>
      <c r="IV513" s="707"/>
      <c r="IW513" s="707"/>
    </row>
    <row r="514" customFormat="false" ht="12.75" hidden="false" customHeight="false" outlineLevel="1" collapsed="false">
      <c r="A514" s="681"/>
      <c r="B514" s="726"/>
      <c r="C514" s="726"/>
      <c r="D514" s="726"/>
      <c r="E514" s="713"/>
      <c r="F514" s="713"/>
      <c r="G514" s="713"/>
      <c r="H514" s="713"/>
      <c r="I514" s="713"/>
      <c r="J514" s="713"/>
      <c r="K514" s="713"/>
      <c r="L514" s="713"/>
      <c r="M514" s="713"/>
      <c r="N514" s="713"/>
      <c r="O514" s="713"/>
      <c r="P514" s="713"/>
      <c r="Q514" s="713"/>
      <c r="R514" s="713"/>
      <c r="S514" s="713"/>
      <c r="T514" s="713"/>
      <c r="U514" s="713"/>
      <c r="V514" s="713"/>
      <c r="W514" s="713"/>
      <c r="X514" s="713"/>
      <c r="Y514" s="713"/>
      <c r="Z514" s="713"/>
      <c r="AA514" s="707"/>
      <c r="AB514" s="707"/>
      <c r="AC514" s="707"/>
      <c r="AD514" s="707"/>
      <c r="AE514" s="707"/>
      <c r="AF514" s="707"/>
      <c r="AG514" s="707"/>
      <c r="AH514" s="707"/>
      <c r="AI514" s="707"/>
      <c r="AJ514" s="707"/>
      <c r="AK514" s="707"/>
      <c r="AL514" s="707"/>
      <c r="AM514" s="707"/>
      <c r="AN514" s="707"/>
      <c r="AO514" s="707"/>
      <c r="AP514" s="707"/>
      <c r="AQ514" s="707"/>
      <c r="AR514" s="707"/>
      <c r="AS514" s="707"/>
      <c r="AT514" s="707"/>
      <c r="AU514" s="707"/>
      <c r="AV514" s="707"/>
      <c r="AW514" s="707"/>
      <c r="AX514" s="707"/>
      <c r="AY514" s="707"/>
      <c r="AZ514" s="707"/>
      <c r="BA514" s="707"/>
      <c r="BB514" s="707"/>
      <c r="BC514" s="707"/>
      <c r="BD514" s="707"/>
      <c r="BE514" s="707"/>
      <c r="BF514" s="707"/>
      <c r="BG514" s="707"/>
      <c r="BH514" s="707"/>
      <c r="BI514" s="707"/>
      <c r="BJ514" s="707"/>
      <c r="BK514" s="707"/>
      <c r="BL514" s="707"/>
      <c r="BM514" s="707"/>
      <c r="BN514" s="707"/>
      <c r="BO514" s="707"/>
      <c r="BP514" s="707"/>
      <c r="BQ514" s="707"/>
      <c r="BR514" s="707"/>
      <c r="BS514" s="707"/>
      <c r="BT514" s="707"/>
      <c r="BU514" s="707"/>
      <c r="BV514" s="707"/>
      <c r="BW514" s="707"/>
      <c r="BX514" s="707"/>
      <c r="BY514" s="707"/>
      <c r="BZ514" s="707"/>
      <c r="CA514" s="707"/>
      <c r="CB514" s="707"/>
      <c r="CC514" s="707"/>
      <c r="CD514" s="707"/>
      <c r="CE514" s="707"/>
      <c r="CF514" s="707"/>
      <c r="CG514" s="707"/>
      <c r="CH514" s="707"/>
      <c r="CI514" s="707"/>
      <c r="CJ514" s="707"/>
      <c r="CK514" s="707"/>
      <c r="CL514" s="707"/>
      <c r="CM514" s="707"/>
      <c r="CN514" s="707"/>
      <c r="CO514" s="707"/>
      <c r="CP514" s="707"/>
      <c r="CQ514" s="707"/>
      <c r="CR514" s="707"/>
      <c r="CS514" s="707"/>
      <c r="CT514" s="707"/>
      <c r="CU514" s="707"/>
      <c r="CV514" s="707"/>
      <c r="CW514" s="707"/>
      <c r="CX514" s="707"/>
      <c r="CY514" s="707"/>
      <c r="CZ514" s="707"/>
      <c r="DA514" s="707"/>
      <c r="DB514" s="707"/>
      <c r="DC514" s="707"/>
      <c r="DD514" s="707"/>
      <c r="DE514" s="707"/>
      <c r="DF514" s="707"/>
      <c r="DG514" s="707"/>
      <c r="DH514" s="707"/>
      <c r="DI514" s="707"/>
      <c r="DJ514" s="707"/>
      <c r="DK514" s="707"/>
      <c r="DL514" s="707"/>
      <c r="DM514" s="707"/>
      <c r="DN514" s="707"/>
      <c r="DO514" s="707"/>
      <c r="DP514" s="707"/>
      <c r="DQ514" s="707"/>
      <c r="DR514" s="707"/>
      <c r="DS514" s="707"/>
      <c r="DT514" s="707"/>
      <c r="DU514" s="707"/>
      <c r="DV514" s="707"/>
      <c r="DW514" s="707"/>
      <c r="DX514" s="707"/>
      <c r="DY514" s="707"/>
      <c r="DZ514" s="707"/>
      <c r="EA514" s="707"/>
      <c r="EB514" s="707"/>
      <c r="EC514" s="707"/>
      <c r="ED514" s="707"/>
      <c r="EE514" s="707"/>
      <c r="EF514" s="707"/>
      <c r="EG514" s="707"/>
      <c r="EH514" s="707"/>
      <c r="EI514" s="707"/>
      <c r="EJ514" s="707"/>
      <c r="EK514" s="707"/>
      <c r="EL514" s="707"/>
      <c r="EM514" s="707"/>
      <c r="EN514" s="707"/>
      <c r="EO514" s="707"/>
      <c r="EP514" s="707"/>
      <c r="EQ514" s="707"/>
      <c r="ER514" s="707"/>
      <c r="ES514" s="707"/>
      <c r="ET514" s="707"/>
      <c r="EU514" s="707"/>
      <c r="EV514" s="707"/>
      <c r="EW514" s="707"/>
      <c r="EX514" s="707"/>
      <c r="EY514" s="707"/>
      <c r="EZ514" s="707"/>
      <c r="FA514" s="707"/>
      <c r="FB514" s="707"/>
      <c r="FC514" s="707"/>
      <c r="FD514" s="707"/>
      <c r="FE514" s="707"/>
      <c r="FF514" s="707"/>
      <c r="FG514" s="707"/>
      <c r="FH514" s="707"/>
      <c r="FI514" s="707"/>
      <c r="FJ514" s="707"/>
      <c r="FK514" s="707"/>
      <c r="FL514" s="707"/>
      <c r="FM514" s="707"/>
      <c r="FN514" s="707"/>
      <c r="FO514" s="707"/>
      <c r="FP514" s="707"/>
      <c r="FQ514" s="707"/>
      <c r="FR514" s="707"/>
      <c r="FS514" s="707"/>
      <c r="FT514" s="707"/>
      <c r="FU514" s="707"/>
      <c r="FV514" s="707"/>
      <c r="FW514" s="707"/>
      <c r="FX514" s="707"/>
      <c r="FY514" s="707"/>
      <c r="FZ514" s="707"/>
      <c r="GA514" s="707"/>
      <c r="GB514" s="707"/>
      <c r="GC514" s="707"/>
      <c r="GD514" s="707"/>
      <c r="GE514" s="707"/>
      <c r="GF514" s="707"/>
      <c r="GG514" s="707"/>
      <c r="GH514" s="707"/>
      <c r="GI514" s="707"/>
      <c r="GJ514" s="707"/>
      <c r="GK514" s="707"/>
      <c r="GL514" s="707"/>
      <c r="GM514" s="707"/>
      <c r="GN514" s="707"/>
      <c r="GO514" s="707"/>
      <c r="GP514" s="707"/>
      <c r="GQ514" s="707"/>
      <c r="GR514" s="707"/>
      <c r="GS514" s="707"/>
      <c r="GT514" s="707"/>
      <c r="GU514" s="707"/>
      <c r="GV514" s="707"/>
      <c r="GW514" s="707"/>
      <c r="GX514" s="707"/>
      <c r="GY514" s="707"/>
      <c r="GZ514" s="707"/>
      <c r="HA514" s="707"/>
      <c r="HB514" s="707"/>
      <c r="HC514" s="707"/>
      <c r="HD514" s="707"/>
      <c r="HE514" s="707"/>
      <c r="HF514" s="707"/>
      <c r="HG514" s="707"/>
      <c r="HH514" s="707"/>
      <c r="HI514" s="707"/>
      <c r="HJ514" s="707"/>
      <c r="HK514" s="707"/>
      <c r="HL514" s="707"/>
      <c r="HM514" s="707"/>
      <c r="HN514" s="707"/>
      <c r="HO514" s="707"/>
      <c r="HP514" s="707"/>
      <c r="HQ514" s="707"/>
      <c r="HR514" s="707"/>
      <c r="HS514" s="707"/>
      <c r="HT514" s="707"/>
      <c r="HU514" s="707"/>
      <c r="HV514" s="707"/>
      <c r="HW514" s="707"/>
      <c r="HX514" s="707"/>
      <c r="HY514" s="707"/>
      <c r="HZ514" s="707"/>
      <c r="IA514" s="707"/>
      <c r="IB514" s="707"/>
      <c r="IC514" s="707"/>
      <c r="ID514" s="707"/>
      <c r="IE514" s="707"/>
      <c r="IF514" s="707"/>
      <c r="IG514" s="707"/>
      <c r="IH514" s="707"/>
      <c r="II514" s="707"/>
      <c r="IJ514" s="707"/>
      <c r="IK514" s="707"/>
      <c r="IL514" s="707"/>
      <c r="IM514" s="707"/>
      <c r="IN514" s="707"/>
      <c r="IO514" s="707"/>
      <c r="IP514" s="707"/>
      <c r="IQ514" s="707"/>
      <c r="IR514" s="707"/>
      <c r="IS514" s="707"/>
      <c r="IT514" s="707"/>
      <c r="IU514" s="707"/>
      <c r="IV514" s="707"/>
      <c r="IW514" s="707"/>
    </row>
    <row r="515" customFormat="false" ht="12.75" hidden="false" customHeight="false" outlineLevel="1" collapsed="false">
      <c r="A515" s="366"/>
      <c r="B515" s="719"/>
      <c r="C515" s="719"/>
      <c r="D515" s="719"/>
      <c r="E515" s="713"/>
      <c r="F515" s="713"/>
      <c r="G515" s="713"/>
      <c r="H515" s="713"/>
      <c r="I515" s="713"/>
      <c r="J515" s="713"/>
      <c r="K515" s="713"/>
      <c r="L515" s="713"/>
      <c r="M515" s="713"/>
      <c r="N515" s="713"/>
      <c r="O515" s="713"/>
      <c r="P515" s="713"/>
      <c r="Q515" s="713"/>
      <c r="R515" s="713"/>
      <c r="S515" s="713"/>
      <c r="T515" s="713"/>
      <c r="U515" s="713"/>
      <c r="V515" s="713"/>
      <c r="W515" s="713"/>
      <c r="X515" s="713"/>
      <c r="Y515" s="713"/>
      <c r="Z515" s="713"/>
      <c r="AA515" s="707"/>
      <c r="AB515" s="707"/>
      <c r="AC515" s="707"/>
      <c r="AD515" s="707"/>
      <c r="AE515" s="707"/>
      <c r="AF515" s="707"/>
      <c r="AG515" s="707"/>
      <c r="AH515" s="707"/>
      <c r="AI515" s="707"/>
      <c r="AJ515" s="707"/>
      <c r="AK515" s="707"/>
      <c r="AL515" s="707"/>
      <c r="AM515" s="707"/>
      <c r="AN515" s="707"/>
      <c r="AO515" s="707"/>
      <c r="AP515" s="707"/>
      <c r="AQ515" s="707"/>
      <c r="AR515" s="707"/>
      <c r="AS515" s="707"/>
      <c r="AT515" s="707"/>
      <c r="AU515" s="707"/>
      <c r="AV515" s="707"/>
      <c r="AW515" s="707"/>
      <c r="AX515" s="707"/>
      <c r="AY515" s="707"/>
      <c r="AZ515" s="707"/>
      <c r="BA515" s="707"/>
      <c r="BB515" s="707"/>
      <c r="BC515" s="707"/>
      <c r="BD515" s="707"/>
      <c r="BE515" s="707"/>
      <c r="BF515" s="707"/>
      <c r="BG515" s="707"/>
      <c r="BH515" s="707"/>
      <c r="BI515" s="707"/>
      <c r="BJ515" s="707"/>
      <c r="BK515" s="707"/>
      <c r="BL515" s="707"/>
      <c r="BM515" s="707"/>
      <c r="BN515" s="707"/>
      <c r="BO515" s="707"/>
      <c r="BP515" s="707"/>
      <c r="BQ515" s="707"/>
      <c r="BR515" s="707"/>
      <c r="BS515" s="707"/>
      <c r="BT515" s="707"/>
      <c r="BU515" s="707"/>
      <c r="BV515" s="707"/>
      <c r="BW515" s="707"/>
      <c r="BX515" s="707"/>
      <c r="BY515" s="707"/>
      <c r="BZ515" s="707"/>
      <c r="CA515" s="707"/>
      <c r="CB515" s="707"/>
      <c r="CC515" s="707"/>
      <c r="CD515" s="707"/>
      <c r="CE515" s="707"/>
      <c r="CF515" s="707"/>
      <c r="CG515" s="707"/>
      <c r="CH515" s="707"/>
      <c r="CI515" s="707"/>
      <c r="CJ515" s="707"/>
      <c r="CK515" s="707"/>
      <c r="CL515" s="707"/>
      <c r="CM515" s="707"/>
      <c r="CN515" s="707"/>
      <c r="CO515" s="707"/>
      <c r="CP515" s="707"/>
      <c r="CQ515" s="707"/>
      <c r="CR515" s="707"/>
      <c r="CS515" s="707"/>
      <c r="CT515" s="707"/>
      <c r="CU515" s="707"/>
      <c r="CV515" s="707"/>
      <c r="CW515" s="707"/>
      <c r="CX515" s="707"/>
      <c r="CY515" s="707"/>
      <c r="CZ515" s="707"/>
      <c r="DA515" s="707"/>
      <c r="DB515" s="707"/>
      <c r="DC515" s="707"/>
      <c r="DD515" s="707"/>
      <c r="DE515" s="707"/>
      <c r="DF515" s="707"/>
      <c r="DG515" s="707"/>
      <c r="DH515" s="707"/>
      <c r="DI515" s="707"/>
      <c r="DJ515" s="707"/>
      <c r="DK515" s="707"/>
      <c r="DL515" s="707"/>
      <c r="DM515" s="707"/>
      <c r="DN515" s="707"/>
      <c r="DO515" s="707"/>
      <c r="DP515" s="707"/>
      <c r="DQ515" s="707"/>
      <c r="DR515" s="707"/>
      <c r="DS515" s="707"/>
      <c r="DT515" s="707"/>
      <c r="DU515" s="707"/>
      <c r="DV515" s="707"/>
      <c r="DW515" s="707"/>
      <c r="DX515" s="707"/>
      <c r="DY515" s="707"/>
      <c r="DZ515" s="707"/>
      <c r="EA515" s="707"/>
      <c r="EB515" s="707"/>
      <c r="EC515" s="707"/>
      <c r="ED515" s="707"/>
      <c r="EE515" s="707"/>
      <c r="EF515" s="707"/>
      <c r="EG515" s="707"/>
      <c r="EH515" s="707"/>
      <c r="EI515" s="707"/>
      <c r="EJ515" s="707"/>
      <c r="EK515" s="707"/>
      <c r="EL515" s="707"/>
      <c r="EM515" s="707"/>
      <c r="EN515" s="707"/>
      <c r="EO515" s="707"/>
      <c r="EP515" s="707"/>
      <c r="EQ515" s="707"/>
      <c r="ER515" s="707"/>
      <c r="ES515" s="707"/>
      <c r="ET515" s="707"/>
      <c r="EU515" s="707"/>
      <c r="EV515" s="707"/>
      <c r="EW515" s="707"/>
      <c r="EX515" s="707"/>
      <c r="EY515" s="707"/>
      <c r="EZ515" s="707"/>
      <c r="FA515" s="707"/>
      <c r="FB515" s="707"/>
      <c r="FC515" s="707"/>
      <c r="FD515" s="707"/>
      <c r="FE515" s="707"/>
      <c r="FF515" s="707"/>
      <c r="FG515" s="707"/>
      <c r="FH515" s="707"/>
      <c r="FI515" s="707"/>
      <c r="FJ515" s="707"/>
      <c r="FK515" s="707"/>
      <c r="FL515" s="707"/>
      <c r="FM515" s="707"/>
      <c r="FN515" s="707"/>
      <c r="FO515" s="707"/>
      <c r="FP515" s="707"/>
      <c r="FQ515" s="707"/>
      <c r="FR515" s="707"/>
      <c r="FS515" s="707"/>
      <c r="FT515" s="707"/>
      <c r="FU515" s="707"/>
      <c r="FV515" s="707"/>
      <c r="FW515" s="707"/>
      <c r="FX515" s="707"/>
      <c r="FY515" s="707"/>
      <c r="FZ515" s="707"/>
      <c r="GA515" s="707"/>
      <c r="GB515" s="707"/>
      <c r="GC515" s="707"/>
      <c r="GD515" s="707"/>
      <c r="GE515" s="707"/>
      <c r="GF515" s="707"/>
      <c r="GG515" s="707"/>
      <c r="GH515" s="707"/>
      <c r="GI515" s="707"/>
      <c r="GJ515" s="707"/>
      <c r="GK515" s="707"/>
      <c r="GL515" s="707"/>
      <c r="GM515" s="707"/>
      <c r="GN515" s="707"/>
      <c r="GO515" s="707"/>
      <c r="GP515" s="707"/>
      <c r="GQ515" s="707"/>
      <c r="GR515" s="707"/>
      <c r="GS515" s="707"/>
      <c r="GT515" s="707"/>
      <c r="GU515" s="707"/>
      <c r="GV515" s="707"/>
      <c r="GW515" s="707"/>
      <c r="GX515" s="707"/>
      <c r="GY515" s="707"/>
      <c r="GZ515" s="707"/>
      <c r="HA515" s="707"/>
      <c r="HB515" s="707"/>
      <c r="HC515" s="707"/>
      <c r="HD515" s="707"/>
      <c r="HE515" s="707"/>
      <c r="HF515" s="707"/>
      <c r="HG515" s="707"/>
      <c r="HH515" s="707"/>
      <c r="HI515" s="707"/>
      <c r="HJ515" s="707"/>
      <c r="HK515" s="707"/>
      <c r="HL515" s="707"/>
      <c r="HM515" s="707"/>
      <c r="HN515" s="707"/>
      <c r="HO515" s="707"/>
      <c r="HP515" s="707"/>
      <c r="HQ515" s="707"/>
      <c r="HR515" s="707"/>
      <c r="HS515" s="707"/>
      <c r="HT515" s="707"/>
      <c r="HU515" s="707"/>
      <c r="HV515" s="707"/>
      <c r="HW515" s="707"/>
      <c r="HX515" s="707"/>
      <c r="HY515" s="707"/>
      <c r="HZ515" s="707"/>
      <c r="IA515" s="707"/>
      <c r="IB515" s="707"/>
      <c r="IC515" s="707"/>
      <c r="ID515" s="707"/>
      <c r="IE515" s="707"/>
      <c r="IF515" s="707"/>
      <c r="IG515" s="707"/>
      <c r="IH515" s="707"/>
      <c r="II515" s="707"/>
      <c r="IJ515" s="707"/>
      <c r="IK515" s="707"/>
      <c r="IL515" s="707"/>
      <c r="IM515" s="707"/>
      <c r="IN515" s="707"/>
      <c r="IO515" s="707"/>
      <c r="IP515" s="707"/>
      <c r="IQ515" s="707"/>
      <c r="IR515" s="707"/>
      <c r="IS515" s="707"/>
      <c r="IT515" s="707"/>
      <c r="IU515" s="707"/>
      <c r="IV515" s="707"/>
      <c r="IW515" s="707"/>
    </row>
    <row r="516" customFormat="false" ht="12.75" hidden="false" customHeight="false" outlineLevel="1" collapsed="false">
      <c r="A516" s="724"/>
      <c r="B516" s="725"/>
      <c r="C516" s="725"/>
      <c r="D516" s="725"/>
      <c r="E516" s="713"/>
      <c r="F516" s="713"/>
      <c r="G516" s="713"/>
      <c r="H516" s="713"/>
      <c r="I516" s="713"/>
      <c r="J516" s="713"/>
      <c r="K516" s="713"/>
      <c r="L516" s="713"/>
      <c r="M516" s="713"/>
      <c r="N516" s="713"/>
      <c r="O516" s="713"/>
      <c r="P516" s="713"/>
      <c r="Q516" s="713"/>
      <c r="R516" s="713"/>
      <c r="S516" s="713"/>
      <c r="T516" s="713"/>
      <c r="U516" s="713"/>
      <c r="V516" s="713"/>
      <c r="W516" s="713"/>
      <c r="X516" s="713"/>
      <c r="Y516" s="713"/>
      <c r="Z516" s="713"/>
      <c r="AA516" s="722"/>
      <c r="AB516" s="722"/>
      <c r="AC516" s="722"/>
      <c r="AD516" s="722"/>
      <c r="AE516" s="722"/>
      <c r="AF516" s="722"/>
      <c r="AG516" s="722"/>
      <c r="AH516" s="722"/>
      <c r="AI516" s="722"/>
      <c r="AJ516" s="722"/>
      <c r="AK516" s="722"/>
      <c r="AL516" s="722"/>
      <c r="AM516" s="722"/>
      <c r="AN516" s="722"/>
      <c r="AO516" s="722"/>
      <c r="AP516" s="722"/>
      <c r="AQ516" s="722"/>
      <c r="AR516" s="722"/>
      <c r="AS516" s="722"/>
      <c r="AT516" s="722"/>
      <c r="AU516" s="722"/>
      <c r="AV516" s="722"/>
      <c r="AW516" s="722"/>
      <c r="AX516" s="722"/>
      <c r="AY516" s="722"/>
      <c r="AZ516" s="722"/>
      <c r="BA516" s="722"/>
      <c r="BB516" s="722"/>
      <c r="BC516" s="722"/>
      <c r="BD516" s="722"/>
      <c r="BE516" s="722"/>
      <c r="BF516" s="722"/>
      <c r="BG516" s="722"/>
      <c r="BH516" s="722"/>
      <c r="BI516" s="722"/>
      <c r="BJ516" s="722"/>
      <c r="BK516" s="722"/>
      <c r="BL516" s="722"/>
      <c r="BM516" s="722"/>
      <c r="BN516" s="722"/>
      <c r="BO516" s="722"/>
      <c r="BP516" s="722"/>
      <c r="BQ516" s="722"/>
      <c r="BR516" s="722"/>
      <c r="BS516" s="722"/>
      <c r="BT516" s="722"/>
      <c r="BU516" s="722"/>
      <c r="BV516" s="722"/>
      <c r="BW516" s="722"/>
      <c r="BX516" s="722"/>
      <c r="BY516" s="722"/>
      <c r="BZ516" s="722"/>
      <c r="CA516" s="722"/>
      <c r="CB516" s="722"/>
      <c r="CC516" s="722"/>
      <c r="CD516" s="722"/>
      <c r="CE516" s="722"/>
      <c r="CF516" s="722"/>
      <c r="CG516" s="722"/>
      <c r="CH516" s="722"/>
      <c r="CI516" s="722"/>
      <c r="CJ516" s="722"/>
      <c r="CK516" s="722"/>
      <c r="CL516" s="722"/>
      <c r="CM516" s="722"/>
      <c r="CN516" s="722"/>
      <c r="CO516" s="722"/>
      <c r="CP516" s="722"/>
      <c r="CQ516" s="722"/>
      <c r="CR516" s="722"/>
      <c r="CS516" s="722"/>
      <c r="CT516" s="722"/>
      <c r="CU516" s="722"/>
      <c r="CV516" s="722"/>
      <c r="CW516" s="722"/>
      <c r="CX516" s="722"/>
      <c r="CY516" s="722"/>
      <c r="CZ516" s="722"/>
      <c r="DA516" s="722"/>
      <c r="DB516" s="722"/>
      <c r="DC516" s="722"/>
      <c r="DD516" s="722"/>
      <c r="DE516" s="722"/>
      <c r="DF516" s="722"/>
      <c r="DG516" s="722"/>
      <c r="DH516" s="722"/>
      <c r="DI516" s="722"/>
      <c r="DJ516" s="722"/>
      <c r="DK516" s="722"/>
      <c r="DL516" s="722"/>
      <c r="DM516" s="722"/>
      <c r="DN516" s="722"/>
      <c r="DO516" s="722"/>
      <c r="DP516" s="722"/>
      <c r="DQ516" s="722"/>
      <c r="DR516" s="722"/>
      <c r="DS516" s="722"/>
      <c r="DT516" s="722"/>
      <c r="DU516" s="722"/>
      <c r="DV516" s="722"/>
      <c r="DW516" s="722"/>
      <c r="DX516" s="722"/>
      <c r="DY516" s="722"/>
      <c r="DZ516" s="722"/>
      <c r="EA516" s="722"/>
      <c r="EB516" s="722"/>
      <c r="EC516" s="722"/>
      <c r="ED516" s="722"/>
      <c r="EE516" s="722"/>
      <c r="EF516" s="722"/>
      <c r="EG516" s="722"/>
      <c r="EH516" s="722"/>
      <c r="EI516" s="722"/>
      <c r="EJ516" s="722"/>
      <c r="EK516" s="722"/>
      <c r="EL516" s="722"/>
      <c r="EM516" s="722"/>
      <c r="EN516" s="722"/>
      <c r="EO516" s="722"/>
      <c r="EP516" s="722"/>
      <c r="EQ516" s="722"/>
      <c r="ER516" s="722"/>
      <c r="ES516" s="722"/>
      <c r="ET516" s="722"/>
      <c r="EU516" s="722"/>
      <c r="EV516" s="722"/>
      <c r="EW516" s="722"/>
      <c r="EX516" s="722"/>
      <c r="EY516" s="722"/>
      <c r="EZ516" s="722"/>
      <c r="FA516" s="722"/>
      <c r="FB516" s="722"/>
      <c r="FC516" s="722"/>
      <c r="FD516" s="722"/>
      <c r="FE516" s="722"/>
      <c r="FF516" s="722"/>
      <c r="FG516" s="722"/>
      <c r="FH516" s="722"/>
      <c r="FI516" s="722"/>
      <c r="FJ516" s="722"/>
      <c r="FK516" s="722"/>
      <c r="FL516" s="722"/>
      <c r="FM516" s="722"/>
      <c r="FN516" s="722"/>
      <c r="FO516" s="722"/>
      <c r="FP516" s="722"/>
      <c r="FQ516" s="722"/>
      <c r="FR516" s="722"/>
      <c r="FS516" s="722"/>
      <c r="FT516" s="722"/>
      <c r="FU516" s="722"/>
      <c r="FV516" s="722"/>
      <c r="FW516" s="722"/>
      <c r="FX516" s="722"/>
      <c r="FY516" s="722"/>
      <c r="FZ516" s="722"/>
      <c r="GA516" s="722"/>
      <c r="GB516" s="722"/>
      <c r="GC516" s="722"/>
      <c r="GD516" s="722"/>
      <c r="GE516" s="722"/>
      <c r="GF516" s="722"/>
      <c r="GG516" s="722"/>
      <c r="GH516" s="722"/>
      <c r="GI516" s="722"/>
      <c r="GJ516" s="722"/>
      <c r="GK516" s="722"/>
      <c r="GL516" s="722"/>
      <c r="GM516" s="722"/>
      <c r="GN516" s="722"/>
      <c r="GO516" s="722"/>
      <c r="GP516" s="722"/>
      <c r="GQ516" s="722"/>
      <c r="GR516" s="722"/>
      <c r="GS516" s="722"/>
      <c r="GT516" s="722"/>
      <c r="GU516" s="722"/>
      <c r="GV516" s="722"/>
      <c r="GW516" s="722"/>
      <c r="GX516" s="722"/>
      <c r="GY516" s="722"/>
      <c r="GZ516" s="722"/>
      <c r="HA516" s="722"/>
      <c r="HB516" s="722"/>
      <c r="HC516" s="722"/>
      <c r="HD516" s="722"/>
      <c r="HE516" s="722"/>
      <c r="HF516" s="722"/>
      <c r="HG516" s="722"/>
      <c r="HH516" s="722"/>
      <c r="HI516" s="722"/>
      <c r="HJ516" s="722"/>
      <c r="HK516" s="722"/>
      <c r="HL516" s="722"/>
      <c r="HM516" s="722"/>
      <c r="HN516" s="722"/>
      <c r="HO516" s="722"/>
      <c r="HP516" s="722"/>
      <c r="HQ516" s="722"/>
      <c r="HR516" s="722"/>
      <c r="HS516" s="722"/>
      <c r="HT516" s="722"/>
      <c r="HU516" s="722"/>
      <c r="HV516" s="722"/>
      <c r="HW516" s="722"/>
      <c r="HX516" s="722"/>
      <c r="HY516" s="722"/>
      <c r="HZ516" s="722"/>
      <c r="IA516" s="722"/>
      <c r="IB516" s="722"/>
      <c r="IC516" s="722"/>
      <c r="ID516" s="722"/>
      <c r="IE516" s="722"/>
      <c r="IF516" s="722"/>
      <c r="IG516" s="722"/>
      <c r="IH516" s="722"/>
      <c r="II516" s="722"/>
      <c r="IJ516" s="722"/>
      <c r="IK516" s="722"/>
      <c r="IL516" s="722"/>
      <c r="IM516" s="722"/>
      <c r="IN516" s="722"/>
      <c r="IO516" s="722"/>
      <c r="IP516" s="722"/>
      <c r="IQ516" s="722"/>
      <c r="IR516" s="722"/>
      <c r="IS516" s="722"/>
      <c r="IT516" s="722"/>
      <c r="IU516" s="722"/>
      <c r="IV516" s="722"/>
      <c r="IW516" s="722"/>
    </row>
    <row r="517" customFormat="false" ht="12.75" hidden="false" customHeight="false" outlineLevel="1" collapsed="false">
      <c r="A517" s="388"/>
      <c r="B517" s="706"/>
      <c r="C517" s="706"/>
      <c r="D517" s="706"/>
      <c r="E517" s="713"/>
      <c r="F517" s="713"/>
      <c r="G517" s="713"/>
      <c r="H517" s="713"/>
      <c r="I517" s="713"/>
      <c r="J517" s="713"/>
      <c r="K517" s="713"/>
      <c r="L517" s="713"/>
      <c r="M517" s="713"/>
      <c r="N517" s="713"/>
      <c r="O517" s="713"/>
      <c r="P517" s="713"/>
      <c r="Q517" s="713"/>
      <c r="R517" s="713"/>
      <c r="S517" s="713"/>
      <c r="T517" s="713"/>
      <c r="U517" s="713"/>
      <c r="V517" s="713"/>
      <c r="W517" s="713"/>
      <c r="X517" s="713"/>
      <c r="Y517" s="713"/>
      <c r="Z517" s="713"/>
      <c r="AA517" s="707"/>
      <c r="AB517" s="707"/>
      <c r="AC517" s="707"/>
      <c r="AD517" s="707"/>
      <c r="AE517" s="707"/>
      <c r="AF517" s="707"/>
      <c r="AG517" s="707"/>
      <c r="AH517" s="707"/>
      <c r="AI517" s="707"/>
      <c r="AJ517" s="707"/>
      <c r="AK517" s="707"/>
      <c r="AL517" s="707"/>
      <c r="AM517" s="707"/>
      <c r="AN517" s="707"/>
      <c r="AO517" s="707"/>
      <c r="AP517" s="707"/>
      <c r="AQ517" s="707"/>
      <c r="AR517" s="707"/>
      <c r="AS517" s="707"/>
      <c r="AT517" s="707"/>
      <c r="AU517" s="707"/>
      <c r="AV517" s="707"/>
      <c r="AW517" s="707"/>
      <c r="AX517" s="707"/>
      <c r="AY517" s="707"/>
      <c r="AZ517" s="707"/>
      <c r="BA517" s="707"/>
      <c r="BB517" s="707"/>
      <c r="BC517" s="707"/>
      <c r="BD517" s="707"/>
      <c r="BE517" s="707"/>
      <c r="BF517" s="707"/>
      <c r="BG517" s="707"/>
      <c r="BH517" s="707"/>
      <c r="BI517" s="707"/>
      <c r="BJ517" s="707"/>
      <c r="BK517" s="707"/>
      <c r="BL517" s="707"/>
      <c r="BM517" s="707"/>
      <c r="BN517" s="707"/>
      <c r="BO517" s="707"/>
      <c r="BP517" s="707"/>
      <c r="BQ517" s="707"/>
      <c r="BR517" s="707"/>
      <c r="BS517" s="707"/>
      <c r="BT517" s="707"/>
      <c r="BU517" s="707"/>
      <c r="BV517" s="707"/>
      <c r="BW517" s="707"/>
      <c r="BX517" s="707"/>
      <c r="BY517" s="707"/>
      <c r="BZ517" s="707"/>
      <c r="CA517" s="707"/>
      <c r="CB517" s="707"/>
      <c r="CC517" s="707"/>
      <c r="CD517" s="707"/>
      <c r="CE517" s="707"/>
      <c r="CF517" s="707"/>
      <c r="CG517" s="707"/>
      <c r="CH517" s="707"/>
      <c r="CI517" s="707"/>
      <c r="CJ517" s="707"/>
      <c r="CK517" s="707"/>
      <c r="CL517" s="707"/>
      <c r="CM517" s="707"/>
      <c r="CN517" s="707"/>
      <c r="CO517" s="707"/>
      <c r="CP517" s="707"/>
      <c r="CQ517" s="707"/>
      <c r="CR517" s="707"/>
      <c r="CS517" s="707"/>
      <c r="CT517" s="707"/>
      <c r="CU517" s="707"/>
      <c r="CV517" s="707"/>
      <c r="CW517" s="707"/>
      <c r="CX517" s="707"/>
      <c r="CY517" s="707"/>
      <c r="CZ517" s="707"/>
      <c r="DA517" s="707"/>
      <c r="DB517" s="707"/>
      <c r="DC517" s="707"/>
      <c r="DD517" s="707"/>
      <c r="DE517" s="707"/>
      <c r="DF517" s="707"/>
      <c r="DG517" s="707"/>
      <c r="DH517" s="707"/>
      <c r="DI517" s="707"/>
      <c r="DJ517" s="707"/>
      <c r="DK517" s="707"/>
      <c r="DL517" s="707"/>
      <c r="DM517" s="707"/>
      <c r="DN517" s="707"/>
      <c r="DO517" s="707"/>
      <c r="DP517" s="707"/>
      <c r="DQ517" s="707"/>
      <c r="DR517" s="707"/>
      <c r="DS517" s="707"/>
      <c r="DT517" s="707"/>
      <c r="DU517" s="707"/>
      <c r="DV517" s="707"/>
      <c r="DW517" s="707"/>
      <c r="DX517" s="707"/>
      <c r="DY517" s="707"/>
      <c r="DZ517" s="707"/>
      <c r="EA517" s="707"/>
      <c r="EB517" s="707"/>
      <c r="EC517" s="707"/>
      <c r="ED517" s="707"/>
      <c r="EE517" s="707"/>
      <c r="EF517" s="707"/>
      <c r="EG517" s="707"/>
      <c r="EH517" s="707"/>
      <c r="EI517" s="707"/>
      <c r="EJ517" s="707"/>
      <c r="EK517" s="707"/>
      <c r="EL517" s="707"/>
      <c r="EM517" s="707"/>
      <c r="EN517" s="707"/>
      <c r="EO517" s="707"/>
      <c r="EP517" s="707"/>
      <c r="EQ517" s="707"/>
      <c r="ER517" s="707"/>
      <c r="ES517" s="707"/>
      <c r="ET517" s="707"/>
      <c r="EU517" s="707"/>
      <c r="EV517" s="707"/>
      <c r="EW517" s="707"/>
      <c r="EX517" s="707"/>
      <c r="EY517" s="707"/>
      <c r="EZ517" s="707"/>
      <c r="FA517" s="707"/>
      <c r="FB517" s="707"/>
      <c r="FC517" s="707"/>
      <c r="FD517" s="707"/>
      <c r="FE517" s="707"/>
      <c r="FF517" s="707"/>
      <c r="FG517" s="707"/>
      <c r="FH517" s="707"/>
      <c r="FI517" s="707"/>
      <c r="FJ517" s="707"/>
      <c r="FK517" s="707"/>
      <c r="FL517" s="707"/>
      <c r="FM517" s="707"/>
      <c r="FN517" s="707"/>
      <c r="FO517" s="707"/>
      <c r="FP517" s="707"/>
      <c r="FQ517" s="707"/>
      <c r="FR517" s="707"/>
      <c r="FS517" s="707"/>
      <c r="FT517" s="707"/>
      <c r="FU517" s="707"/>
      <c r="FV517" s="707"/>
      <c r="FW517" s="707"/>
      <c r="FX517" s="707"/>
      <c r="FY517" s="707"/>
      <c r="FZ517" s="707"/>
      <c r="GA517" s="707"/>
      <c r="GB517" s="707"/>
      <c r="GC517" s="707"/>
      <c r="GD517" s="707"/>
      <c r="GE517" s="707"/>
      <c r="GF517" s="707"/>
      <c r="GG517" s="707"/>
      <c r="GH517" s="707"/>
      <c r="GI517" s="707"/>
      <c r="GJ517" s="707"/>
      <c r="GK517" s="707"/>
      <c r="GL517" s="707"/>
      <c r="GM517" s="707"/>
      <c r="GN517" s="707"/>
      <c r="GO517" s="707"/>
      <c r="GP517" s="707"/>
      <c r="GQ517" s="707"/>
      <c r="GR517" s="707"/>
      <c r="GS517" s="707"/>
      <c r="GT517" s="707"/>
      <c r="GU517" s="707"/>
      <c r="GV517" s="707"/>
      <c r="GW517" s="707"/>
      <c r="GX517" s="707"/>
      <c r="GY517" s="707"/>
      <c r="GZ517" s="707"/>
      <c r="HA517" s="707"/>
      <c r="HB517" s="707"/>
      <c r="HC517" s="707"/>
      <c r="HD517" s="707"/>
      <c r="HE517" s="707"/>
      <c r="HF517" s="707"/>
      <c r="HG517" s="707"/>
      <c r="HH517" s="707"/>
      <c r="HI517" s="707"/>
      <c r="HJ517" s="707"/>
      <c r="HK517" s="707"/>
      <c r="HL517" s="707"/>
      <c r="HM517" s="707"/>
      <c r="HN517" s="707"/>
      <c r="HO517" s="707"/>
      <c r="HP517" s="707"/>
      <c r="HQ517" s="707"/>
      <c r="HR517" s="707"/>
      <c r="HS517" s="707"/>
      <c r="HT517" s="707"/>
      <c r="HU517" s="707"/>
      <c r="HV517" s="707"/>
      <c r="HW517" s="707"/>
      <c r="HX517" s="707"/>
      <c r="HY517" s="707"/>
      <c r="HZ517" s="707"/>
      <c r="IA517" s="707"/>
      <c r="IB517" s="707"/>
      <c r="IC517" s="707"/>
      <c r="ID517" s="707"/>
      <c r="IE517" s="707"/>
      <c r="IF517" s="707"/>
      <c r="IG517" s="707"/>
      <c r="IH517" s="707"/>
      <c r="II517" s="707"/>
      <c r="IJ517" s="707"/>
      <c r="IK517" s="707"/>
      <c r="IL517" s="707"/>
      <c r="IM517" s="707"/>
      <c r="IN517" s="707"/>
      <c r="IO517" s="707"/>
      <c r="IP517" s="707"/>
      <c r="IQ517" s="707"/>
      <c r="IR517" s="707"/>
      <c r="IS517" s="707"/>
      <c r="IT517" s="707"/>
      <c r="IU517" s="707"/>
      <c r="IV517" s="707"/>
      <c r="IW517" s="707"/>
    </row>
    <row r="518" customFormat="false" ht="12.75" hidden="false" customHeight="false" outlineLevel="1" collapsed="false">
      <c r="A518" s="724"/>
      <c r="B518" s="725"/>
      <c r="C518" s="725"/>
      <c r="D518" s="725"/>
      <c r="E518" s="713"/>
      <c r="F518" s="713"/>
      <c r="G518" s="713"/>
      <c r="H518" s="713"/>
      <c r="I518" s="713"/>
      <c r="J518" s="713"/>
      <c r="K518" s="713"/>
      <c r="L518" s="713"/>
      <c r="M518" s="713"/>
      <c r="N518" s="713"/>
      <c r="O518" s="713"/>
      <c r="P518" s="713"/>
      <c r="Q518" s="713"/>
      <c r="R518" s="713"/>
      <c r="S518" s="713"/>
      <c r="T518" s="713"/>
      <c r="U518" s="713"/>
      <c r="V518" s="713"/>
      <c r="W518" s="713"/>
      <c r="X518" s="713"/>
      <c r="Y518" s="713"/>
      <c r="Z518" s="713"/>
      <c r="AA518" s="722"/>
      <c r="AB518" s="722"/>
      <c r="AC518" s="722"/>
      <c r="AD518" s="722"/>
      <c r="AE518" s="722"/>
      <c r="AF518" s="722"/>
      <c r="AG518" s="722"/>
      <c r="AH518" s="722"/>
      <c r="AI518" s="722"/>
      <c r="AJ518" s="722"/>
      <c r="AK518" s="722"/>
      <c r="AL518" s="722"/>
      <c r="AM518" s="722"/>
      <c r="AN518" s="722"/>
      <c r="AO518" s="722"/>
      <c r="AP518" s="722"/>
      <c r="AQ518" s="722"/>
      <c r="AR518" s="722"/>
      <c r="AS518" s="722"/>
      <c r="AT518" s="722"/>
      <c r="AU518" s="722"/>
      <c r="AV518" s="722"/>
      <c r="AW518" s="722"/>
      <c r="AX518" s="722"/>
      <c r="AY518" s="722"/>
      <c r="AZ518" s="722"/>
      <c r="BA518" s="722"/>
      <c r="BB518" s="722"/>
      <c r="BC518" s="722"/>
      <c r="BD518" s="722"/>
      <c r="BE518" s="722"/>
      <c r="BF518" s="722"/>
      <c r="BG518" s="722"/>
      <c r="BH518" s="722"/>
      <c r="BI518" s="722"/>
      <c r="BJ518" s="722"/>
      <c r="BK518" s="722"/>
      <c r="BL518" s="722"/>
      <c r="BM518" s="722"/>
      <c r="BN518" s="722"/>
      <c r="BO518" s="722"/>
      <c r="BP518" s="722"/>
      <c r="BQ518" s="722"/>
      <c r="BR518" s="722"/>
      <c r="BS518" s="722"/>
      <c r="BT518" s="722"/>
      <c r="BU518" s="722"/>
      <c r="BV518" s="722"/>
      <c r="BW518" s="722"/>
      <c r="BX518" s="722"/>
      <c r="BY518" s="722"/>
      <c r="BZ518" s="722"/>
      <c r="CA518" s="722"/>
      <c r="CB518" s="722"/>
      <c r="CC518" s="722"/>
      <c r="CD518" s="722"/>
      <c r="CE518" s="722"/>
      <c r="CF518" s="722"/>
      <c r="CG518" s="722"/>
      <c r="CH518" s="722"/>
      <c r="CI518" s="722"/>
      <c r="CJ518" s="722"/>
      <c r="CK518" s="722"/>
      <c r="CL518" s="722"/>
      <c r="CM518" s="722"/>
      <c r="CN518" s="722"/>
      <c r="CO518" s="722"/>
      <c r="CP518" s="722"/>
      <c r="CQ518" s="722"/>
      <c r="CR518" s="722"/>
      <c r="CS518" s="722"/>
      <c r="CT518" s="722"/>
      <c r="CU518" s="722"/>
      <c r="CV518" s="722"/>
      <c r="CW518" s="722"/>
      <c r="CX518" s="722"/>
      <c r="CY518" s="722"/>
      <c r="CZ518" s="722"/>
      <c r="DA518" s="722"/>
      <c r="DB518" s="722"/>
      <c r="DC518" s="722"/>
      <c r="DD518" s="722"/>
      <c r="DE518" s="722"/>
      <c r="DF518" s="722"/>
      <c r="DG518" s="722"/>
      <c r="DH518" s="722"/>
      <c r="DI518" s="722"/>
      <c r="DJ518" s="722"/>
      <c r="DK518" s="722"/>
      <c r="DL518" s="722"/>
      <c r="DM518" s="722"/>
      <c r="DN518" s="722"/>
      <c r="DO518" s="722"/>
      <c r="DP518" s="722"/>
      <c r="DQ518" s="722"/>
      <c r="DR518" s="722"/>
      <c r="DS518" s="722"/>
      <c r="DT518" s="722"/>
      <c r="DU518" s="722"/>
      <c r="DV518" s="722"/>
      <c r="DW518" s="722"/>
      <c r="DX518" s="722"/>
      <c r="DY518" s="722"/>
      <c r="DZ518" s="722"/>
      <c r="EA518" s="722"/>
      <c r="EB518" s="722"/>
      <c r="EC518" s="722"/>
      <c r="ED518" s="722"/>
      <c r="EE518" s="722"/>
      <c r="EF518" s="722"/>
      <c r="EG518" s="722"/>
      <c r="EH518" s="722"/>
      <c r="EI518" s="722"/>
      <c r="EJ518" s="722"/>
      <c r="EK518" s="722"/>
      <c r="EL518" s="722"/>
      <c r="EM518" s="722"/>
      <c r="EN518" s="722"/>
      <c r="EO518" s="722"/>
      <c r="EP518" s="722"/>
      <c r="EQ518" s="722"/>
      <c r="ER518" s="722"/>
      <c r="ES518" s="722"/>
      <c r="ET518" s="722"/>
      <c r="EU518" s="722"/>
      <c r="EV518" s="722"/>
      <c r="EW518" s="722"/>
      <c r="EX518" s="722"/>
      <c r="EY518" s="722"/>
      <c r="EZ518" s="722"/>
      <c r="FA518" s="722"/>
      <c r="FB518" s="722"/>
      <c r="FC518" s="722"/>
      <c r="FD518" s="722"/>
      <c r="FE518" s="722"/>
      <c r="FF518" s="722"/>
      <c r="FG518" s="722"/>
      <c r="FH518" s="722"/>
      <c r="FI518" s="722"/>
      <c r="FJ518" s="722"/>
      <c r="FK518" s="722"/>
      <c r="FL518" s="722"/>
      <c r="FM518" s="722"/>
      <c r="FN518" s="722"/>
      <c r="FO518" s="722"/>
      <c r="FP518" s="722"/>
      <c r="FQ518" s="722"/>
      <c r="FR518" s="722"/>
      <c r="FS518" s="722"/>
      <c r="FT518" s="722"/>
      <c r="FU518" s="722"/>
      <c r="FV518" s="722"/>
      <c r="FW518" s="722"/>
      <c r="FX518" s="722"/>
      <c r="FY518" s="722"/>
      <c r="FZ518" s="722"/>
      <c r="GA518" s="722"/>
      <c r="GB518" s="722"/>
      <c r="GC518" s="722"/>
      <c r="GD518" s="722"/>
      <c r="GE518" s="722"/>
      <c r="GF518" s="722"/>
      <c r="GG518" s="722"/>
      <c r="GH518" s="722"/>
      <c r="GI518" s="722"/>
      <c r="GJ518" s="722"/>
      <c r="GK518" s="722"/>
      <c r="GL518" s="722"/>
      <c r="GM518" s="722"/>
      <c r="GN518" s="722"/>
      <c r="GO518" s="722"/>
      <c r="GP518" s="722"/>
      <c r="GQ518" s="722"/>
      <c r="GR518" s="722"/>
      <c r="GS518" s="722"/>
      <c r="GT518" s="722"/>
      <c r="GU518" s="722"/>
      <c r="GV518" s="722"/>
      <c r="GW518" s="722"/>
      <c r="GX518" s="722"/>
      <c r="GY518" s="722"/>
      <c r="GZ518" s="722"/>
      <c r="HA518" s="722"/>
      <c r="HB518" s="722"/>
      <c r="HC518" s="722"/>
      <c r="HD518" s="722"/>
      <c r="HE518" s="722"/>
      <c r="HF518" s="722"/>
      <c r="HG518" s="722"/>
      <c r="HH518" s="722"/>
      <c r="HI518" s="722"/>
      <c r="HJ518" s="722"/>
      <c r="HK518" s="722"/>
      <c r="HL518" s="722"/>
      <c r="HM518" s="722"/>
      <c r="HN518" s="722"/>
      <c r="HO518" s="722"/>
      <c r="HP518" s="722"/>
      <c r="HQ518" s="722"/>
      <c r="HR518" s="722"/>
      <c r="HS518" s="722"/>
      <c r="HT518" s="722"/>
      <c r="HU518" s="722"/>
      <c r="HV518" s="722"/>
      <c r="HW518" s="722"/>
      <c r="HX518" s="722"/>
      <c r="HY518" s="722"/>
      <c r="HZ518" s="722"/>
      <c r="IA518" s="722"/>
      <c r="IB518" s="722"/>
      <c r="IC518" s="722"/>
      <c r="ID518" s="722"/>
      <c r="IE518" s="722"/>
      <c r="IF518" s="722"/>
      <c r="IG518" s="722"/>
      <c r="IH518" s="722"/>
      <c r="II518" s="722"/>
      <c r="IJ518" s="722"/>
      <c r="IK518" s="722"/>
      <c r="IL518" s="722"/>
      <c r="IM518" s="722"/>
      <c r="IN518" s="722"/>
      <c r="IO518" s="722"/>
      <c r="IP518" s="722"/>
      <c r="IQ518" s="722"/>
      <c r="IR518" s="722"/>
      <c r="IS518" s="722"/>
      <c r="IT518" s="722"/>
      <c r="IU518" s="722"/>
      <c r="IV518" s="722"/>
      <c r="IW518" s="722"/>
    </row>
    <row r="519" customFormat="false" ht="12.75" hidden="false" customHeight="false" outlineLevel="1" collapsed="false">
      <c r="A519" s="388"/>
      <c r="B519" s="719"/>
      <c r="C519" s="719"/>
      <c r="D519" s="719"/>
      <c r="E519" s="713"/>
      <c r="F519" s="713"/>
      <c r="G519" s="713"/>
      <c r="H519" s="713"/>
      <c r="I519" s="713"/>
      <c r="J519" s="713"/>
      <c r="K519" s="713"/>
      <c r="L519" s="713"/>
      <c r="M519" s="713"/>
      <c r="N519" s="713"/>
      <c r="O519" s="713"/>
      <c r="P519" s="713"/>
      <c r="Q519" s="713"/>
      <c r="R519" s="713"/>
      <c r="S519" s="713"/>
      <c r="T519" s="713"/>
      <c r="U519" s="713"/>
      <c r="V519" s="713"/>
      <c r="W519" s="713"/>
      <c r="X519" s="713"/>
      <c r="Y519" s="713"/>
      <c r="Z519" s="713"/>
      <c r="AA519" s="707"/>
      <c r="AB519" s="707"/>
      <c r="AC519" s="707"/>
      <c r="AD519" s="707"/>
      <c r="AE519" s="707"/>
      <c r="AF519" s="707"/>
      <c r="AG519" s="707"/>
      <c r="AH519" s="707"/>
      <c r="AI519" s="707"/>
      <c r="AJ519" s="707"/>
      <c r="AK519" s="707"/>
      <c r="AL519" s="707"/>
      <c r="AM519" s="707"/>
      <c r="AN519" s="707"/>
      <c r="AO519" s="707"/>
      <c r="AP519" s="707"/>
      <c r="AQ519" s="707"/>
      <c r="AR519" s="707"/>
      <c r="AS519" s="707"/>
      <c r="AT519" s="707"/>
      <c r="AU519" s="707"/>
      <c r="AV519" s="707"/>
      <c r="AW519" s="707"/>
      <c r="AX519" s="707"/>
      <c r="AY519" s="707"/>
      <c r="AZ519" s="707"/>
      <c r="BA519" s="707"/>
      <c r="BB519" s="707"/>
      <c r="BC519" s="707"/>
      <c r="BD519" s="707"/>
      <c r="BE519" s="707"/>
      <c r="BF519" s="707"/>
      <c r="BG519" s="707"/>
      <c r="BH519" s="707"/>
      <c r="BI519" s="707"/>
      <c r="BJ519" s="707"/>
      <c r="BK519" s="707"/>
      <c r="BL519" s="707"/>
      <c r="BM519" s="707"/>
      <c r="BN519" s="707"/>
      <c r="BO519" s="707"/>
      <c r="BP519" s="707"/>
      <c r="BQ519" s="707"/>
      <c r="BR519" s="707"/>
      <c r="BS519" s="707"/>
      <c r="BT519" s="707"/>
      <c r="BU519" s="707"/>
      <c r="BV519" s="707"/>
      <c r="BW519" s="707"/>
      <c r="BX519" s="707"/>
      <c r="BY519" s="707"/>
      <c r="BZ519" s="707"/>
      <c r="CA519" s="707"/>
      <c r="CB519" s="707"/>
      <c r="CC519" s="707"/>
      <c r="CD519" s="707"/>
      <c r="CE519" s="707"/>
      <c r="CF519" s="707"/>
      <c r="CG519" s="707"/>
      <c r="CH519" s="707"/>
      <c r="CI519" s="707"/>
      <c r="CJ519" s="707"/>
      <c r="CK519" s="707"/>
      <c r="CL519" s="707"/>
      <c r="CM519" s="707"/>
      <c r="CN519" s="707"/>
      <c r="CO519" s="707"/>
      <c r="CP519" s="707"/>
      <c r="CQ519" s="707"/>
      <c r="CR519" s="707"/>
      <c r="CS519" s="707"/>
      <c r="CT519" s="707"/>
      <c r="CU519" s="707"/>
      <c r="CV519" s="707"/>
      <c r="CW519" s="707"/>
      <c r="CX519" s="707"/>
      <c r="CY519" s="707"/>
      <c r="CZ519" s="707"/>
      <c r="DA519" s="707"/>
      <c r="DB519" s="707"/>
      <c r="DC519" s="707"/>
      <c r="DD519" s="707"/>
      <c r="DE519" s="707"/>
      <c r="DF519" s="707"/>
      <c r="DG519" s="707"/>
      <c r="DH519" s="707"/>
      <c r="DI519" s="707"/>
      <c r="DJ519" s="707"/>
      <c r="DK519" s="707"/>
      <c r="DL519" s="707"/>
      <c r="DM519" s="707"/>
      <c r="DN519" s="707"/>
      <c r="DO519" s="707"/>
      <c r="DP519" s="707"/>
      <c r="DQ519" s="707"/>
      <c r="DR519" s="707"/>
      <c r="DS519" s="707"/>
      <c r="DT519" s="707"/>
      <c r="DU519" s="707"/>
      <c r="DV519" s="707"/>
      <c r="DW519" s="707"/>
      <c r="DX519" s="707"/>
      <c r="DY519" s="707"/>
      <c r="DZ519" s="707"/>
      <c r="EA519" s="707"/>
      <c r="EB519" s="707"/>
      <c r="EC519" s="707"/>
      <c r="ED519" s="707"/>
      <c r="EE519" s="707"/>
      <c r="EF519" s="707"/>
      <c r="EG519" s="707"/>
      <c r="EH519" s="707"/>
      <c r="EI519" s="707"/>
      <c r="EJ519" s="707"/>
      <c r="EK519" s="707"/>
      <c r="EL519" s="707"/>
      <c r="EM519" s="707"/>
      <c r="EN519" s="707"/>
      <c r="EO519" s="707"/>
      <c r="EP519" s="707"/>
      <c r="EQ519" s="707"/>
      <c r="ER519" s="707"/>
      <c r="ES519" s="707"/>
      <c r="ET519" s="707"/>
      <c r="EU519" s="707"/>
      <c r="EV519" s="707"/>
      <c r="EW519" s="707"/>
      <c r="EX519" s="707"/>
      <c r="EY519" s="707"/>
      <c r="EZ519" s="707"/>
      <c r="FA519" s="707"/>
      <c r="FB519" s="707"/>
      <c r="FC519" s="707"/>
      <c r="FD519" s="707"/>
      <c r="FE519" s="707"/>
      <c r="FF519" s="707"/>
      <c r="FG519" s="707"/>
      <c r="FH519" s="707"/>
      <c r="FI519" s="707"/>
      <c r="FJ519" s="707"/>
      <c r="FK519" s="707"/>
      <c r="FL519" s="707"/>
      <c r="FM519" s="707"/>
      <c r="FN519" s="707"/>
      <c r="FO519" s="707"/>
      <c r="FP519" s="707"/>
      <c r="FQ519" s="707"/>
      <c r="FR519" s="707"/>
      <c r="FS519" s="707"/>
      <c r="FT519" s="707"/>
      <c r="FU519" s="707"/>
      <c r="FV519" s="707"/>
      <c r="FW519" s="707"/>
      <c r="FX519" s="707"/>
      <c r="FY519" s="707"/>
      <c r="FZ519" s="707"/>
      <c r="GA519" s="707"/>
      <c r="GB519" s="707"/>
      <c r="GC519" s="707"/>
      <c r="GD519" s="707"/>
      <c r="GE519" s="707"/>
      <c r="GF519" s="707"/>
      <c r="GG519" s="707"/>
      <c r="GH519" s="707"/>
      <c r="GI519" s="707"/>
      <c r="GJ519" s="707"/>
      <c r="GK519" s="707"/>
      <c r="GL519" s="707"/>
      <c r="GM519" s="707"/>
      <c r="GN519" s="707"/>
      <c r="GO519" s="707"/>
      <c r="GP519" s="707"/>
      <c r="GQ519" s="707"/>
      <c r="GR519" s="707"/>
      <c r="GS519" s="707"/>
      <c r="GT519" s="707"/>
      <c r="GU519" s="707"/>
      <c r="GV519" s="707"/>
      <c r="GW519" s="707"/>
      <c r="GX519" s="707"/>
      <c r="GY519" s="707"/>
      <c r="GZ519" s="707"/>
      <c r="HA519" s="707"/>
      <c r="HB519" s="707"/>
      <c r="HC519" s="707"/>
      <c r="HD519" s="707"/>
      <c r="HE519" s="707"/>
      <c r="HF519" s="707"/>
      <c r="HG519" s="707"/>
      <c r="HH519" s="707"/>
      <c r="HI519" s="707"/>
      <c r="HJ519" s="707"/>
      <c r="HK519" s="707"/>
      <c r="HL519" s="707"/>
      <c r="HM519" s="707"/>
      <c r="HN519" s="707"/>
      <c r="HO519" s="707"/>
      <c r="HP519" s="707"/>
      <c r="HQ519" s="707"/>
      <c r="HR519" s="707"/>
      <c r="HS519" s="707"/>
      <c r="HT519" s="707"/>
      <c r="HU519" s="707"/>
      <c r="HV519" s="707"/>
      <c r="HW519" s="707"/>
      <c r="HX519" s="707"/>
      <c r="HY519" s="707"/>
      <c r="HZ519" s="707"/>
      <c r="IA519" s="707"/>
      <c r="IB519" s="707"/>
      <c r="IC519" s="707"/>
      <c r="ID519" s="707"/>
      <c r="IE519" s="707"/>
      <c r="IF519" s="707"/>
      <c r="IG519" s="707"/>
      <c r="IH519" s="707"/>
      <c r="II519" s="707"/>
      <c r="IJ519" s="707"/>
      <c r="IK519" s="707"/>
      <c r="IL519" s="707"/>
      <c r="IM519" s="707"/>
      <c r="IN519" s="707"/>
      <c r="IO519" s="707"/>
      <c r="IP519" s="707"/>
      <c r="IQ519" s="707"/>
      <c r="IR519" s="707"/>
      <c r="IS519" s="707"/>
      <c r="IT519" s="707"/>
      <c r="IU519" s="707"/>
      <c r="IV519" s="707"/>
      <c r="IW519" s="707"/>
    </row>
    <row r="520" customFormat="false" ht="12.75" hidden="false" customHeight="false" outlineLevel="1" collapsed="false">
      <c r="A520" s="388"/>
      <c r="B520" s="719"/>
      <c r="C520" s="719"/>
      <c r="D520" s="719"/>
      <c r="E520" s="713"/>
      <c r="F520" s="713"/>
      <c r="G520" s="713"/>
      <c r="H520" s="713"/>
      <c r="I520" s="713"/>
      <c r="J520" s="713"/>
      <c r="K520" s="713"/>
      <c r="L520" s="713"/>
      <c r="M520" s="713"/>
      <c r="N520" s="713"/>
      <c r="O520" s="713"/>
      <c r="P520" s="713"/>
      <c r="Q520" s="713"/>
      <c r="R520" s="713"/>
      <c r="S520" s="713"/>
      <c r="T520" s="713"/>
      <c r="U520" s="713"/>
      <c r="V520" s="713"/>
      <c r="W520" s="713"/>
      <c r="X520" s="713"/>
      <c r="Y520" s="713"/>
      <c r="Z520" s="713"/>
      <c r="AA520" s="707"/>
      <c r="AB520" s="707"/>
      <c r="AC520" s="707"/>
      <c r="AD520" s="707"/>
      <c r="AE520" s="707"/>
      <c r="AF520" s="707"/>
      <c r="AG520" s="707"/>
      <c r="AH520" s="707"/>
      <c r="AI520" s="707"/>
      <c r="AJ520" s="707"/>
      <c r="AK520" s="707"/>
      <c r="AL520" s="707"/>
      <c r="AM520" s="707"/>
      <c r="AN520" s="707"/>
      <c r="AO520" s="707"/>
      <c r="AP520" s="707"/>
      <c r="AQ520" s="707"/>
      <c r="AR520" s="707"/>
      <c r="AS520" s="707"/>
      <c r="AT520" s="707"/>
      <c r="AU520" s="707"/>
      <c r="AV520" s="707"/>
      <c r="AW520" s="707"/>
      <c r="AX520" s="707"/>
      <c r="AY520" s="707"/>
      <c r="AZ520" s="707"/>
      <c r="BA520" s="707"/>
      <c r="BB520" s="707"/>
      <c r="BC520" s="707"/>
      <c r="BD520" s="707"/>
      <c r="BE520" s="707"/>
      <c r="BF520" s="707"/>
      <c r="BG520" s="707"/>
      <c r="BH520" s="707"/>
      <c r="BI520" s="707"/>
      <c r="BJ520" s="707"/>
      <c r="BK520" s="707"/>
      <c r="BL520" s="707"/>
      <c r="BM520" s="707"/>
      <c r="BN520" s="707"/>
      <c r="BO520" s="707"/>
      <c r="BP520" s="707"/>
      <c r="BQ520" s="707"/>
      <c r="BR520" s="707"/>
      <c r="BS520" s="707"/>
      <c r="BT520" s="707"/>
      <c r="BU520" s="707"/>
      <c r="BV520" s="707"/>
      <c r="BW520" s="707"/>
      <c r="BX520" s="707"/>
      <c r="BY520" s="707"/>
      <c r="BZ520" s="707"/>
      <c r="CA520" s="707"/>
      <c r="CB520" s="707"/>
      <c r="CC520" s="707"/>
      <c r="CD520" s="707"/>
      <c r="CE520" s="707"/>
      <c r="CF520" s="707"/>
      <c r="CG520" s="707"/>
      <c r="CH520" s="707"/>
      <c r="CI520" s="707"/>
      <c r="CJ520" s="707"/>
      <c r="CK520" s="707"/>
      <c r="CL520" s="707"/>
      <c r="CM520" s="707"/>
      <c r="CN520" s="707"/>
      <c r="CO520" s="707"/>
      <c r="CP520" s="707"/>
      <c r="CQ520" s="707"/>
      <c r="CR520" s="707"/>
      <c r="CS520" s="707"/>
      <c r="CT520" s="707"/>
      <c r="CU520" s="707"/>
      <c r="CV520" s="707"/>
      <c r="CW520" s="707"/>
      <c r="CX520" s="707"/>
      <c r="CY520" s="707"/>
      <c r="CZ520" s="707"/>
      <c r="DA520" s="707"/>
      <c r="DB520" s="707"/>
      <c r="DC520" s="707"/>
      <c r="DD520" s="707"/>
      <c r="DE520" s="707"/>
      <c r="DF520" s="707"/>
      <c r="DG520" s="707"/>
      <c r="DH520" s="707"/>
      <c r="DI520" s="707"/>
      <c r="DJ520" s="707"/>
      <c r="DK520" s="707"/>
      <c r="DL520" s="707"/>
      <c r="DM520" s="707"/>
      <c r="DN520" s="707"/>
      <c r="DO520" s="707"/>
      <c r="DP520" s="707"/>
      <c r="DQ520" s="707"/>
      <c r="DR520" s="707"/>
      <c r="DS520" s="707"/>
      <c r="DT520" s="707"/>
      <c r="DU520" s="707"/>
      <c r="DV520" s="707"/>
      <c r="DW520" s="707"/>
      <c r="DX520" s="707"/>
      <c r="DY520" s="707"/>
      <c r="DZ520" s="707"/>
      <c r="EA520" s="707"/>
      <c r="EB520" s="707"/>
      <c r="EC520" s="707"/>
      <c r="ED520" s="707"/>
      <c r="EE520" s="707"/>
      <c r="EF520" s="707"/>
      <c r="EG520" s="707"/>
      <c r="EH520" s="707"/>
      <c r="EI520" s="707"/>
      <c r="EJ520" s="707"/>
      <c r="EK520" s="707"/>
      <c r="EL520" s="707"/>
      <c r="EM520" s="707"/>
      <c r="EN520" s="707"/>
      <c r="EO520" s="707"/>
      <c r="EP520" s="707"/>
      <c r="EQ520" s="707"/>
      <c r="ER520" s="707"/>
      <c r="ES520" s="707"/>
      <c r="ET520" s="707"/>
      <c r="EU520" s="707"/>
      <c r="EV520" s="707"/>
      <c r="EW520" s="707"/>
      <c r="EX520" s="707"/>
      <c r="EY520" s="707"/>
      <c r="EZ520" s="707"/>
      <c r="FA520" s="707"/>
      <c r="FB520" s="707"/>
      <c r="FC520" s="707"/>
      <c r="FD520" s="707"/>
      <c r="FE520" s="707"/>
      <c r="FF520" s="707"/>
      <c r="FG520" s="707"/>
      <c r="FH520" s="707"/>
      <c r="FI520" s="707"/>
      <c r="FJ520" s="707"/>
      <c r="FK520" s="707"/>
      <c r="FL520" s="707"/>
      <c r="FM520" s="707"/>
      <c r="FN520" s="707"/>
      <c r="FO520" s="707"/>
      <c r="FP520" s="707"/>
      <c r="FQ520" s="707"/>
      <c r="FR520" s="707"/>
      <c r="FS520" s="707"/>
      <c r="FT520" s="707"/>
      <c r="FU520" s="707"/>
      <c r="FV520" s="707"/>
      <c r="FW520" s="707"/>
      <c r="FX520" s="707"/>
      <c r="FY520" s="707"/>
      <c r="FZ520" s="707"/>
      <c r="GA520" s="707"/>
      <c r="GB520" s="707"/>
      <c r="GC520" s="707"/>
      <c r="GD520" s="707"/>
      <c r="GE520" s="707"/>
      <c r="GF520" s="707"/>
      <c r="GG520" s="707"/>
      <c r="GH520" s="707"/>
      <c r="GI520" s="707"/>
      <c r="GJ520" s="707"/>
      <c r="GK520" s="707"/>
      <c r="GL520" s="707"/>
      <c r="GM520" s="707"/>
      <c r="GN520" s="707"/>
      <c r="GO520" s="707"/>
      <c r="GP520" s="707"/>
      <c r="GQ520" s="707"/>
      <c r="GR520" s="707"/>
      <c r="GS520" s="707"/>
      <c r="GT520" s="707"/>
      <c r="GU520" s="707"/>
      <c r="GV520" s="707"/>
      <c r="GW520" s="707"/>
      <c r="GX520" s="707"/>
      <c r="GY520" s="707"/>
      <c r="GZ520" s="707"/>
      <c r="HA520" s="707"/>
      <c r="HB520" s="707"/>
      <c r="HC520" s="707"/>
      <c r="HD520" s="707"/>
      <c r="HE520" s="707"/>
      <c r="HF520" s="707"/>
      <c r="HG520" s="707"/>
      <c r="HH520" s="707"/>
      <c r="HI520" s="707"/>
      <c r="HJ520" s="707"/>
      <c r="HK520" s="707"/>
      <c r="HL520" s="707"/>
      <c r="HM520" s="707"/>
      <c r="HN520" s="707"/>
      <c r="HO520" s="707"/>
      <c r="HP520" s="707"/>
      <c r="HQ520" s="707"/>
      <c r="HR520" s="707"/>
      <c r="HS520" s="707"/>
      <c r="HT520" s="707"/>
      <c r="HU520" s="707"/>
      <c r="HV520" s="707"/>
      <c r="HW520" s="707"/>
      <c r="HX520" s="707"/>
      <c r="HY520" s="707"/>
      <c r="HZ520" s="707"/>
      <c r="IA520" s="707"/>
      <c r="IB520" s="707"/>
      <c r="IC520" s="707"/>
      <c r="ID520" s="707"/>
      <c r="IE520" s="707"/>
      <c r="IF520" s="707"/>
      <c r="IG520" s="707"/>
      <c r="IH520" s="707"/>
      <c r="II520" s="707"/>
      <c r="IJ520" s="707"/>
      <c r="IK520" s="707"/>
      <c r="IL520" s="707"/>
      <c r="IM520" s="707"/>
      <c r="IN520" s="707"/>
      <c r="IO520" s="707"/>
      <c r="IP520" s="707"/>
      <c r="IQ520" s="707"/>
      <c r="IR520" s="707"/>
      <c r="IS520" s="707"/>
      <c r="IT520" s="707"/>
      <c r="IU520" s="707"/>
      <c r="IV520" s="707"/>
      <c r="IW520" s="707"/>
    </row>
    <row r="521" customFormat="false" ht="12.75" hidden="false" customHeight="false" outlineLevel="1" collapsed="false">
      <c r="A521" s="388"/>
      <c r="B521" s="719"/>
      <c r="C521" s="719"/>
      <c r="D521" s="719"/>
      <c r="E521" s="713"/>
      <c r="F521" s="713"/>
      <c r="G521" s="713"/>
      <c r="H521" s="713"/>
      <c r="I521" s="713"/>
      <c r="J521" s="713"/>
      <c r="K521" s="713"/>
      <c r="L521" s="713"/>
      <c r="M521" s="713"/>
      <c r="N521" s="713"/>
      <c r="O521" s="713"/>
      <c r="P521" s="713"/>
      <c r="Q521" s="713"/>
      <c r="R521" s="713"/>
      <c r="S521" s="713"/>
      <c r="T521" s="713"/>
      <c r="U521" s="713"/>
      <c r="V521" s="713"/>
      <c r="W521" s="713"/>
      <c r="X521" s="713"/>
      <c r="Y521" s="713"/>
      <c r="Z521" s="713"/>
      <c r="AA521" s="707"/>
      <c r="AB521" s="707"/>
      <c r="AC521" s="707"/>
      <c r="AD521" s="707"/>
      <c r="AE521" s="707"/>
      <c r="AF521" s="707"/>
      <c r="AG521" s="707"/>
      <c r="AH521" s="707"/>
      <c r="AI521" s="707"/>
      <c r="AJ521" s="707"/>
      <c r="AK521" s="707"/>
      <c r="AL521" s="707"/>
      <c r="AM521" s="707"/>
      <c r="AN521" s="707"/>
      <c r="AO521" s="707"/>
      <c r="AP521" s="707"/>
      <c r="AQ521" s="707"/>
      <c r="AR521" s="707"/>
      <c r="AS521" s="707"/>
      <c r="AT521" s="707"/>
      <c r="AU521" s="707"/>
      <c r="AV521" s="707"/>
      <c r="AW521" s="707"/>
      <c r="AX521" s="707"/>
      <c r="AY521" s="707"/>
      <c r="AZ521" s="707"/>
      <c r="BA521" s="707"/>
      <c r="BB521" s="707"/>
      <c r="BC521" s="707"/>
      <c r="BD521" s="707"/>
      <c r="BE521" s="707"/>
      <c r="BF521" s="707"/>
      <c r="BG521" s="707"/>
      <c r="BH521" s="707"/>
      <c r="BI521" s="707"/>
      <c r="BJ521" s="707"/>
      <c r="BK521" s="707"/>
      <c r="BL521" s="707"/>
      <c r="BM521" s="707"/>
      <c r="BN521" s="707"/>
      <c r="BO521" s="707"/>
      <c r="BP521" s="707"/>
      <c r="BQ521" s="707"/>
      <c r="BR521" s="707"/>
      <c r="BS521" s="707"/>
      <c r="BT521" s="707"/>
      <c r="BU521" s="707"/>
      <c r="BV521" s="707"/>
      <c r="BW521" s="707"/>
      <c r="BX521" s="707"/>
      <c r="BY521" s="707"/>
      <c r="BZ521" s="707"/>
      <c r="CA521" s="707"/>
      <c r="CB521" s="707"/>
      <c r="CC521" s="707"/>
      <c r="CD521" s="707"/>
      <c r="CE521" s="707"/>
      <c r="CF521" s="707"/>
      <c r="CG521" s="707"/>
      <c r="CH521" s="707"/>
      <c r="CI521" s="707"/>
      <c r="CJ521" s="707"/>
      <c r="CK521" s="707"/>
      <c r="CL521" s="707"/>
      <c r="CM521" s="707"/>
      <c r="CN521" s="707"/>
      <c r="CO521" s="707"/>
      <c r="CP521" s="707"/>
      <c r="CQ521" s="707"/>
      <c r="CR521" s="707"/>
      <c r="CS521" s="707"/>
      <c r="CT521" s="707"/>
      <c r="CU521" s="707"/>
      <c r="CV521" s="707"/>
      <c r="CW521" s="707"/>
      <c r="CX521" s="707"/>
      <c r="CY521" s="707"/>
      <c r="CZ521" s="707"/>
      <c r="DA521" s="707"/>
      <c r="DB521" s="707"/>
      <c r="DC521" s="707"/>
      <c r="DD521" s="707"/>
      <c r="DE521" s="707"/>
      <c r="DF521" s="707"/>
      <c r="DG521" s="707"/>
      <c r="DH521" s="707"/>
      <c r="DI521" s="707"/>
      <c r="DJ521" s="707"/>
      <c r="DK521" s="707"/>
      <c r="DL521" s="707"/>
      <c r="DM521" s="707"/>
      <c r="DN521" s="707"/>
      <c r="DO521" s="707"/>
      <c r="DP521" s="707"/>
      <c r="DQ521" s="707"/>
      <c r="DR521" s="707"/>
      <c r="DS521" s="707"/>
      <c r="DT521" s="707"/>
      <c r="DU521" s="707"/>
      <c r="DV521" s="707"/>
      <c r="DW521" s="707"/>
      <c r="DX521" s="707"/>
      <c r="DY521" s="707"/>
      <c r="DZ521" s="707"/>
      <c r="EA521" s="707"/>
      <c r="EB521" s="707"/>
      <c r="EC521" s="707"/>
      <c r="ED521" s="707"/>
      <c r="EE521" s="707"/>
      <c r="EF521" s="707"/>
      <c r="EG521" s="707"/>
      <c r="EH521" s="707"/>
      <c r="EI521" s="707"/>
      <c r="EJ521" s="707"/>
      <c r="EK521" s="707"/>
      <c r="EL521" s="707"/>
      <c r="EM521" s="707"/>
      <c r="EN521" s="707"/>
      <c r="EO521" s="707"/>
      <c r="EP521" s="707"/>
      <c r="EQ521" s="707"/>
      <c r="ER521" s="707"/>
      <c r="ES521" s="707"/>
      <c r="ET521" s="707"/>
      <c r="EU521" s="707"/>
      <c r="EV521" s="707"/>
      <c r="EW521" s="707"/>
      <c r="EX521" s="707"/>
      <c r="EY521" s="707"/>
      <c r="EZ521" s="707"/>
      <c r="FA521" s="707"/>
      <c r="FB521" s="707"/>
      <c r="FC521" s="707"/>
      <c r="FD521" s="707"/>
      <c r="FE521" s="707"/>
      <c r="FF521" s="707"/>
      <c r="FG521" s="707"/>
      <c r="FH521" s="707"/>
      <c r="FI521" s="707"/>
      <c r="FJ521" s="707"/>
      <c r="FK521" s="707"/>
      <c r="FL521" s="707"/>
      <c r="FM521" s="707"/>
      <c r="FN521" s="707"/>
      <c r="FO521" s="707"/>
      <c r="FP521" s="707"/>
      <c r="FQ521" s="707"/>
      <c r="FR521" s="707"/>
      <c r="FS521" s="707"/>
      <c r="FT521" s="707"/>
      <c r="FU521" s="707"/>
      <c r="FV521" s="707"/>
      <c r="FW521" s="707"/>
      <c r="FX521" s="707"/>
      <c r="FY521" s="707"/>
      <c r="FZ521" s="707"/>
      <c r="GA521" s="707"/>
      <c r="GB521" s="707"/>
      <c r="GC521" s="707"/>
      <c r="GD521" s="707"/>
      <c r="GE521" s="707"/>
      <c r="GF521" s="707"/>
      <c r="GG521" s="707"/>
      <c r="GH521" s="707"/>
      <c r="GI521" s="707"/>
      <c r="GJ521" s="707"/>
      <c r="GK521" s="707"/>
      <c r="GL521" s="707"/>
      <c r="GM521" s="707"/>
      <c r="GN521" s="707"/>
      <c r="GO521" s="707"/>
      <c r="GP521" s="707"/>
      <c r="GQ521" s="707"/>
      <c r="GR521" s="707"/>
      <c r="GS521" s="707"/>
      <c r="GT521" s="707"/>
      <c r="GU521" s="707"/>
      <c r="GV521" s="707"/>
      <c r="GW521" s="707"/>
      <c r="GX521" s="707"/>
      <c r="GY521" s="707"/>
      <c r="GZ521" s="707"/>
      <c r="HA521" s="707"/>
      <c r="HB521" s="707"/>
      <c r="HC521" s="707"/>
      <c r="HD521" s="707"/>
      <c r="HE521" s="707"/>
      <c r="HF521" s="707"/>
      <c r="HG521" s="707"/>
      <c r="HH521" s="707"/>
      <c r="HI521" s="707"/>
      <c r="HJ521" s="707"/>
      <c r="HK521" s="707"/>
      <c r="HL521" s="707"/>
      <c r="HM521" s="707"/>
      <c r="HN521" s="707"/>
      <c r="HO521" s="707"/>
      <c r="HP521" s="707"/>
      <c r="HQ521" s="707"/>
      <c r="HR521" s="707"/>
      <c r="HS521" s="707"/>
      <c r="HT521" s="707"/>
      <c r="HU521" s="707"/>
      <c r="HV521" s="707"/>
      <c r="HW521" s="707"/>
      <c r="HX521" s="707"/>
      <c r="HY521" s="707"/>
      <c r="HZ521" s="707"/>
      <c r="IA521" s="707"/>
      <c r="IB521" s="707"/>
      <c r="IC521" s="707"/>
      <c r="ID521" s="707"/>
      <c r="IE521" s="707"/>
      <c r="IF521" s="707"/>
      <c r="IG521" s="707"/>
      <c r="IH521" s="707"/>
      <c r="II521" s="707"/>
      <c r="IJ521" s="707"/>
      <c r="IK521" s="707"/>
      <c r="IL521" s="707"/>
      <c r="IM521" s="707"/>
      <c r="IN521" s="707"/>
      <c r="IO521" s="707"/>
      <c r="IP521" s="707"/>
      <c r="IQ521" s="707"/>
      <c r="IR521" s="707"/>
      <c r="IS521" s="707"/>
      <c r="IT521" s="707"/>
      <c r="IU521" s="707"/>
      <c r="IV521" s="707"/>
      <c r="IW521" s="707"/>
    </row>
    <row r="522" customFormat="false" ht="12.75" hidden="false" customHeight="false" outlineLevel="1" collapsed="false">
      <c r="A522" s="70"/>
      <c r="B522" s="70"/>
      <c r="C522" s="70"/>
      <c r="D522" s="70"/>
      <c r="E522" s="70"/>
      <c r="F522" s="70"/>
      <c r="G522" s="70"/>
      <c r="H522" s="70"/>
      <c r="I522" s="70"/>
      <c r="J522" s="70"/>
      <c r="K522" s="70"/>
      <c r="L522" s="70"/>
      <c r="M522" s="70"/>
      <c r="N522" s="70"/>
      <c r="O522" s="70"/>
      <c r="P522" s="70"/>
      <c r="Q522" s="70"/>
      <c r="R522" s="70"/>
      <c r="S522" s="70"/>
      <c r="T522" s="70"/>
      <c r="U522" s="70"/>
      <c r="V522" s="70"/>
      <c r="W522" s="70"/>
      <c r="X522" s="70"/>
      <c r="Y522" s="70"/>
      <c r="Z522" s="70"/>
    </row>
    <row r="523" customFormat="false" ht="12.75" hidden="false" customHeight="false" outlineLevel="1" collapsed="false">
      <c r="A523" s="70"/>
      <c r="B523" s="70"/>
      <c r="C523" s="70"/>
      <c r="D523" s="70"/>
      <c r="E523" s="70"/>
      <c r="F523" s="70"/>
      <c r="G523" s="70"/>
      <c r="H523" s="70"/>
      <c r="I523" s="70"/>
      <c r="J523" s="70"/>
      <c r="K523" s="70"/>
      <c r="L523" s="70"/>
      <c r="M523" s="70"/>
      <c r="N523" s="70"/>
      <c r="O523" s="70"/>
      <c r="P523" s="70"/>
      <c r="Q523" s="70"/>
      <c r="R523" s="70"/>
      <c r="S523" s="70"/>
      <c r="T523" s="70"/>
      <c r="U523" s="70"/>
      <c r="V523" s="70"/>
      <c r="W523" s="70"/>
      <c r="X523" s="70"/>
      <c r="Y523" s="70"/>
      <c r="Z523" s="70"/>
    </row>
    <row r="524" customFormat="false" ht="12.75" hidden="false" customHeight="false" outlineLevel="1" collapsed="false">
      <c r="A524" s="70"/>
      <c r="B524" s="70"/>
      <c r="C524" s="70"/>
      <c r="D524" s="70"/>
      <c r="E524" s="70"/>
      <c r="F524" s="70"/>
      <c r="G524" s="70"/>
      <c r="H524" s="70"/>
      <c r="I524" s="70"/>
      <c r="J524" s="70"/>
      <c r="K524" s="70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  <c r="Y524" s="70"/>
      <c r="Z524" s="70"/>
    </row>
    <row r="525" customFormat="false" ht="18.75" hidden="false" customHeight="false" outlineLevel="1" collapsed="false">
      <c r="A525" s="683"/>
      <c r="B525" s="70"/>
      <c r="C525" s="70"/>
      <c r="D525" s="70"/>
      <c r="E525" s="70"/>
      <c r="F525" s="70"/>
      <c r="G525" s="70"/>
      <c r="H525" s="70"/>
      <c r="I525" s="70"/>
      <c r="J525" s="70"/>
      <c r="K525" s="70"/>
      <c r="L525" s="70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  <c r="Y525" s="70"/>
      <c r="Z525" s="70"/>
    </row>
    <row r="526" customFormat="false" ht="12.75" hidden="false" customHeight="false" outlineLevel="1" collapsed="false">
      <c r="A526" s="395"/>
      <c r="B526" s="70"/>
      <c r="C526" s="70"/>
      <c r="D526" s="70"/>
      <c r="E526" s="70"/>
      <c r="F526" s="70"/>
      <c r="G526" s="70"/>
      <c r="H526" s="70"/>
      <c r="I526" s="70"/>
      <c r="J526" s="70"/>
      <c r="K526" s="70"/>
      <c r="L526" s="70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  <c r="Y526" s="70"/>
      <c r="Z526" s="70"/>
    </row>
    <row r="527" customFormat="false" ht="12.75" hidden="false" customHeight="false" outlineLevel="1" collapsed="false">
      <c r="A527" s="727"/>
      <c r="B527" s="70"/>
      <c r="C527" s="70"/>
      <c r="D527" s="70"/>
      <c r="E527" s="70"/>
      <c r="F527" s="692"/>
      <c r="G527" s="692"/>
      <c r="H527" s="692"/>
      <c r="I527" s="692"/>
      <c r="J527" s="692"/>
      <c r="K527" s="692"/>
      <c r="L527" s="692"/>
      <c r="M527" s="692"/>
      <c r="N527" s="692"/>
      <c r="O527" s="692"/>
      <c r="P527" s="692"/>
      <c r="Q527" s="692"/>
      <c r="R527" s="70"/>
      <c r="S527" s="70"/>
      <c r="T527" s="70"/>
      <c r="U527" s="70"/>
      <c r="V527" s="70"/>
      <c r="W527" s="70"/>
      <c r="X527" s="70"/>
      <c r="Y527" s="70"/>
      <c r="Z527" s="70"/>
    </row>
    <row r="528" customFormat="false" ht="12.75" hidden="false" customHeight="false" outlineLevel="1" collapsed="false">
      <c r="A528" s="70"/>
      <c r="B528" s="70"/>
      <c r="C528" s="70"/>
      <c r="D528" s="70"/>
      <c r="E528" s="70"/>
      <c r="F528" s="70"/>
      <c r="G528" s="70"/>
      <c r="H528" s="70"/>
      <c r="I528" s="70"/>
      <c r="J528" s="70"/>
      <c r="K528" s="70"/>
      <c r="L528" s="70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  <c r="Y528" s="70"/>
      <c r="Z528" s="70"/>
    </row>
    <row r="529" customFormat="false" ht="12.75" hidden="false" customHeight="false" outlineLevel="1" collapsed="false">
      <c r="A529" s="322"/>
      <c r="B529" s="322"/>
      <c r="C529" s="322"/>
      <c r="D529" s="322"/>
      <c r="E529" s="321"/>
      <c r="F529" s="321"/>
      <c r="G529" s="321"/>
      <c r="H529" s="321"/>
      <c r="I529" s="321"/>
      <c r="J529" s="321"/>
      <c r="K529" s="321"/>
      <c r="L529" s="321"/>
      <c r="M529" s="321"/>
      <c r="N529" s="321"/>
      <c r="O529" s="321"/>
      <c r="P529" s="321"/>
      <c r="Q529" s="321"/>
      <c r="R529" s="70"/>
      <c r="S529" s="70"/>
      <c r="T529" s="70"/>
      <c r="U529" s="70"/>
      <c r="V529" s="70"/>
      <c r="W529" s="70"/>
      <c r="X529" s="70"/>
      <c r="Y529" s="70"/>
      <c r="Z529" s="70"/>
    </row>
    <row r="530" customFormat="false" ht="12.75" hidden="false" customHeight="false" outlineLevel="2" collapsed="false">
      <c r="A530" s="395"/>
      <c r="B530" s="70"/>
      <c r="C530" s="70"/>
      <c r="D530" s="70"/>
      <c r="E530" s="70"/>
      <c r="F530" s="70"/>
      <c r="G530" s="70"/>
      <c r="H530" s="70"/>
      <c r="I530" s="70"/>
      <c r="J530" s="70"/>
      <c r="K530" s="70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  <c r="Y530" s="70"/>
      <c r="Z530" s="70"/>
    </row>
    <row r="531" customFormat="false" ht="12.75" hidden="false" customHeight="false" outlineLevel="2" collapsed="false">
      <c r="A531" s="685"/>
      <c r="B531" s="70"/>
      <c r="C531" s="70"/>
      <c r="D531" s="70"/>
      <c r="E531" s="70"/>
      <c r="F531" s="686"/>
      <c r="G531" s="686"/>
      <c r="H531" s="686"/>
      <c r="I531" s="686"/>
      <c r="J531" s="686"/>
      <c r="K531" s="686"/>
      <c r="L531" s="686"/>
      <c r="M531" s="686"/>
      <c r="N531" s="686"/>
      <c r="O531" s="686"/>
      <c r="P531" s="686"/>
      <c r="Q531" s="686"/>
      <c r="R531" s="70"/>
      <c r="S531" s="70"/>
      <c r="T531" s="70"/>
      <c r="U531" s="70"/>
      <c r="V531" s="70"/>
      <c r="W531" s="70"/>
      <c r="X531" s="70"/>
      <c r="Y531" s="70"/>
      <c r="Z531" s="70"/>
    </row>
    <row r="532" customFormat="false" ht="12.75" hidden="false" customHeight="false" outlineLevel="2" collapsed="false">
      <c r="A532" s="685"/>
      <c r="B532" s="70"/>
      <c r="C532" s="70"/>
      <c r="D532" s="70"/>
      <c r="E532" s="70"/>
      <c r="F532" s="686"/>
      <c r="G532" s="686"/>
      <c r="H532" s="686"/>
      <c r="I532" s="686"/>
      <c r="J532" s="686"/>
      <c r="K532" s="686"/>
      <c r="L532" s="686"/>
      <c r="M532" s="686"/>
      <c r="N532" s="686"/>
      <c r="O532" s="686"/>
      <c r="P532" s="686"/>
      <c r="Q532" s="686"/>
      <c r="R532" s="70"/>
      <c r="S532" s="70"/>
      <c r="T532" s="70"/>
      <c r="U532" s="70"/>
      <c r="V532" s="70"/>
      <c r="W532" s="70"/>
      <c r="X532" s="70"/>
      <c r="Y532" s="70"/>
      <c r="Z532" s="70"/>
    </row>
    <row r="533" customFormat="false" ht="12.75" hidden="false" customHeight="false" outlineLevel="2" collapsed="false">
      <c r="A533" s="728"/>
      <c r="B533" s="70"/>
      <c r="C533" s="70"/>
      <c r="D533" s="70"/>
      <c r="E533" s="70"/>
      <c r="F533" s="686"/>
      <c r="G533" s="686"/>
      <c r="H533" s="686"/>
      <c r="I533" s="686"/>
      <c r="J533" s="686"/>
      <c r="K533" s="686"/>
      <c r="L533" s="686"/>
      <c r="M533" s="686"/>
      <c r="N533" s="686"/>
      <c r="O533" s="686"/>
      <c r="P533" s="686"/>
      <c r="Q533" s="686"/>
      <c r="R533" s="70"/>
      <c r="S533" s="70"/>
      <c r="T533" s="70"/>
      <c r="U533" s="70"/>
      <c r="V533" s="70"/>
      <c r="W533" s="70"/>
      <c r="X533" s="70"/>
      <c r="Y533" s="70"/>
      <c r="Z533" s="70"/>
    </row>
    <row r="534" customFormat="false" ht="12.75" hidden="false" customHeight="false" outlineLevel="2" collapsed="false">
      <c r="A534" s="685"/>
      <c r="B534" s="70"/>
      <c r="C534" s="70"/>
      <c r="D534" s="70"/>
      <c r="E534" s="70"/>
      <c r="F534" s="686"/>
      <c r="G534" s="686"/>
      <c r="H534" s="686"/>
      <c r="I534" s="686"/>
      <c r="J534" s="686"/>
      <c r="K534" s="686"/>
      <c r="L534" s="686"/>
      <c r="M534" s="686"/>
      <c r="N534" s="686"/>
      <c r="O534" s="686"/>
      <c r="P534" s="686"/>
      <c r="Q534" s="686"/>
      <c r="R534" s="70"/>
      <c r="S534" s="70"/>
      <c r="T534" s="70"/>
      <c r="U534" s="70"/>
      <c r="V534" s="70"/>
      <c r="W534" s="70"/>
      <c r="X534" s="70"/>
      <c r="Y534" s="70"/>
      <c r="Z534" s="70"/>
    </row>
    <row r="535" customFormat="false" ht="12.75" hidden="false" customHeight="false" outlineLevel="2" collapsed="false">
      <c r="A535" s="70"/>
      <c r="B535" s="70"/>
      <c r="C535" s="70"/>
      <c r="D535" s="70"/>
      <c r="E535" s="70"/>
      <c r="F535" s="686"/>
      <c r="G535" s="686"/>
      <c r="H535" s="686"/>
      <c r="I535" s="686"/>
      <c r="J535" s="686"/>
      <c r="K535" s="686"/>
      <c r="L535" s="686"/>
      <c r="M535" s="686"/>
      <c r="N535" s="686"/>
      <c r="O535" s="686"/>
      <c r="P535" s="686"/>
      <c r="Q535" s="686"/>
      <c r="R535" s="70"/>
      <c r="S535" s="70"/>
      <c r="T535" s="70"/>
      <c r="U535" s="70"/>
      <c r="V535" s="70"/>
      <c r="W535" s="70"/>
      <c r="X535" s="70"/>
      <c r="Y535" s="70"/>
      <c r="Z535" s="70"/>
    </row>
    <row r="536" customFormat="false" ht="12.75" hidden="false" customHeight="false" outlineLevel="2" collapsed="false">
      <c r="A536" s="395"/>
      <c r="B536" s="70"/>
      <c r="C536" s="70"/>
      <c r="D536" s="70"/>
      <c r="E536" s="70"/>
      <c r="F536" s="686"/>
      <c r="G536" s="686"/>
      <c r="H536" s="686"/>
      <c r="I536" s="686"/>
      <c r="J536" s="686"/>
      <c r="K536" s="686"/>
      <c r="L536" s="686"/>
      <c r="M536" s="686"/>
      <c r="N536" s="686"/>
      <c r="O536" s="686"/>
      <c r="P536" s="686"/>
      <c r="Q536" s="686"/>
      <c r="R536" s="70"/>
      <c r="S536" s="70"/>
      <c r="T536" s="70"/>
      <c r="U536" s="70"/>
      <c r="V536" s="70"/>
      <c r="W536" s="70"/>
      <c r="X536" s="70"/>
      <c r="Y536" s="70"/>
      <c r="Z536" s="70"/>
    </row>
    <row r="537" customFormat="false" ht="12.75" hidden="false" customHeight="false" outlineLevel="2" collapsed="false">
      <c r="A537" s="685"/>
      <c r="B537" s="70"/>
      <c r="C537" s="70"/>
      <c r="D537" s="70"/>
      <c r="E537" s="70"/>
      <c r="F537" s="686"/>
      <c r="G537" s="686"/>
      <c r="H537" s="686"/>
      <c r="I537" s="686"/>
      <c r="J537" s="686"/>
      <c r="K537" s="686"/>
      <c r="L537" s="686"/>
      <c r="M537" s="686"/>
      <c r="N537" s="686"/>
      <c r="O537" s="686"/>
      <c r="P537" s="686"/>
      <c r="Q537" s="686"/>
      <c r="R537" s="70"/>
      <c r="S537" s="70"/>
      <c r="T537" s="70"/>
      <c r="U537" s="70"/>
      <c r="V537" s="70"/>
      <c r="W537" s="70"/>
      <c r="X537" s="70"/>
      <c r="Y537" s="70"/>
      <c r="Z537" s="70"/>
    </row>
    <row r="538" customFormat="false" ht="12.75" hidden="false" customHeight="false" outlineLevel="2" collapsed="false">
      <c r="A538" s="685"/>
      <c r="B538" s="70"/>
      <c r="C538" s="70"/>
      <c r="D538" s="70"/>
      <c r="E538" s="70"/>
      <c r="F538" s="686"/>
      <c r="G538" s="686"/>
      <c r="H538" s="686"/>
      <c r="I538" s="686"/>
      <c r="J538" s="686"/>
      <c r="K538" s="686"/>
      <c r="L538" s="686"/>
      <c r="M538" s="686"/>
      <c r="N538" s="686"/>
      <c r="O538" s="686"/>
      <c r="P538" s="686"/>
      <c r="Q538" s="686"/>
      <c r="R538" s="70"/>
      <c r="S538" s="70"/>
      <c r="T538" s="70"/>
      <c r="U538" s="70"/>
      <c r="V538" s="70"/>
      <c r="W538" s="70"/>
      <c r="X538" s="70"/>
      <c r="Y538" s="70"/>
      <c r="Z538" s="70"/>
    </row>
    <row r="539" customFormat="false" ht="12.75" hidden="false" customHeight="false" outlineLevel="2" collapsed="false">
      <c r="A539" s="685"/>
      <c r="B539" s="70"/>
      <c r="C539" s="70"/>
      <c r="D539" s="70"/>
      <c r="E539" s="70"/>
      <c r="F539" s="686"/>
      <c r="G539" s="686"/>
      <c r="H539" s="686"/>
      <c r="I539" s="686"/>
      <c r="J539" s="686"/>
      <c r="K539" s="686"/>
      <c r="L539" s="686"/>
      <c r="M539" s="686"/>
      <c r="N539" s="686"/>
      <c r="O539" s="686"/>
      <c r="P539" s="686"/>
      <c r="Q539" s="686"/>
      <c r="R539" s="70"/>
      <c r="S539" s="70"/>
      <c r="T539" s="70"/>
      <c r="U539" s="70"/>
      <c r="V539" s="70"/>
      <c r="W539" s="70"/>
      <c r="X539" s="70"/>
      <c r="Y539" s="70"/>
      <c r="Z539" s="70"/>
    </row>
    <row r="540" customFormat="false" ht="12.75" hidden="false" customHeight="false" outlineLevel="2" collapsed="false">
      <c r="A540" s="685"/>
      <c r="B540" s="70"/>
      <c r="C540" s="70"/>
      <c r="D540" s="70"/>
      <c r="E540" s="70"/>
      <c r="F540" s="686"/>
      <c r="G540" s="686"/>
      <c r="H540" s="686"/>
      <c r="I540" s="686"/>
      <c r="J540" s="686"/>
      <c r="K540" s="686"/>
      <c r="L540" s="686"/>
      <c r="M540" s="686"/>
      <c r="N540" s="686"/>
      <c r="O540" s="686"/>
      <c r="P540" s="686"/>
      <c r="Q540" s="686"/>
      <c r="R540" s="70"/>
      <c r="S540" s="70"/>
      <c r="T540" s="70"/>
      <c r="U540" s="70"/>
      <c r="V540" s="70"/>
      <c r="W540" s="70"/>
      <c r="X540" s="70"/>
      <c r="Y540" s="70"/>
      <c r="Z540" s="70"/>
    </row>
    <row r="541" customFormat="false" ht="12.75" hidden="false" customHeight="false" outlineLevel="2" collapsed="false">
      <c r="A541" s="685"/>
      <c r="B541" s="70"/>
      <c r="C541" s="70"/>
      <c r="D541" s="70"/>
      <c r="E541" s="70"/>
      <c r="F541" s="686"/>
      <c r="G541" s="686"/>
      <c r="H541" s="686"/>
      <c r="I541" s="686"/>
      <c r="J541" s="686"/>
      <c r="K541" s="686"/>
      <c r="L541" s="686"/>
      <c r="M541" s="686"/>
      <c r="N541" s="686"/>
      <c r="O541" s="686"/>
      <c r="P541" s="686"/>
      <c r="Q541" s="686"/>
      <c r="R541" s="70"/>
      <c r="S541" s="70"/>
      <c r="T541" s="70"/>
      <c r="U541" s="70"/>
      <c r="V541" s="70"/>
      <c r="W541" s="70"/>
      <c r="X541" s="70"/>
      <c r="Y541" s="70"/>
      <c r="Z541" s="70"/>
    </row>
    <row r="542" customFormat="false" ht="12.75" hidden="false" customHeight="false" outlineLevel="2" collapsed="false">
      <c r="A542" s="685"/>
      <c r="B542" s="70"/>
      <c r="C542" s="70"/>
      <c r="D542" s="70"/>
      <c r="E542" s="70"/>
      <c r="F542" s="686"/>
      <c r="G542" s="686"/>
      <c r="H542" s="686"/>
      <c r="I542" s="686"/>
      <c r="J542" s="686"/>
      <c r="K542" s="686"/>
      <c r="L542" s="686"/>
      <c r="M542" s="686"/>
      <c r="N542" s="686"/>
      <c r="O542" s="686"/>
      <c r="P542" s="686"/>
      <c r="Q542" s="686"/>
      <c r="R542" s="70"/>
      <c r="S542" s="70"/>
      <c r="T542" s="70"/>
      <c r="U542" s="70"/>
      <c r="V542" s="70"/>
      <c r="W542" s="70"/>
      <c r="X542" s="70"/>
      <c r="Y542" s="70"/>
      <c r="Z542" s="70"/>
    </row>
    <row r="543" customFormat="false" ht="12.75" hidden="false" customHeight="false" outlineLevel="2" collapsed="false">
      <c r="A543" s="685"/>
      <c r="B543" s="70"/>
      <c r="C543" s="70"/>
      <c r="D543" s="70"/>
      <c r="E543" s="70"/>
      <c r="F543" s="686"/>
      <c r="G543" s="686"/>
      <c r="H543" s="686"/>
      <c r="I543" s="686"/>
      <c r="J543" s="686"/>
      <c r="K543" s="686"/>
      <c r="L543" s="686"/>
      <c r="M543" s="686"/>
      <c r="N543" s="686"/>
      <c r="O543" s="686"/>
      <c r="P543" s="686"/>
      <c r="Q543" s="686"/>
      <c r="R543" s="70"/>
      <c r="S543" s="70"/>
      <c r="T543" s="70"/>
      <c r="U543" s="70"/>
      <c r="V543" s="70"/>
      <c r="W543" s="70"/>
      <c r="X543" s="70"/>
      <c r="Y543" s="70"/>
      <c r="Z543" s="70"/>
    </row>
    <row r="544" customFormat="false" ht="12.75" hidden="false" customHeight="false" outlineLevel="2" collapsed="false">
      <c r="A544" s="685"/>
      <c r="B544" s="70"/>
      <c r="C544" s="70"/>
      <c r="D544" s="70"/>
      <c r="E544" s="70"/>
      <c r="F544" s="686"/>
      <c r="G544" s="686"/>
      <c r="H544" s="686"/>
      <c r="I544" s="686"/>
      <c r="J544" s="686"/>
      <c r="K544" s="686"/>
      <c r="L544" s="686"/>
      <c r="M544" s="686"/>
      <c r="N544" s="686"/>
      <c r="O544" s="686"/>
      <c r="P544" s="686"/>
      <c r="Q544" s="686"/>
      <c r="R544" s="70"/>
      <c r="S544" s="70"/>
      <c r="T544" s="70"/>
      <c r="U544" s="70"/>
      <c r="V544" s="70"/>
      <c r="W544" s="70"/>
      <c r="X544" s="70"/>
      <c r="Y544" s="70"/>
      <c r="Z544" s="70"/>
    </row>
    <row r="545" customFormat="false" ht="12.75" hidden="false" customHeight="false" outlineLevel="2" collapsed="false">
      <c r="A545" s="685"/>
      <c r="B545" s="70"/>
      <c r="C545" s="70"/>
      <c r="D545" s="70"/>
      <c r="E545" s="70"/>
      <c r="F545" s="686"/>
      <c r="G545" s="686"/>
      <c r="H545" s="686"/>
      <c r="I545" s="686"/>
      <c r="J545" s="686"/>
      <c r="K545" s="686"/>
      <c r="L545" s="686"/>
      <c r="M545" s="686"/>
      <c r="N545" s="686"/>
      <c r="O545" s="686"/>
      <c r="P545" s="686"/>
      <c r="Q545" s="686"/>
      <c r="R545" s="70"/>
      <c r="S545" s="70"/>
      <c r="T545" s="70"/>
      <c r="U545" s="70"/>
      <c r="V545" s="70"/>
      <c r="W545" s="70"/>
      <c r="X545" s="70"/>
      <c r="Y545" s="70"/>
      <c r="Z545" s="70"/>
    </row>
    <row r="546" customFormat="false" ht="12.75" hidden="false" customHeight="false" outlineLevel="2" collapsed="false">
      <c r="A546" s="685"/>
      <c r="B546" s="70"/>
      <c r="C546" s="70"/>
      <c r="D546" s="70"/>
      <c r="E546" s="70"/>
      <c r="F546" s="686"/>
      <c r="G546" s="686"/>
      <c r="H546" s="686"/>
      <c r="I546" s="686"/>
      <c r="J546" s="686"/>
      <c r="K546" s="686"/>
      <c r="L546" s="686"/>
      <c r="M546" s="686"/>
      <c r="N546" s="686"/>
      <c r="O546" s="686"/>
      <c r="P546" s="686"/>
      <c r="Q546" s="686"/>
      <c r="R546" s="70"/>
      <c r="S546" s="70"/>
      <c r="T546" s="70"/>
      <c r="U546" s="70"/>
      <c r="V546" s="70"/>
      <c r="W546" s="70"/>
      <c r="X546" s="70"/>
      <c r="Y546" s="70"/>
      <c r="Z546" s="70"/>
    </row>
    <row r="547" customFormat="false" ht="12.75" hidden="false" customHeight="false" outlineLevel="2" collapsed="false">
      <c r="A547" s="70"/>
      <c r="B547" s="70"/>
      <c r="C547" s="70"/>
      <c r="D547" s="70"/>
      <c r="E547" s="70"/>
      <c r="F547" s="686"/>
      <c r="G547" s="686"/>
      <c r="H547" s="686"/>
      <c r="I547" s="686"/>
      <c r="J547" s="686"/>
      <c r="K547" s="686"/>
      <c r="L547" s="686"/>
      <c r="M547" s="686"/>
      <c r="N547" s="686"/>
      <c r="O547" s="686"/>
      <c r="P547" s="686"/>
      <c r="Q547" s="686"/>
      <c r="R547" s="70"/>
      <c r="S547" s="70"/>
      <c r="T547" s="70"/>
      <c r="U547" s="70"/>
      <c r="V547" s="70"/>
      <c r="W547" s="70"/>
      <c r="X547" s="70"/>
      <c r="Y547" s="70"/>
      <c r="Z547" s="70"/>
    </row>
    <row r="548" customFormat="false" ht="12.75" hidden="false" customHeight="false" outlineLevel="2" collapsed="false">
      <c r="A548" s="70"/>
      <c r="B548" s="70"/>
      <c r="C548" s="70"/>
      <c r="D548" s="70"/>
      <c r="E548" s="70"/>
      <c r="F548" s="686"/>
      <c r="G548" s="686"/>
      <c r="H548" s="686"/>
      <c r="I548" s="686"/>
      <c r="J548" s="686"/>
      <c r="K548" s="686"/>
      <c r="L548" s="686"/>
      <c r="M548" s="686"/>
      <c r="N548" s="686"/>
      <c r="O548" s="686"/>
      <c r="P548" s="686"/>
      <c r="Q548" s="686"/>
      <c r="R548" s="70"/>
      <c r="S548" s="70"/>
      <c r="T548" s="70"/>
      <c r="U548" s="70"/>
      <c r="V548" s="70"/>
      <c r="W548" s="70"/>
      <c r="X548" s="70"/>
      <c r="Y548" s="70"/>
      <c r="Z548" s="70"/>
    </row>
    <row r="549" customFormat="false" ht="12.75" hidden="false" customHeight="false" outlineLevel="2" collapsed="false">
      <c r="A549" s="70"/>
      <c r="B549" s="70"/>
      <c r="C549" s="70"/>
      <c r="D549" s="70"/>
      <c r="E549" s="70"/>
      <c r="F549" s="686"/>
      <c r="G549" s="686"/>
      <c r="H549" s="686"/>
      <c r="I549" s="686"/>
      <c r="J549" s="686"/>
      <c r="K549" s="686"/>
      <c r="L549" s="686"/>
      <c r="M549" s="686"/>
      <c r="N549" s="686"/>
      <c r="O549" s="686"/>
      <c r="P549" s="686"/>
      <c r="Q549" s="686"/>
      <c r="R549" s="70"/>
      <c r="S549" s="70"/>
      <c r="T549" s="70"/>
      <c r="U549" s="70"/>
      <c r="V549" s="70"/>
      <c r="W549" s="70"/>
      <c r="X549" s="70"/>
      <c r="Y549" s="70"/>
      <c r="Z549" s="70"/>
    </row>
    <row r="550" customFormat="false" ht="12.75" hidden="false" customHeight="false" outlineLevel="2" collapsed="false">
      <c r="A550" s="685"/>
      <c r="B550" s="70"/>
      <c r="C550" s="70"/>
      <c r="D550" s="70"/>
      <c r="E550" s="70"/>
      <c r="F550" s="686"/>
      <c r="G550" s="686"/>
      <c r="H550" s="686"/>
      <c r="I550" s="686"/>
      <c r="J550" s="686"/>
      <c r="K550" s="686"/>
      <c r="L550" s="686"/>
      <c r="M550" s="686"/>
      <c r="N550" s="686"/>
      <c r="O550" s="686"/>
      <c r="P550" s="686"/>
      <c r="Q550" s="686"/>
      <c r="R550" s="70"/>
      <c r="S550" s="70"/>
      <c r="T550" s="70"/>
      <c r="U550" s="70"/>
      <c r="V550" s="70"/>
      <c r="W550" s="70"/>
      <c r="X550" s="70"/>
      <c r="Y550" s="70"/>
      <c r="Z550" s="70"/>
    </row>
    <row r="551" customFormat="false" ht="12.75" hidden="false" customHeight="false" outlineLevel="2" collapsed="false">
      <c r="A551" s="70"/>
      <c r="B551" s="70"/>
      <c r="C551" s="70"/>
      <c r="D551" s="70"/>
      <c r="E551" s="70"/>
      <c r="F551" s="686"/>
      <c r="G551" s="686"/>
      <c r="H551" s="686"/>
      <c r="I551" s="686"/>
      <c r="J551" s="686"/>
      <c r="K551" s="686"/>
      <c r="L551" s="686"/>
      <c r="M551" s="686"/>
      <c r="N551" s="686"/>
      <c r="O551" s="686"/>
      <c r="P551" s="686"/>
      <c r="Q551" s="686"/>
      <c r="R551" s="70"/>
      <c r="S551" s="70"/>
      <c r="T551" s="70"/>
      <c r="U551" s="70"/>
      <c r="V551" s="70"/>
      <c r="W551" s="70"/>
      <c r="X551" s="70"/>
      <c r="Y551" s="70"/>
      <c r="Z551" s="70"/>
    </row>
    <row r="552" customFormat="false" ht="12.75" hidden="false" customHeight="false" outlineLevel="2" collapsed="false">
      <c r="A552" s="70"/>
      <c r="B552" s="70"/>
      <c r="C552" s="70"/>
      <c r="D552" s="70"/>
      <c r="E552" s="70"/>
      <c r="F552" s="686"/>
      <c r="G552" s="686"/>
      <c r="H552" s="686"/>
      <c r="I552" s="686"/>
      <c r="J552" s="686"/>
      <c r="K552" s="686"/>
      <c r="L552" s="686"/>
      <c r="M552" s="686"/>
      <c r="N552" s="686"/>
      <c r="O552" s="686"/>
      <c r="P552" s="686"/>
      <c r="Q552" s="686"/>
      <c r="R552" s="70"/>
      <c r="S552" s="70"/>
      <c r="T552" s="70"/>
      <c r="U552" s="70"/>
      <c r="V552" s="70"/>
      <c r="W552" s="70"/>
      <c r="X552" s="70"/>
      <c r="Y552" s="70"/>
      <c r="Z552" s="70"/>
    </row>
    <row r="553" customFormat="false" ht="12.75" hidden="false" customHeight="false" outlineLevel="2" collapsed="false">
      <c r="A553" s="395"/>
      <c r="B553" s="70"/>
      <c r="C553" s="70"/>
      <c r="D553" s="70"/>
      <c r="E553" s="70"/>
      <c r="F553" s="686"/>
      <c r="G553" s="686"/>
      <c r="H553" s="686"/>
      <c r="I553" s="686"/>
      <c r="J553" s="686"/>
      <c r="K553" s="686"/>
      <c r="L553" s="686"/>
      <c r="M553" s="686"/>
      <c r="N553" s="686"/>
      <c r="O553" s="686"/>
      <c r="P553" s="686"/>
      <c r="Q553" s="686"/>
      <c r="R553" s="70"/>
      <c r="S553" s="70"/>
      <c r="T553" s="70"/>
      <c r="U553" s="70"/>
      <c r="V553" s="70"/>
      <c r="W553" s="70"/>
      <c r="X553" s="70"/>
      <c r="Y553" s="70"/>
      <c r="Z553" s="70"/>
    </row>
    <row r="554" customFormat="false" ht="12.75" hidden="false" customHeight="false" outlineLevel="2" collapsed="false">
      <c r="A554" s="685"/>
      <c r="B554" s="70"/>
      <c r="C554" s="70"/>
      <c r="D554" s="70"/>
      <c r="E554" s="70"/>
      <c r="F554" s="686"/>
      <c r="G554" s="686"/>
      <c r="H554" s="686"/>
      <c r="I554" s="686"/>
      <c r="J554" s="686"/>
      <c r="K554" s="686"/>
      <c r="L554" s="686"/>
      <c r="M554" s="686"/>
      <c r="N554" s="686"/>
      <c r="O554" s="686"/>
      <c r="P554" s="686"/>
      <c r="Q554" s="686"/>
      <c r="R554" s="70"/>
      <c r="S554" s="70"/>
      <c r="T554" s="70"/>
      <c r="U554" s="70"/>
      <c r="V554" s="70"/>
      <c r="W554" s="70"/>
      <c r="X554" s="70"/>
      <c r="Y554" s="70"/>
      <c r="Z554" s="70"/>
    </row>
    <row r="555" customFormat="false" ht="12.75" hidden="false" customHeight="false" outlineLevel="1" collapsed="false">
      <c r="A555" s="395"/>
      <c r="B555" s="70"/>
      <c r="C555" s="70"/>
      <c r="D555" s="70"/>
      <c r="E555" s="70"/>
      <c r="F555" s="686"/>
      <c r="G555" s="686"/>
      <c r="H555" s="686"/>
      <c r="I555" s="686"/>
      <c r="J555" s="686"/>
      <c r="K555" s="686"/>
      <c r="L555" s="686"/>
      <c r="M555" s="686"/>
      <c r="N555" s="686"/>
      <c r="O555" s="686"/>
      <c r="P555" s="686"/>
      <c r="Q555" s="686"/>
      <c r="R555" s="70"/>
      <c r="S555" s="70"/>
      <c r="T555" s="70"/>
      <c r="U555" s="70"/>
      <c r="V555" s="70"/>
      <c r="W555" s="70"/>
      <c r="X555" s="70"/>
      <c r="Y555" s="70"/>
      <c r="Z555" s="70"/>
    </row>
    <row r="556" customFormat="false" ht="12.75" hidden="false" customHeight="false" outlineLevel="1" collapsed="false">
      <c r="A556" s="395"/>
      <c r="B556" s="70"/>
      <c r="C556" s="70"/>
      <c r="D556" s="70"/>
      <c r="E556" s="70"/>
      <c r="F556" s="686"/>
      <c r="G556" s="686"/>
      <c r="H556" s="686"/>
      <c r="I556" s="686"/>
      <c r="J556" s="686"/>
      <c r="K556" s="686"/>
      <c r="L556" s="686"/>
      <c r="M556" s="686"/>
      <c r="N556" s="686"/>
      <c r="O556" s="686"/>
      <c r="P556" s="686"/>
      <c r="Q556" s="686"/>
      <c r="R556" s="70"/>
      <c r="S556" s="70"/>
      <c r="T556" s="70"/>
      <c r="U556" s="70"/>
      <c r="V556" s="70"/>
      <c r="W556" s="70"/>
      <c r="X556" s="70"/>
      <c r="Y556" s="70"/>
      <c r="Z556" s="70"/>
    </row>
    <row r="557" customFormat="false" ht="12.75" hidden="false" customHeight="false" outlineLevel="1" collapsed="false">
      <c r="A557" s="395"/>
      <c r="B557" s="70"/>
      <c r="C557" s="70"/>
      <c r="D557" s="70"/>
      <c r="E557" s="70"/>
      <c r="F557" s="686"/>
      <c r="G557" s="686"/>
      <c r="H557" s="686"/>
      <c r="I557" s="686"/>
      <c r="J557" s="686"/>
      <c r="K557" s="686"/>
      <c r="L557" s="686"/>
      <c r="M557" s="686"/>
      <c r="N557" s="686"/>
      <c r="O557" s="686"/>
      <c r="P557" s="686"/>
      <c r="Q557" s="686"/>
      <c r="R557" s="70"/>
      <c r="S557" s="70"/>
      <c r="T557" s="70"/>
      <c r="U557" s="70"/>
      <c r="V557" s="70"/>
      <c r="W557" s="70"/>
      <c r="X557" s="70"/>
      <c r="Y557" s="70"/>
      <c r="Z557" s="70"/>
    </row>
    <row r="558" customFormat="false" ht="12.75" hidden="false" customHeight="false" outlineLevel="1" collapsed="false">
      <c r="A558" s="70"/>
      <c r="B558" s="70"/>
      <c r="C558" s="70"/>
      <c r="D558" s="70"/>
      <c r="E558" s="70"/>
      <c r="F558" s="686"/>
      <c r="G558" s="686"/>
      <c r="H558" s="686"/>
      <c r="I558" s="686"/>
      <c r="J558" s="686"/>
      <c r="K558" s="686"/>
      <c r="L558" s="686"/>
      <c r="M558" s="686"/>
      <c r="N558" s="686"/>
      <c r="O558" s="686"/>
      <c r="P558" s="686"/>
      <c r="Q558" s="686"/>
      <c r="R558" s="70"/>
      <c r="S558" s="70"/>
      <c r="T558" s="70"/>
      <c r="U558" s="70"/>
      <c r="V558" s="70"/>
      <c r="W558" s="70"/>
      <c r="X558" s="70"/>
      <c r="Y558" s="70"/>
      <c r="Z558" s="70"/>
    </row>
    <row r="559" customFormat="false" ht="12.75" hidden="false" customHeight="false" outlineLevel="1" collapsed="false">
      <c r="A559" s="70"/>
      <c r="B559" s="70"/>
      <c r="C559" s="70"/>
      <c r="D559" s="70"/>
      <c r="E559" s="70"/>
      <c r="F559" s="686"/>
      <c r="G559" s="686"/>
      <c r="H559" s="686"/>
      <c r="I559" s="686"/>
      <c r="J559" s="686"/>
      <c r="K559" s="686"/>
      <c r="L559" s="686"/>
      <c r="M559" s="686"/>
      <c r="N559" s="686"/>
      <c r="O559" s="686"/>
      <c r="P559" s="686"/>
      <c r="Q559" s="686"/>
      <c r="R559" s="70"/>
      <c r="S559" s="70"/>
      <c r="T559" s="70"/>
      <c r="U559" s="70"/>
      <c r="V559" s="70"/>
      <c r="W559" s="70"/>
      <c r="X559" s="70"/>
      <c r="Y559" s="70"/>
      <c r="Z559" s="70"/>
    </row>
    <row r="560" customFormat="false" ht="12.75" hidden="false" customHeight="false" outlineLevel="1" collapsed="false">
      <c r="A560" s="395"/>
      <c r="B560" s="70"/>
      <c r="C560" s="70"/>
      <c r="D560" s="70"/>
      <c r="E560" s="70"/>
      <c r="F560" s="686"/>
      <c r="G560" s="686"/>
      <c r="H560" s="686"/>
      <c r="I560" s="686"/>
      <c r="J560" s="686"/>
      <c r="K560" s="686"/>
      <c r="L560" s="686"/>
      <c r="M560" s="686"/>
      <c r="N560" s="686"/>
      <c r="O560" s="686"/>
      <c r="P560" s="686"/>
      <c r="Q560" s="686"/>
      <c r="R560" s="70"/>
      <c r="S560" s="70"/>
      <c r="T560" s="70"/>
      <c r="U560" s="70"/>
      <c r="V560" s="70"/>
      <c r="W560" s="70"/>
      <c r="X560" s="70"/>
      <c r="Y560" s="70"/>
      <c r="Z560" s="70"/>
    </row>
    <row r="561" customFormat="false" ht="12.75" hidden="false" customHeight="false" outlineLevel="1" collapsed="false">
      <c r="A561" s="395"/>
      <c r="B561" s="70"/>
      <c r="C561" s="70"/>
      <c r="D561" s="70"/>
      <c r="E561" s="70"/>
      <c r="F561" s="686"/>
      <c r="G561" s="686"/>
      <c r="H561" s="686"/>
      <c r="I561" s="686"/>
      <c r="J561" s="686"/>
      <c r="K561" s="686"/>
      <c r="L561" s="686"/>
      <c r="M561" s="686"/>
      <c r="N561" s="686"/>
      <c r="O561" s="686"/>
      <c r="P561" s="686"/>
      <c r="Q561" s="686"/>
      <c r="R561" s="70"/>
      <c r="S561" s="70"/>
      <c r="T561" s="70"/>
      <c r="U561" s="70"/>
      <c r="V561" s="70"/>
      <c r="W561" s="70"/>
      <c r="X561" s="70"/>
      <c r="Y561" s="70"/>
      <c r="Z561" s="70"/>
    </row>
    <row r="562" customFormat="false" ht="12.75" hidden="false" customHeight="false" outlineLevel="1" collapsed="false">
      <c r="A562" s="395"/>
      <c r="B562" s="70"/>
      <c r="C562" s="70"/>
      <c r="D562" s="70"/>
      <c r="E562" s="70"/>
      <c r="F562" s="686"/>
      <c r="G562" s="686"/>
      <c r="H562" s="686"/>
      <c r="I562" s="686"/>
      <c r="J562" s="686"/>
      <c r="K562" s="686"/>
      <c r="L562" s="686"/>
      <c r="M562" s="686"/>
      <c r="N562" s="686"/>
      <c r="O562" s="686"/>
      <c r="P562" s="686"/>
      <c r="Q562" s="686"/>
      <c r="R562" s="70"/>
      <c r="S562" s="70"/>
      <c r="T562" s="70"/>
      <c r="U562" s="70"/>
      <c r="V562" s="70"/>
      <c r="W562" s="70"/>
      <c r="X562" s="70"/>
      <c r="Y562" s="70"/>
      <c r="Z562" s="70"/>
    </row>
    <row r="563" customFormat="false" ht="12.75" hidden="false" customHeight="false" outlineLevel="1" collapsed="false">
      <c r="A563" s="395"/>
      <c r="B563" s="70"/>
      <c r="C563" s="70"/>
      <c r="D563" s="70"/>
      <c r="E563" s="70"/>
      <c r="F563" s="686"/>
      <c r="G563" s="686"/>
      <c r="H563" s="686"/>
      <c r="I563" s="686"/>
      <c r="J563" s="686"/>
      <c r="K563" s="686"/>
      <c r="L563" s="686"/>
      <c r="M563" s="686"/>
      <c r="N563" s="686"/>
      <c r="O563" s="686"/>
      <c r="P563" s="686"/>
      <c r="Q563" s="686"/>
      <c r="R563" s="70"/>
      <c r="S563" s="70"/>
      <c r="T563" s="70"/>
      <c r="U563" s="70"/>
      <c r="V563" s="70"/>
      <c r="W563" s="70"/>
      <c r="X563" s="70"/>
      <c r="Y563" s="70"/>
      <c r="Z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  <c r="F564" s="70"/>
      <c r="G564" s="70"/>
      <c r="H564" s="70"/>
      <c r="I564" s="686"/>
      <c r="J564" s="686"/>
      <c r="K564" s="686"/>
      <c r="L564" s="686"/>
      <c r="M564" s="686"/>
      <c r="N564" s="686"/>
      <c r="O564" s="686"/>
      <c r="P564" s="686"/>
      <c r="Q564" s="686"/>
      <c r="R564" s="70"/>
      <c r="S564" s="70"/>
      <c r="T564" s="70"/>
      <c r="U564" s="70"/>
      <c r="V564" s="70"/>
      <c r="W564" s="70"/>
      <c r="X564" s="70"/>
      <c r="Y564" s="70"/>
      <c r="Z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  <c r="F565" s="70"/>
      <c r="G565" s="70"/>
      <c r="H565" s="70"/>
      <c r="I565" s="686"/>
      <c r="J565" s="686"/>
      <c r="K565" s="686"/>
      <c r="L565" s="686"/>
      <c r="M565" s="686"/>
      <c r="N565" s="686"/>
      <c r="O565" s="686"/>
      <c r="P565" s="686"/>
      <c r="Q565" s="686"/>
      <c r="R565" s="70"/>
      <c r="S565" s="70"/>
      <c r="T565" s="70"/>
      <c r="U565" s="70"/>
      <c r="V565" s="70"/>
      <c r="W565" s="70"/>
      <c r="X565" s="70"/>
      <c r="Y565" s="70"/>
      <c r="Z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  <c r="F566" s="70"/>
      <c r="G566" s="70"/>
      <c r="H566" s="70"/>
      <c r="I566" s="686"/>
      <c r="J566" s="686"/>
      <c r="K566" s="686"/>
      <c r="L566" s="686"/>
      <c r="M566" s="686"/>
      <c r="N566" s="686"/>
      <c r="O566" s="686"/>
      <c r="P566" s="686"/>
      <c r="Q566" s="686"/>
      <c r="R566" s="70"/>
      <c r="S566" s="70"/>
      <c r="T566" s="70"/>
      <c r="U566" s="70"/>
      <c r="V566" s="70"/>
      <c r="W566" s="70"/>
      <c r="X566" s="70"/>
      <c r="Y566" s="70"/>
      <c r="Z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  <c r="F567" s="70"/>
      <c r="G567" s="70"/>
      <c r="H567" s="70"/>
      <c r="I567" s="686"/>
      <c r="J567" s="686"/>
      <c r="K567" s="686"/>
      <c r="L567" s="686"/>
      <c r="M567" s="686"/>
      <c r="N567" s="686"/>
      <c r="O567" s="686"/>
      <c r="P567" s="686"/>
      <c r="Q567" s="686"/>
      <c r="R567" s="70"/>
      <c r="S567" s="70"/>
      <c r="T567" s="70"/>
      <c r="U567" s="70"/>
      <c r="V567" s="70"/>
      <c r="W567" s="70"/>
      <c r="X567" s="70"/>
      <c r="Y567" s="70"/>
      <c r="Z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  <c r="F568" s="70"/>
      <c r="G568" s="70"/>
      <c r="H568" s="70"/>
      <c r="I568" s="686"/>
      <c r="J568" s="686"/>
      <c r="K568" s="686"/>
      <c r="L568" s="686"/>
      <c r="M568" s="686"/>
      <c r="N568" s="686"/>
      <c r="O568" s="686"/>
      <c r="P568" s="686"/>
      <c r="Q568" s="686"/>
      <c r="R568" s="70"/>
      <c r="S568" s="70"/>
      <c r="T568" s="70"/>
      <c r="U568" s="70"/>
      <c r="V568" s="70"/>
      <c r="W568" s="70"/>
      <c r="X568" s="70"/>
      <c r="Y568" s="70"/>
      <c r="Z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  <c r="F569" s="70"/>
      <c r="G569" s="70"/>
      <c r="H569" s="70"/>
      <c r="I569" s="70"/>
      <c r="J569" s="70"/>
      <c r="K569" s="70"/>
      <c r="L569" s="70"/>
      <c r="M569" s="70"/>
      <c r="N569" s="70"/>
      <c r="O569" s="70"/>
      <c r="P569" s="70"/>
      <c r="Q569" s="70"/>
      <c r="R569" s="70"/>
      <c r="S569" s="70"/>
      <c r="T569" s="70"/>
      <c r="U569" s="70"/>
      <c r="V569" s="70"/>
      <c r="W569" s="70"/>
      <c r="X569" s="70"/>
      <c r="Y569" s="70"/>
      <c r="Z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  <c r="F570" s="70"/>
      <c r="G570" s="70"/>
      <c r="H570" s="70"/>
      <c r="I570" s="70"/>
      <c r="J570" s="70"/>
      <c r="K570" s="70"/>
      <c r="L570" s="70"/>
      <c r="M570" s="70"/>
      <c r="N570" s="70"/>
      <c r="O570" s="70"/>
      <c r="P570" s="70"/>
      <c r="Q570" s="70"/>
      <c r="R570" s="70"/>
      <c r="S570" s="70"/>
      <c r="T570" s="70"/>
      <c r="U570" s="70"/>
      <c r="V570" s="70"/>
      <c r="W570" s="70"/>
      <c r="X570" s="70"/>
      <c r="Y570" s="70"/>
      <c r="Z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  <c r="F571" s="70"/>
      <c r="G571" s="70"/>
      <c r="H571" s="70"/>
      <c r="I571" s="70"/>
      <c r="J571" s="70"/>
      <c r="K571" s="70"/>
      <c r="L571" s="70"/>
      <c r="M571" s="70"/>
      <c r="N571" s="70"/>
      <c r="O571" s="70"/>
      <c r="P571" s="70"/>
      <c r="Q571" s="70"/>
      <c r="R571" s="70"/>
      <c r="S571" s="70"/>
      <c r="T571" s="70"/>
      <c r="U571" s="70"/>
      <c r="V571" s="70"/>
      <c r="W571" s="70"/>
      <c r="X571" s="70"/>
      <c r="Y571" s="70"/>
      <c r="Z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  <c r="F572" s="70"/>
      <c r="G572" s="70"/>
      <c r="H572" s="70"/>
      <c r="I572" s="70"/>
      <c r="J572" s="70"/>
      <c r="K572" s="70"/>
      <c r="L572" s="70"/>
      <c r="M572" s="70"/>
      <c r="N572" s="70"/>
      <c r="O572" s="70"/>
      <c r="P572" s="70"/>
      <c r="Q572" s="70"/>
      <c r="R572" s="70"/>
      <c r="S572" s="70"/>
      <c r="T572" s="70"/>
      <c r="U572" s="70"/>
      <c r="V572" s="70"/>
      <c r="W572" s="70"/>
      <c r="X572" s="70"/>
      <c r="Y572" s="70"/>
      <c r="Z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  <c r="F573" s="70"/>
      <c r="G573" s="70"/>
      <c r="H573" s="70"/>
      <c r="I573" s="70"/>
      <c r="J573" s="70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  <c r="Z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  <c r="F574" s="70"/>
      <c r="G574" s="70"/>
      <c r="H574" s="70"/>
      <c r="I574" s="70"/>
      <c r="J574" s="70"/>
      <c r="K574" s="70"/>
      <c r="L574" s="70"/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70"/>
      <c r="X574" s="70"/>
      <c r="Y574" s="70"/>
      <c r="Z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  <c r="F575" s="70"/>
      <c r="G575" s="70"/>
      <c r="H575" s="70"/>
      <c r="I575" s="70"/>
      <c r="J575" s="70"/>
      <c r="K575" s="70"/>
      <c r="L575" s="70"/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70"/>
      <c r="X575" s="70"/>
      <c r="Y575" s="70"/>
      <c r="Z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  <c r="F576" s="70"/>
      <c r="G576" s="70"/>
      <c r="H576" s="70"/>
      <c r="I576" s="70"/>
      <c r="J576" s="70"/>
      <c r="K576" s="70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  <c r="Y576" s="70"/>
      <c r="Z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  <c r="F577" s="70"/>
      <c r="G577" s="70"/>
      <c r="H577" s="70"/>
      <c r="I577" s="70"/>
      <c r="J577" s="70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  <c r="Y577" s="70"/>
      <c r="Z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  <c r="F578" s="70"/>
      <c r="G578" s="70"/>
      <c r="H578" s="70"/>
      <c r="I578" s="70"/>
      <c r="J578" s="70"/>
      <c r="K578" s="70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  <c r="Y578" s="70"/>
      <c r="Z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  <c r="F579" s="70"/>
      <c r="G579" s="70"/>
      <c r="H579" s="70"/>
      <c r="I579" s="70"/>
      <c r="J579" s="70"/>
      <c r="K579" s="70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  <c r="Y579" s="70"/>
      <c r="Z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  <c r="F580" s="70"/>
      <c r="G580" s="70"/>
      <c r="H580" s="70"/>
      <c r="I580" s="70"/>
      <c r="J580" s="70"/>
      <c r="K580" s="70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  <c r="Y580" s="70"/>
      <c r="Z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  <c r="F581" s="70"/>
      <c r="G581" s="70"/>
      <c r="H581" s="70"/>
      <c r="I581" s="70"/>
      <c r="J581" s="70"/>
      <c r="K581" s="70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  <c r="Y581" s="70"/>
      <c r="Z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  <c r="F582" s="70"/>
      <c r="G582" s="70"/>
      <c r="H582" s="70"/>
      <c r="I582" s="70"/>
      <c r="J582" s="70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  <c r="Z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  <c r="F583" s="70"/>
      <c r="G583" s="70"/>
      <c r="H583" s="70"/>
      <c r="I583" s="70"/>
      <c r="J583" s="70"/>
      <c r="K583" s="70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  <c r="Y583" s="70"/>
      <c r="Z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  <c r="F584" s="70"/>
      <c r="G584" s="70"/>
      <c r="H584" s="70"/>
      <c r="I584" s="70"/>
      <c r="J584" s="70"/>
      <c r="K584" s="70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  <c r="Y584" s="70"/>
      <c r="Z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  <c r="F585" s="70"/>
      <c r="G585" s="70"/>
      <c r="H585" s="70"/>
      <c r="I585" s="70"/>
      <c r="J585" s="70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  <c r="Y585" s="70"/>
      <c r="Z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  <c r="F586" s="70"/>
      <c r="G586" s="70"/>
      <c r="H586" s="70"/>
      <c r="I586" s="70"/>
      <c r="J586" s="70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  <c r="Y586" s="70"/>
      <c r="Z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  <c r="F587" s="70"/>
      <c r="G587" s="70"/>
      <c r="H587" s="70"/>
      <c r="I587" s="70"/>
      <c r="J587" s="70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  <c r="Y587" s="70"/>
      <c r="Z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  <c r="F588" s="70"/>
      <c r="G588" s="70"/>
      <c r="H588" s="70"/>
      <c r="I588" s="70"/>
      <c r="J588" s="70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  <c r="Z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  <c r="F589" s="70"/>
      <c r="G589" s="70"/>
      <c r="H589" s="70"/>
      <c r="I589" s="70"/>
      <c r="J589" s="70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  <c r="Z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  <c r="F590" s="70"/>
      <c r="G590" s="70"/>
      <c r="H590" s="70"/>
      <c r="I590" s="70"/>
      <c r="J590" s="70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  <c r="Z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  <c r="F591" s="70"/>
      <c r="G591" s="70"/>
      <c r="H591" s="70"/>
      <c r="I591" s="70"/>
      <c r="J591" s="70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  <c r="Z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  <c r="F592" s="70"/>
      <c r="G592" s="70"/>
      <c r="H592" s="70"/>
      <c r="I592" s="70"/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  <c r="Y592" s="70"/>
      <c r="Z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  <c r="F593" s="70"/>
      <c r="G593" s="70"/>
      <c r="H593" s="70"/>
      <c r="I593" s="70"/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70"/>
      <c r="Y593" s="70"/>
      <c r="Z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  <c r="F594" s="70"/>
      <c r="G594" s="70"/>
      <c r="H594" s="70"/>
      <c r="I594" s="70"/>
      <c r="J594" s="70"/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70"/>
      <c r="Y594" s="70"/>
      <c r="Z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  <c r="F595" s="70"/>
      <c r="G595" s="70"/>
      <c r="H595" s="70"/>
      <c r="I595" s="70"/>
      <c r="J595" s="70"/>
      <c r="K595" s="70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  <c r="Y595" s="70"/>
      <c r="Z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  <c r="F596" s="70"/>
      <c r="G596" s="70"/>
      <c r="H596" s="70"/>
      <c r="I596" s="70"/>
      <c r="J596" s="70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  <c r="Z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  <c r="F597" s="70"/>
      <c r="G597" s="70"/>
      <c r="H597" s="70"/>
      <c r="I597" s="70"/>
      <c r="J597" s="70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  <c r="Z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  <c r="F598" s="70"/>
      <c r="G598" s="70"/>
      <c r="H598" s="70"/>
      <c r="I598" s="70"/>
      <c r="J598" s="70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  <c r="Z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  <c r="F599" s="70"/>
      <c r="G599" s="70"/>
      <c r="H599" s="70"/>
      <c r="I599" s="70"/>
      <c r="J599" s="70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  <c r="Z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  <c r="F600" s="70"/>
      <c r="G600" s="70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  <c r="Z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  <c r="F601" s="70"/>
      <c r="G601" s="70"/>
      <c r="H601" s="70"/>
      <c r="I601" s="70"/>
      <c r="J601" s="70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  <c r="Z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  <c r="F602" s="70"/>
      <c r="G602" s="70"/>
      <c r="H602" s="70"/>
      <c r="I602" s="70"/>
      <c r="J602" s="70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  <c r="Z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  <c r="F603" s="70"/>
      <c r="G603" s="70"/>
      <c r="H603" s="70"/>
      <c r="I603" s="70"/>
      <c r="J603" s="70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  <c r="Z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  <c r="F604" s="70"/>
      <c r="G604" s="70"/>
      <c r="H604" s="70"/>
      <c r="I604" s="70"/>
      <c r="J604" s="70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  <c r="Z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  <c r="F605" s="70"/>
      <c r="G605" s="70"/>
      <c r="H605" s="70"/>
      <c r="I605" s="70"/>
      <c r="J605" s="70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  <c r="Z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  <c r="F606" s="70"/>
      <c r="G606" s="70"/>
      <c r="H606" s="70"/>
      <c r="I606" s="70"/>
      <c r="J606" s="70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  <c r="Z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  <c r="F607" s="70"/>
      <c r="G607" s="70"/>
      <c r="H607" s="70"/>
      <c r="I607" s="70"/>
      <c r="J607" s="70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  <c r="Z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  <c r="F608" s="70"/>
      <c r="G608" s="70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  <c r="Z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  <c r="F609" s="70"/>
      <c r="G609" s="70"/>
      <c r="H609" s="70"/>
      <c r="I609" s="70"/>
      <c r="J609" s="70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  <c r="Z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  <c r="F610" s="70"/>
      <c r="G610" s="70"/>
      <c r="H610" s="70"/>
      <c r="I610" s="70"/>
      <c r="J610" s="70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  <c r="Z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  <c r="F611" s="70"/>
      <c r="G611" s="70"/>
      <c r="H611" s="70"/>
      <c r="I611" s="70"/>
      <c r="J611" s="70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  <c r="Z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  <c r="F612" s="70"/>
      <c r="G612" s="70"/>
      <c r="H612" s="70"/>
      <c r="I612" s="70"/>
      <c r="J612" s="70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  <c r="Z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  <c r="F613" s="70"/>
      <c r="G613" s="70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  <c r="Z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  <c r="F614" s="70"/>
      <c r="G614" s="70"/>
      <c r="H614" s="70"/>
      <c r="I614" s="70"/>
      <c r="J614" s="70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  <c r="Z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  <c r="F615" s="70"/>
      <c r="G615" s="70"/>
      <c r="H615" s="70"/>
      <c r="I615" s="70"/>
      <c r="J615" s="70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  <c r="Z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  <c r="F616" s="70"/>
      <c r="G616" s="70"/>
      <c r="H616" s="70"/>
      <c r="I616" s="70"/>
      <c r="J616" s="70"/>
      <c r="K616" s="70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  <c r="Y616" s="70"/>
      <c r="Z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  <c r="F617" s="70"/>
      <c r="G617" s="70"/>
      <c r="H617" s="70"/>
      <c r="I617" s="70"/>
      <c r="J617" s="70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  <c r="Z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  <c r="F618" s="70"/>
      <c r="G618" s="70"/>
      <c r="H618" s="70"/>
      <c r="I618" s="70"/>
      <c r="J618" s="70"/>
      <c r="K618" s="70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  <c r="Y618" s="70"/>
      <c r="Z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  <c r="F619" s="70"/>
      <c r="G619" s="70"/>
      <c r="H619" s="70"/>
      <c r="I619" s="70"/>
      <c r="J619" s="70"/>
      <c r="K619" s="70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  <c r="Y619" s="70"/>
      <c r="Z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  <c r="F620" s="70"/>
      <c r="G620" s="70"/>
      <c r="H620" s="70"/>
      <c r="I620" s="70"/>
      <c r="J620" s="70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  <c r="Y620" s="70"/>
      <c r="Z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  <c r="F621" s="70"/>
      <c r="G621" s="70"/>
      <c r="H621" s="70"/>
      <c r="I621" s="70"/>
      <c r="J621" s="70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  <c r="Z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  <c r="F622" s="70"/>
      <c r="G622" s="70"/>
      <c r="H622" s="70"/>
      <c r="I622" s="70"/>
      <c r="J622" s="70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  <c r="Z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  <c r="F623" s="70"/>
      <c r="G623" s="70"/>
      <c r="H623" s="70"/>
      <c r="I623" s="70"/>
      <c r="J623" s="70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  <c r="Z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  <c r="F624" s="70"/>
      <c r="G624" s="70"/>
      <c r="H624" s="70"/>
      <c r="I624" s="70"/>
      <c r="J624" s="70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  <c r="Z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  <c r="F625" s="70"/>
      <c r="G625" s="70"/>
      <c r="H625" s="70"/>
      <c r="I625" s="70"/>
      <c r="J625" s="70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  <c r="Z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  <c r="F626" s="70"/>
      <c r="G626" s="70"/>
      <c r="H626" s="70"/>
      <c r="I626" s="70"/>
      <c r="J626" s="70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  <c r="Z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  <c r="F627" s="70"/>
      <c r="G627" s="70"/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  <c r="Z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  <c r="F628" s="70"/>
      <c r="G628" s="70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  <c r="Z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  <c r="F629" s="70"/>
      <c r="G629" s="70"/>
      <c r="H629" s="70"/>
      <c r="I629" s="70"/>
      <c r="J629" s="70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  <c r="Z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  <c r="F630" s="70"/>
      <c r="G630" s="70"/>
      <c r="H630" s="70"/>
      <c r="I630" s="70"/>
      <c r="J630" s="70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  <c r="Z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  <c r="F631" s="70"/>
      <c r="G631" s="70"/>
      <c r="H631" s="70"/>
      <c r="I631" s="70"/>
      <c r="J631" s="70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  <c r="Z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  <c r="F632" s="70"/>
      <c r="G632" s="70"/>
      <c r="H632" s="70"/>
      <c r="I632" s="70"/>
      <c r="J632" s="70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  <c r="Z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  <c r="F633" s="70"/>
      <c r="G633" s="70"/>
      <c r="H633" s="70"/>
      <c r="I633" s="70"/>
      <c r="J633" s="70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  <c r="Z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  <c r="F634" s="70"/>
      <c r="G634" s="70"/>
      <c r="H634" s="70"/>
      <c r="I634" s="70"/>
      <c r="J634" s="70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  <c r="Z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  <c r="F635" s="70"/>
      <c r="G635" s="70"/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  <c r="Z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  <c r="F636" s="70"/>
      <c r="G636" s="70"/>
      <c r="H636" s="70"/>
      <c r="I636" s="70"/>
      <c r="J636" s="70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  <c r="Z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  <c r="F637" s="70"/>
      <c r="G637" s="70"/>
      <c r="H637" s="70"/>
      <c r="I637" s="70"/>
      <c r="J637" s="70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  <c r="Z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  <c r="F638" s="70"/>
      <c r="G638" s="70"/>
      <c r="H638" s="70"/>
      <c r="I638" s="70"/>
      <c r="J638" s="70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  <c r="Z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  <c r="F639" s="70"/>
      <c r="G639" s="70"/>
      <c r="H639" s="70"/>
      <c r="I639" s="70"/>
      <c r="J639" s="70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  <c r="Z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  <c r="F640" s="70"/>
      <c r="G640" s="70"/>
      <c r="H640" s="70"/>
      <c r="I640" s="70"/>
      <c r="J640" s="70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  <c r="Z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  <c r="F641" s="70"/>
      <c r="G641" s="70"/>
      <c r="H641" s="70"/>
      <c r="I641" s="70"/>
      <c r="J641" s="70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  <c r="Y641" s="70"/>
      <c r="Z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  <c r="F642" s="70"/>
      <c r="G642" s="70"/>
      <c r="H642" s="70"/>
      <c r="I642" s="70"/>
      <c r="J642" s="70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  <c r="Y642" s="70"/>
      <c r="Z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  <c r="F643" s="70"/>
      <c r="G643" s="70"/>
      <c r="H643" s="70"/>
      <c r="I643" s="70"/>
      <c r="J643" s="70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  <c r="Y643" s="70"/>
      <c r="Z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  <c r="F644" s="70"/>
      <c r="G644" s="70"/>
      <c r="H644" s="70"/>
      <c r="I644" s="70"/>
      <c r="J644" s="70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  <c r="Y644" s="70"/>
      <c r="Z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  <c r="F645" s="70"/>
      <c r="G645" s="70"/>
      <c r="H645" s="70"/>
      <c r="I645" s="70"/>
      <c r="J645" s="70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  <c r="Y645" s="70"/>
      <c r="Z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  <c r="F646" s="70"/>
      <c r="G646" s="70"/>
      <c r="H646" s="70"/>
      <c r="I646" s="70"/>
      <c r="J646" s="70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  <c r="Y646" s="70"/>
      <c r="Z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  <c r="F647" s="70"/>
      <c r="G647" s="70"/>
      <c r="H647" s="70"/>
      <c r="I647" s="70"/>
      <c r="J647" s="70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  <c r="Y647" s="70"/>
      <c r="Z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  <c r="F648" s="70"/>
      <c r="G648" s="70"/>
      <c r="H648" s="70"/>
      <c r="I648" s="70"/>
      <c r="J648" s="70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  <c r="Y648" s="70"/>
      <c r="Z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  <c r="F649" s="70"/>
      <c r="G649" s="70"/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  <c r="Y649" s="70"/>
      <c r="Z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  <c r="F650" s="70"/>
      <c r="G650" s="70"/>
      <c r="H650" s="70"/>
      <c r="I650" s="70"/>
      <c r="J650" s="70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  <c r="Y650" s="70"/>
      <c r="Z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  <c r="F651" s="70"/>
      <c r="G651" s="70"/>
      <c r="H651" s="70"/>
      <c r="I651" s="70"/>
      <c r="J651" s="70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  <c r="Y651" s="70"/>
      <c r="Z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  <c r="Z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  <c r="Z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  <c r="Z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  <c r="F655" s="70"/>
      <c r="G655" s="70"/>
      <c r="H655" s="70"/>
      <c r="I655" s="70"/>
      <c r="J655" s="70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  <c r="Z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  <c r="Z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  <c r="Z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  <c r="Z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  <c r="Z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  <c r="F660" s="70"/>
      <c r="G660" s="70"/>
      <c r="H660" s="70"/>
      <c r="I660" s="70"/>
      <c r="J660" s="70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  <c r="Y660" s="70"/>
      <c r="Z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  <c r="F661" s="70"/>
      <c r="G661" s="70"/>
      <c r="H661" s="70"/>
      <c r="I661" s="70"/>
      <c r="J661" s="70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  <c r="Y661" s="70"/>
      <c r="Z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  <c r="F662" s="70"/>
      <c r="G662" s="70"/>
      <c r="H662" s="70"/>
      <c r="I662" s="70"/>
      <c r="J662" s="70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  <c r="Y662" s="70"/>
      <c r="Z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  <c r="F663" s="70"/>
      <c r="G663" s="70"/>
      <c r="H663" s="70"/>
      <c r="I663" s="70"/>
      <c r="J663" s="70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  <c r="Z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  <c r="F664" s="70"/>
      <c r="G664" s="70"/>
      <c r="H664" s="70"/>
      <c r="I664" s="70"/>
      <c r="J664" s="70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  <c r="Y664" s="70"/>
      <c r="Z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  <c r="F665" s="70"/>
      <c r="G665" s="70"/>
      <c r="H665" s="70"/>
      <c r="I665" s="70"/>
      <c r="J665" s="70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  <c r="Y665" s="70"/>
      <c r="Z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  <c r="F666" s="70"/>
      <c r="G666" s="70"/>
      <c r="H666" s="70"/>
      <c r="I666" s="70"/>
      <c r="J666" s="70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  <c r="Y666" s="70"/>
      <c r="Z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  <c r="F667" s="70"/>
      <c r="G667" s="70"/>
      <c r="H667" s="70"/>
      <c r="I667" s="70"/>
      <c r="J667" s="70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  <c r="Y667" s="70"/>
      <c r="Z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  <c r="F668" s="70"/>
      <c r="G668" s="70"/>
      <c r="H668" s="70"/>
      <c r="I668" s="70"/>
      <c r="J668" s="70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  <c r="Y668" s="70"/>
      <c r="Z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  <c r="F669" s="70"/>
      <c r="G669" s="70"/>
      <c r="H669" s="70"/>
      <c r="I669" s="70"/>
      <c r="J669" s="70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  <c r="Y669" s="70"/>
      <c r="Z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  <c r="F670" s="70"/>
      <c r="G670" s="70"/>
      <c r="H670" s="70"/>
      <c r="I670" s="70"/>
      <c r="J670" s="70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  <c r="Y670" s="70"/>
      <c r="Z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  <c r="F671" s="70"/>
      <c r="G671" s="70"/>
      <c r="H671" s="70"/>
      <c r="I671" s="70"/>
      <c r="J671" s="70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  <c r="Y671" s="70"/>
      <c r="Z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  <c r="F672" s="70"/>
      <c r="G672" s="70"/>
      <c r="H672" s="70"/>
      <c r="I672" s="70"/>
      <c r="J672" s="70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  <c r="Y672" s="70"/>
      <c r="Z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  <c r="F673" s="70"/>
      <c r="G673" s="70"/>
      <c r="H673" s="70"/>
      <c r="I673" s="70"/>
      <c r="J673" s="70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  <c r="Y673" s="70"/>
      <c r="Z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  <c r="F674" s="70"/>
      <c r="G674" s="70"/>
      <c r="H674" s="70"/>
      <c r="I674" s="70"/>
      <c r="J674" s="70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  <c r="Y674" s="70"/>
      <c r="Z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  <c r="F675" s="70"/>
      <c r="G675" s="70"/>
      <c r="H675" s="70"/>
      <c r="I675" s="70"/>
      <c r="J675" s="70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  <c r="Y675" s="70"/>
      <c r="Z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  <c r="F676" s="70"/>
      <c r="G676" s="70"/>
      <c r="H676" s="70"/>
      <c r="I676" s="70"/>
      <c r="J676" s="70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  <c r="Y676" s="70"/>
      <c r="Z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  <c r="F677" s="70"/>
      <c r="G677" s="70"/>
      <c r="H677" s="70"/>
      <c r="I677" s="70"/>
      <c r="J677" s="70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  <c r="Y677" s="70"/>
      <c r="Z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  <c r="F678" s="70"/>
      <c r="G678" s="70"/>
      <c r="H678" s="70"/>
      <c r="I678" s="70"/>
      <c r="J678" s="70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  <c r="Y678" s="70"/>
      <c r="Z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  <c r="F679" s="70"/>
      <c r="G679" s="70"/>
      <c r="H679" s="70"/>
      <c r="I679" s="70"/>
      <c r="J679" s="70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  <c r="Y679" s="70"/>
      <c r="Z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  <c r="F680" s="70"/>
      <c r="G680" s="70"/>
      <c r="H680" s="70"/>
      <c r="I680" s="70"/>
      <c r="J680" s="70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  <c r="Y680" s="70"/>
      <c r="Z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  <c r="F681" s="70"/>
      <c r="G681" s="70"/>
      <c r="H681" s="70"/>
      <c r="I681" s="70"/>
      <c r="J681" s="70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  <c r="Y681" s="70"/>
      <c r="Z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  <c r="F682" s="70"/>
      <c r="G682" s="70"/>
      <c r="H682" s="70"/>
      <c r="I682" s="70"/>
      <c r="J682" s="70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  <c r="Y682" s="70"/>
      <c r="Z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  <c r="F683" s="70"/>
      <c r="G683" s="70"/>
      <c r="H683" s="70"/>
      <c r="I683" s="70"/>
      <c r="J683" s="70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  <c r="Y683" s="70"/>
      <c r="Z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  <c r="F684" s="70"/>
      <c r="G684" s="70"/>
      <c r="H684" s="70"/>
      <c r="I684" s="70"/>
      <c r="J684" s="70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  <c r="Y684" s="70"/>
      <c r="Z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  <c r="F685" s="70"/>
      <c r="G685" s="70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  <c r="Z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  <c r="F686" s="70"/>
      <c r="G686" s="70"/>
      <c r="H686" s="70"/>
      <c r="I686" s="70"/>
      <c r="J686" s="70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  <c r="Y686" s="70"/>
      <c r="Z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  <c r="F687" s="70"/>
      <c r="G687" s="70"/>
      <c r="H687" s="70"/>
      <c r="I687" s="70"/>
      <c r="J687" s="70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  <c r="Y687" s="70"/>
      <c r="Z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  <c r="F688" s="70"/>
      <c r="G688" s="70"/>
      <c r="H688" s="70"/>
      <c r="I688" s="70"/>
      <c r="J688" s="70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  <c r="Y688" s="70"/>
      <c r="Z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  <c r="F689" s="70"/>
      <c r="G689" s="70"/>
      <c r="H689" s="70"/>
      <c r="I689" s="70"/>
      <c r="J689" s="70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  <c r="Y689" s="70"/>
      <c r="Z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  <c r="F690" s="70"/>
      <c r="G690" s="70"/>
      <c r="H690" s="70"/>
      <c r="I690" s="70"/>
      <c r="J690" s="70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  <c r="Y690" s="70"/>
      <c r="Z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  <c r="F691" s="70"/>
      <c r="G691" s="70"/>
      <c r="H691" s="70"/>
      <c r="I691" s="70"/>
      <c r="J691" s="70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  <c r="Y691" s="70"/>
      <c r="Z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  <c r="F692" s="70"/>
      <c r="G692" s="70"/>
      <c r="H692" s="70"/>
      <c r="I692" s="70"/>
      <c r="J692" s="70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  <c r="Y692" s="70"/>
      <c r="Z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  <c r="F693" s="70"/>
      <c r="G693" s="70"/>
      <c r="H693" s="70"/>
      <c r="I693" s="70"/>
      <c r="J693" s="70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  <c r="Y693" s="70"/>
      <c r="Z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  <c r="F694" s="70"/>
      <c r="G694" s="70"/>
      <c r="H694" s="70"/>
      <c r="I694" s="70"/>
      <c r="J694" s="70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  <c r="Y694" s="70"/>
      <c r="Z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  <c r="F695" s="70"/>
      <c r="G695" s="70"/>
      <c r="H695" s="70"/>
      <c r="I695" s="70"/>
      <c r="J695" s="70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  <c r="Y695" s="70"/>
      <c r="Z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  <c r="F696" s="70"/>
      <c r="G696" s="70"/>
      <c r="H696" s="70"/>
      <c r="I696" s="70"/>
      <c r="J696" s="70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  <c r="Y696" s="70"/>
      <c r="Z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  <c r="F697" s="70"/>
      <c r="G697" s="70"/>
      <c r="H697" s="70"/>
      <c r="I697" s="70"/>
      <c r="J697" s="70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  <c r="Y697" s="70"/>
      <c r="Z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  <c r="F698" s="70"/>
      <c r="G698" s="70"/>
      <c r="H698" s="70"/>
      <c r="I698" s="70"/>
      <c r="J698" s="70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  <c r="Y698" s="70"/>
      <c r="Z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  <c r="F699" s="70"/>
      <c r="G699" s="70"/>
      <c r="H699" s="70"/>
      <c r="I699" s="70"/>
      <c r="J699" s="70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  <c r="Y699" s="70"/>
      <c r="Z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  <c r="F700" s="70"/>
      <c r="G700" s="70"/>
      <c r="H700" s="70"/>
      <c r="I700" s="70"/>
      <c r="J700" s="70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  <c r="Y700" s="70"/>
      <c r="Z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  <c r="F701" s="70"/>
      <c r="G701" s="70"/>
      <c r="H701" s="70"/>
      <c r="I701" s="70"/>
      <c r="J701" s="70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  <c r="Y701" s="70"/>
      <c r="Z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  <c r="F702" s="70"/>
      <c r="G702" s="70"/>
      <c r="H702" s="70"/>
      <c r="I702" s="70"/>
      <c r="J702" s="70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  <c r="Y702" s="70"/>
      <c r="Z702" s="70"/>
    </row>
    <row r="703" customFormat="false" ht="12.75" hidden="false" customHeight="false" outlineLevel="0" collapsed="false">
      <c r="A703" s="70"/>
      <c r="B703" s="70"/>
      <c r="C703" s="70"/>
      <c r="D703" s="70"/>
      <c r="E703" s="70"/>
      <c r="F703" s="70"/>
      <c r="G703" s="70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  <c r="Y703" s="70"/>
      <c r="Z703" s="70"/>
    </row>
    <row r="704" customFormat="false" ht="12.75" hidden="false" customHeight="false" outlineLevel="0" collapsed="false">
      <c r="A704" s="70"/>
      <c r="B704" s="70"/>
      <c r="C704" s="70"/>
      <c r="D704" s="70"/>
      <c r="E704" s="70"/>
      <c r="F704" s="70"/>
      <c r="G704" s="70"/>
      <c r="H704" s="70"/>
      <c r="I704" s="70"/>
      <c r="J704" s="70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  <c r="Y704" s="70"/>
      <c r="Z704" s="70"/>
    </row>
    <row r="705" customFormat="false" ht="12.75" hidden="false" customHeight="false" outlineLevel="0" collapsed="false">
      <c r="A705" s="70"/>
      <c r="B705" s="70"/>
      <c r="C705" s="70"/>
      <c r="D705" s="70"/>
      <c r="E705" s="70"/>
      <c r="F705" s="70"/>
      <c r="G705" s="70"/>
      <c r="H705" s="70"/>
      <c r="I705" s="70"/>
      <c r="J705" s="70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  <c r="Y705" s="70"/>
      <c r="Z705" s="70"/>
    </row>
    <row r="706" customFormat="false" ht="12.75" hidden="false" customHeight="false" outlineLevel="0" collapsed="false">
      <c r="A706" s="70"/>
      <c r="B706" s="70"/>
      <c r="C706" s="70"/>
      <c r="D706" s="70"/>
      <c r="E706" s="70"/>
      <c r="F706" s="70"/>
      <c r="G706" s="70"/>
      <c r="H706" s="70"/>
      <c r="I706" s="70"/>
      <c r="J706" s="70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  <c r="Y706" s="70"/>
      <c r="Z706" s="70"/>
    </row>
    <row r="707" customFormat="false" ht="12.75" hidden="false" customHeight="false" outlineLevel="0" collapsed="false">
      <c r="A707" s="70"/>
      <c r="B707" s="70"/>
      <c r="C707" s="70"/>
      <c r="D707" s="70"/>
      <c r="E707" s="70"/>
      <c r="F707" s="70"/>
      <c r="G707" s="70"/>
      <c r="H707" s="70"/>
      <c r="I707" s="70"/>
      <c r="J707" s="70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  <c r="Z707" s="70"/>
    </row>
    <row r="708" customFormat="false" ht="12.75" hidden="false" customHeight="false" outlineLevel="0" collapsed="false">
      <c r="A708" s="70"/>
      <c r="B708" s="70"/>
      <c r="C708" s="70"/>
      <c r="D708" s="70"/>
      <c r="E708" s="70"/>
      <c r="F708" s="70"/>
      <c r="G708" s="70"/>
      <c r="H708" s="70"/>
      <c r="I708" s="70"/>
      <c r="J708" s="70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  <c r="Y708" s="70"/>
      <c r="Z708" s="70"/>
    </row>
    <row r="709" customFormat="false" ht="12.75" hidden="false" customHeight="false" outlineLevel="0" collapsed="false">
      <c r="A709" s="70"/>
      <c r="B709" s="70"/>
      <c r="C709" s="70"/>
      <c r="D709" s="70"/>
      <c r="E709" s="70"/>
      <c r="F709" s="70"/>
      <c r="G709" s="70"/>
      <c r="H709" s="70"/>
      <c r="I709" s="70"/>
      <c r="J709" s="70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  <c r="Y709" s="70"/>
      <c r="Z709" s="70"/>
    </row>
    <row r="710" customFormat="false" ht="12.75" hidden="false" customHeight="false" outlineLevel="0" collapsed="false">
      <c r="A710" s="70"/>
      <c r="B710" s="70"/>
      <c r="C710" s="70"/>
      <c r="D710" s="70"/>
      <c r="E710" s="70"/>
      <c r="F710" s="70"/>
      <c r="G710" s="70"/>
      <c r="H710" s="70"/>
      <c r="I710" s="70"/>
      <c r="J710" s="70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  <c r="Y710" s="70"/>
      <c r="Z710" s="70"/>
    </row>
    <row r="711" customFormat="false" ht="12.75" hidden="false" customHeight="false" outlineLevel="0" collapsed="false">
      <c r="A711" s="70"/>
      <c r="B711" s="70"/>
      <c r="C711" s="70"/>
      <c r="D711" s="70"/>
      <c r="E711" s="70"/>
      <c r="F711" s="70"/>
      <c r="G711" s="70"/>
      <c r="H711" s="70"/>
      <c r="I711" s="70"/>
      <c r="J711" s="70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  <c r="Y711" s="70"/>
      <c r="Z711" s="70"/>
    </row>
    <row r="712" customFormat="false" ht="12.75" hidden="false" customHeight="false" outlineLevel="0" collapsed="false">
      <c r="A712" s="70"/>
      <c r="B712" s="70"/>
      <c r="C712" s="70"/>
      <c r="D712" s="70"/>
      <c r="E712" s="70"/>
      <c r="F712" s="70"/>
      <c r="G712" s="70"/>
      <c r="H712" s="70"/>
      <c r="I712" s="70"/>
      <c r="J712" s="70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  <c r="Y712" s="70"/>
      <c r="Z712" s="70"/>
    </row>
    <row r="713" customFormat="false" ht="12.75" hidden="false" customHeight="false" outlineLevel="0" collapsed="false">
      <c r="A713" s="70"/>
      <c r="B713" s="70"/>
      <c r="C713" s="70"/>
      <c r="D713" s="70"/>
      <c r="E713" s="70"/>
      <c r="F713" s="70"/>
      <c r="G713" s="70"/>
      <c r="H713" s="70"/>
      <c r="I713" s="70"/>
      <c r="J713" s="70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  <c r="Y713" s="70"/>
      <c r="Z713" s="70"/>
    </row>
    <row r="714" customFormat="false" ht="12.75" hidden="false" customHeight="false" outlineLevel="0" collapsed="false">
      <c r="A714" s="70"/>
      <c r="B714" s="70"/>
      <c r="C714" s="70"/>
      <c r="D714" s="70"/>
      <c r="E714" s="70"/>
      <c r="F714" s="70"/>
      <c r="G714" s="70"/>
      <c r="H714" s="70"/>
      <c r="I714" s="70"/>
      <c r="J714" s="70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  <c r="Y714" s="70"/>
      <c r="Z714" s="70"/>
    </row>
    <row r="715" customFormat="false" ht="12.75" hidden="false" customHeight="false" outlineLevel="0" collapsed="false">
      <c r="A715" s="70"/>
      <c r="B715" s="70"/>
      <c r="C715" s="70"/>
      <c r="D715" s="70"/>
      <c r="E715" s="70"/>
      <c r="F715" s="70"/>
      <c r="G715" s="70"/>
      <c r="H715" s="70"/>
      <c r="I715" s="70"/>
      <c r="J715" s="70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  <c r="Y715" s="70"/>
      <c r="Z715" s="70"/>
    </row>
    <row r="716" customFormat="false" ht="12.75" hidden="false" customHeight="false" outlineLevel="0" collapsed="false">
      <c r="A716" s="70"/>
      <c r="B716" s="70"/>
      <c r="C716" s="70"/>
      <c r="D716" s="70"/>
      <c r="E716" s="70"/>
      <c r="F716" s="70"/>
      <c r="G716" s="70"/>
      <c r="H716" s="70"/>
      <c r="I716" s="70"/>
      <c r="J716" s="70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  <c r="Y716" s="70"/>
      <c r="Z716" s="70"/>
    </row>
    <row r="717" customFormat="false" ht="12.75" hidden="false" customHeight="false" outlineLevel="0" collapsed="false">
      <c r="A717" s="70"/>
      <c r="B717" s="70"/>
      <c r="C717" s="70"/>
      <c r="D717" s="70"/>
      <c r="E717" s="70"/>
      <c r="F717" s="70"/>
      <c r="G717" s="70"/>
      <c r="H717" s="70"/>
      <c r="I717" s="70"/>
      <c r="J717" s="70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  <c r="Y717" s="70"/>
      <c r="Z717" s="70"/>
    </row>
    <row r="718" customFormat="false" ht="12.75" hidden="false" customHeight="false" outlineLevel="0" collapsed="false">
      <c r="A718" s="70"/>
      <c r="B718" s="70"/>
      <c r="C718" s="70"/>
      <c r="D718" s="70"/>
      <c r="E718" s="70"/>
      <c r="F718" s="70"/>
      <c r="G718" s="70"/>
      <c r="H718" s="70"/>
      <c r="I718" s="70"/>
      <c r="J718" s="70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  <c r="Y718" s="70"/>
      <c r="Z718" s="70"/>
    </row>
    <row r="719" customFormat="false" ht="12.75" hidden="false" customHeight="false" outlineLevel="0" collapsed="false">
      <c r="A719" s="70"/>
      <c r="B719" s="70"/>
      <c r="C719" s="70"/>
      <c r="D719" s="70"/>
      <c r="E719" s="70"/>
      <c r="F719" s="70"/>
      <c r="G719" s="70"/>
      <c r="H719" s="70"/>
      <c r="I719" s="70"/>
      <c r="J719" s="70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  <c r="Y719" s="70"/>
      <c r="Z719" s="70"/>
    </row>
    <row r="720" customFormat="false" ht="12.75" hidden="false" customHeight="false" outlineLevel="0" collapsed="false">
      <c r="A720" s="70"/>
      <c r="B720" s="70"/>
      <c r="C720" s="70"/>
      <c r="D720" s="70"/>
      <c r="E720" s="70"/>
      <c r="F720" s="70"/>
      <c r="G720" s="70"/>
      <c r="H720" s="70"/>
      <c r="I720" s="70"/>
      <c r="J720" s="70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  <c r="Y720" s="70"/>
      <c r="Z720" s="70"/>
    </row>
    <row r="721" customFormat="false" ht="12.75" hidden="false" customHeight="false" outlineLevel="0" collapsed="false">
      <c r="A721" s="70"/>
      <c r="B721" s="70"/>
      <c r="C721" s="70"/>
      <c r="D721" s="70"/>
      <c r="E721" s="70"/>
      <c r="F721" s="70"/>
      <c r="G721" s="70"/>
      <c r="H721" s="70"/>
      <c r="I721" s="70"/>
      <c r="J721" s="70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  <c r="Y721" s="70"/>
      <c r="Z721" s="70"/>
    </row>
    <row r="722" customFormat="false" ht="12.75" hidden="false" customHeight="false" outlineLevel="0" collapsed="false">
      <c r="A722" s="70"/>
      <c r="B722" s="70"/>
      <c r="C722" s="70"/>
      <c r="D722" s="70"/>
      <c r="E722" s="70"/>
      <c r="F722" s="70"/>
      <c r="G722" s="70"/>
      <c r="H722" s="70"/>
      <c r="I722" s="70"/>
      <c r="J722" s="70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  <c r="Y722" s="70"/>
      <c r="Z722" s="70"/>
    </row>
    <row r="723" customFormat="false" ht="12.75" hidden="false" customHeight="false" outlineLevel="0" collapsed="false">
      <c r="A723" s="70"/>
      <c r="B723" s="70"/>
      <c r="C723" s="70"/>
      <c r="D723" s="70"/>
      <c r="E723" s="70"/>
      <c r="F723" s="70"/>
      <c r="G723" s="70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  <c r="Y723" s="70"/>
      <c r="Z723" s="70"/>
    </row>
    <row r="724" customFormat="false" ht="12.75" hidden="false" customHeight="false" outlineLevel="0" collapsed="false">
      <c r="A724" s="70"/>
      <c r="B724" s="70"/>
      <c r="C724" s="70"/>
      <c r="D724" s="70"/>
      <c r="E724" s="70"/>
      <c r="F724" s="70"/>
      <c r="G724" s="70"/>
      <c r="H724" s="70"/>
      <c r="I724" s="70"/>
      <c r="J724" s="70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  <c r="Y724" s="70"/>
      <c r="Z724" s="70"/>
    </row>
    <row r="725" customFormat="false" ht="12.75" hidden="false" customHeight="false" outlineLevel="0" collapsed="false">
      <c r="A725" s="70"/>
      <c r="B725" s="70"/>
      <c r="C725" s="70"/>
      <c r="D725" s="70"/>
      <c r="E725" s="70"/>
      <c r="F725" s="70"/>
      <c r="G725" s="70"/>
      <c r="H725" s="70"/>
      <c r="I725" s="70"/>
      <c r="J725" s="70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  <c r="Y725" s="70"/>
      <c r="Z725" s="70"/>
    </row>
    <row r="726" customFormat="false" ht="12.75" hidden="false" customHeight="false" outlineLevel="0" collapsed="false">
      <c r="A726" s="70"/>
      <c r="B726" s="70"/>
      <c r="C726" s="70"/>
      <c r="D726" s="70"/>
      <c r="E726" s="70"/>
      <c r="F726" s="70"/>
      <c r="G726" s="70"/>
      <c r="H726" s="70"/>
      <c r="I726" s="70"/>
      <c r="J726" s="70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  <c r="Y726" s="70"/>
      <c r="Z726" s="70"/>
    </row>
    <row r="727" customFormat="false" ht="12.75" hidden="false" customHeight="false" outlineLevel="0" collapsed="false">
      <c r="A727" s="70"/>
      <c r="B727" s="70"/>
      <c r="C727" s="70"/>
      <c r="D727" s="70"/>
      <c r="E727" s="70"/>
      <c r="F727" s="70"/>
      <c r="G727" s="70"/>
      <c r="H727" s="70"/>
      <c r="I727" s="70"/>
      <c r="J727" s="70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  <c r="Y727" s="70"/>
      <c r="Z727" s="70"/>
    </row>
    <row r="728" customFormat="false" ht="12.75" hidden="false" customHeight="false" outlineLevel="0" collapsed="false">
      <c r="A728" s="70"/>
      <c r="B728" s="70"/>
      <c r="C728" s="70"/>
      <c r="D728" s="70"/>
      <c r="E728" s="70"/>
      <c r="F728" s="70"/>
      <c r="G728" s="70"/>
      <c r="H728" s="70"/>
      <c r="I728" s="70"/>
      <c r="J728" s="70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  <c r="Y728" s="70"/>
      <c r="Z728" s="70"/>
    </row>
    <row r="729" customFormat="false" ht="12.75" hidden="false" customHeight="false" outlineLevel="0" collapsed="false">
      <c r="A729" s="70"/>
      <c r="B729" s="70"/>
      <c r="C729" s="70"/>
      <c r="D729" s="70"/>
      <c r="E729" s="70"/>
      <c r="F729" s="70"/>
      <c r="G729" s="70"/>
      <c r="H729" s="70"/>
      <c r="I729" s="70"/>
      <c r="J729" s="70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  <c r="Z729" s="70"/>
    </row>
    <row r="730" customFormat="false" ht="12.75" hidden="false" customHeight="false" outlineLevel="0" collapsed="false">
      <c r="A730" s="70"/>
      <c r="B730" s="70"/>
      <c r="C730" s="70"/>
      <c r="D730" s="70"/>
      <c r="E730" s="70"/>
      <c r="F730" s="70"/>
      <c r="G730" s="70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  <c r="Y730" s="70"/>
      <c r="Z730" s="70"/>
    </row>
    <row r="731" customFormat="false" ht="12.75" hidden="false" customHeight="false" outlineLevel="0" collapsed="false">
      <c r="A731" s="70"/>
      <c r="B731" s="70"/>
      <c r="C731" s="70"/>
      <c r="D731" s="70"/>
      <c r="E731" s="70"/>
      <c r="F731" s="70"/>
      <c r="G731" s="70"/>
      <c r="H731" s="70"/>
      <c r="I731" s="70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  <c r="Z731" s="70"/>
    </row>
    <row r="732" customFormat="false" ht="12.75" hidden="false" customHeight="false" outlineLevel="0" collapsed="false">
      <c r="A732" s="70"/>
      <c r="B732" s="70"/>
      <c r="C732" s="70"/>
      <c r="D732" s="70"/>
      <c r="E732" s="70"/>
      <c r="F732" s="70"/>
      <c r="G732" s="70"/>
      <c r="H732" s="70"/>
      <c r="I732" s="70"/>
      <c r="J732" s="70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  <c r="Y732" s="70"/>
      <c r="Z732" s="70"/>
    </row>
    <row r="733" customFormat="false" ht="12.75" hidden="false" customHeight="false" outlineLevel="0" collapsed="false">
      <c r="A733" s="70"/>
      <c r="B733" s="70"/>
      <c r="C733" s="70"/>
      <c r="D733" s="70"/>
      <c r="E733" s="70"/>
      <c r="F733" s="70"/>
      <c r="G733" s="70"/>
      <c r="H733" s="70"/>
      <c r="I733" s="70"/>
      <c r="J733" s="70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  <c r="Y733" s="70"/>
      <c r="Z733" s="70"/>
    </row>
    <row r="734" customFormat="false" ht="12.75" hidden="false" customHeight="false" outlineLevel="0" collapsed="false">
      <c r="A734" s="70"/>
      <c r="B734" s="70"/>
      <c r="C734" s="70"/>
      <c r="D734" s="70"/>
      <c r="E734" s="70"/>
      <c r="F734" s="70"/>
      <c r="G734" s="70"/>
      <c r="H734" s="70"/>
      <c r="I734" s="70"/>
      <c r="J734" s="70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  <c r="Y734" s="70"/>
      <c r="Z734" s="70"/>
    </row>
    <row r="735" customFormat="false" ht="12.75" hidden="false" customHeight="false" outlineLevel="0" collapsed="false">
      <c r="A735" s="70"/>
      <c r="B735" s="70"/>
      <c r="C735" s="70"/>
      <c r="D735" s="70"/>
      <c r="E735" s="70"/>
      <c r="F735" s="70"/>
      <c r="G735" s="70"/>
      <c r="H735" s="70"/>
      <c r="I735" s="70"/>
      <c r="J735" s="70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  <c r="Y735" s="70"/>
      <c r="Z735" s="70"/>
    </row>
    <row r="736" customFormat="false" ht="12.75" hidden="false" customHeight="false" outlineLevel="0" collapsed="false">
      <c r="A736" s="70"/>
      <c r="B736" s="70"/>
      <c r="C736" s="70"/>
      <c r="D736" s="70"/>
      <c r="E736" s="70"/>
      <c r="F736" s="70"/>
      <c r="G736" s="70"/>
      <c r="H736" s="70"/>
      <c r="I736" s="70"/>
      <c r="J736" s="70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  <c r="Y736" s="70"/>
      <c r="Z736" s="70"/>
    </row>
    <row r="737" customFormat="false" ht="12.75" hidden="false" customHeight="false" outlineLevel="0" collapsed="false">
      <c r="A737" s="70"/>
      <c r="B737" s="70"/>
      <c r="C737" s="70"/>
      <c r="D737" s="70"/>
      <c r="E737" s="70"/>
      <c r="F737" s="70"/>
      <c r="G737" s="70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  <c r="Y737" s="70"/>
      <c r="Z737" s="70"/>
    </row>
    <row r="738" customFormat="false" ht="12.75" hidden="false" customHeight="false" outlineLevel="0" collapsed="false">
      <c r="A738" s="70"/>
      <c r="B738" s="70"/>
      <c r="C738" s="70"/>
      <c r="D738" s="70"/>
      <c r="E738" s="70"/>
      <c r="F738" s="70"/>
      <c r="G738" s="70"/>
      <c r="H738" s="70"/>
      <c r="I738" s="70"/>
      <c r="J738" s="70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  <c r="Y738" s="70"/>
      <c r="Z738" s="70"/>
    </row>
    <row r="739" customFormat="false" ht="12.75" hidden="false" customHeight="false" outlineLevel="0" collapsed="false">
      <c r="A739" s="70"/>
      <c r="B739" s="70"/>
      <c r="C739" s="70"/>
      <c r="D739" s="70"/>
      <c r="E739" s="70"/>
      <c r="F739" s="70"/>
      <c r="G739" s="70"/>
      <c r="H739" s="70"/>
      <c r="I739" s="70"/>
      <c r="J739" s="70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  <c r="Y739" s="70"/>
      <c r="Z739" s="70"/>
    </row>
    <row r="740" customFormat="false" ht="12.75" hidden="false" customHeight="false" outlineLevel="0" collapsed="false">
      <c r="A740" s="70"/>
      <c r="B740" s="70"/>
      <c r="C740" s="70"/>
      <c r="D740" s="70"/>
      <c r="E740" s="70"/>
      <c r="F740" s="70"/>
      <c r="G740" s="70"/>
      <c r="H740" s="70"/>
      <c r="I740" s="70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  <c r="Z740" s="70"/>
    </row>
    <row r="741" customFormat="false" ht="12.75" hidden="false" customHeight="false" outlineLevel="0" collapsed="false">
      <c r="A741" s="70"/>
      <c r="B741" s="70"/>
      <c r="C741" s="70"/>
      <c r="D741" s="70"/>
      <c r="E741" s="70"/>
      <c r="F741" s="70"/>
      <c r="G741" s="70"/>
      <c r="H741" s="70"/>
      <c r="I741" s="70"/>
      <c r="J741" s="70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  <c r="Y741" s="70"/>
      <c r="Z741" s="70"/>
    </row>
    <row r="742" customFormat="false" ht="12.75" hidden="false" customHeight="false" outlineLevel="0" collapsed="false">
      <c r="A742" s="70"/>
      <c r="B742" s="70"/>
      <c r="C742" s="70"/>
      <c r="D742" s="70"/>
      <c r="E742" s="70"/>
      <c r="F742" s="70"/>
      <c r="G742" s="70"/>
      <c r="H742" s="70"/>
      <c r="I742" s="70"/>
      <c r="J742" s="70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  <c r="Y742" s="70"/>
      <c r="Z742" s="70"/>
    </row>
    <row r="743" customFormat="false" ht="12.75" hidden="false" customHeight="false" outlineLevel="0" collapsed="false">
      <c r="A743" s="70"/>
      <c r="B743" s="70"/>
      <c r="C743" s="70"/>
      <c r="D743" s="70"/>
      <c r="E743" s="70"/>
      <c r="F743" s="70"/>
      <c r="G743" s="70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  <c r="Y743" s="70"/>
      <c r="Z743" s="70"/>
    </row>
    <row r="744" customFormat="false" ht="12.75" hidden="false" customHeight="false" outlineLevel="0" collapsed="false">
      <c r="A744" s="70"/>
      <c r="B744" s="70"/>
      <c r="C744" s="70"/>
      <c r="D744" s="70"/>
      <c r="E744" s="70"/>
      <c r="F744" s="70"/>
      <c r="G744" s="70"/>
      <c r="H744" s="70"/>
      <c r="I744" s="70"/>
      <c r="J744" s="70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  <c r="Y744" s="70"/>
      <c r="Z744" s="70"/>
    </row>
    <row r="745" customFormat="false" ht="12.75" hidden="false" customHeight="false" outlineLevel="0" collapsed="false">
      <c r="A745" s="70"/>
      <c r="B745" s="70"/>
      <c r="C745" s="70"/>
      <c r="D745" s="70"/>
      <c r="E745" s="70"/>
      <c r="F745" s="70"/>
      <c r="G745" s="70"/>
      <c r="H745" s="70"/>
      <c r="I745" s="70"/>
      <c r="J745" s="70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  <c r="Y745" s="70"/>
      <c r="Z745" s="70"/>
    </row>
    <row r="746" customFormat="false" ht="12.75" hidden="false" customHeight="false" outlineLevel="0" collapsed="false">
      <c r="A746" s="70"/>
      <c r="B746" s="70"/>
      <c r="C746" s="70"/>
      <c r="D746" s="70"/>
      <c r="E746" s="70"/>
      <c r="F746" s="70"/>
      <c r="G746" s="70"/>
      <c r="H746" s="70"/>
      <c r="I746" s="70"/>
      <c r="J746" s="70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  <c r="Y746" s="70"/>
      <c r="Z746" s="70"/>
    </row>
    <row r="747" customFormat="false" ht="12.75" hidden="false" customHeight="false" outlineLevel="0" collapsed="false">
      <c r="A747" s="70"/>
      <c r="B747" s="70"/>
      <c r="C747" s="70"/>
      <c r="D747" s="70"/>
      <c r="E747" s="70"/>
      <c r="F747" s="70"/>
      <c r="G747" s="70"/>
      <c r="H747" s="70"/>
      <c r="I747" s="70"/>
      <c r="J747" s="70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  <c r="Y747" s="70"/>
      <c r="Z747" s="70"/>
    </row>
    <row r="748" customFormat="false" ht="12.75" hidden="false" customHeight="false" outlineLevel="0" collapsed="false">
      <c r="A748" s="70"/>
      <c r="B748" s="70"/>
      <c r="C748" s="70"/>
      <c r="D748" s="70"/>
      <c r="E748" s="70"/>
      <c r="F748" s="70"/>
      <c r="G748" s="70"/>
      <c r="H748" s="70"/>
      <c r="I748" s="70"/>
      <c r="J748" s="70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  <c r="Y748" s="70"/>
      <c r="Z748" s="70"/>
    </row>
    <row r="749" customFormat="false" ht="12.75" hidden="false" customHeight="false" outlineLevel="0" collapsed="false">
      <c r="A749" s="70"/>
      <c r="B749" s="70"/>
      <c r="C749" s="70"/>
      <c r="D749" s="70"/>
      <c r="E749" s="70"/>
      <c r="F749" s="70"/>
      <c r="G749" s="70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  <c r="Y749" s="70"/>
      <c r="Z749" s="70"/>
    </row>
    <row r="750" customFormat="false" ht="12.75" hidden="false" customHeight="false" outlineLevel="0" collapsed="false">
      <c r="A750" s="70"/>
      <c r="B750" s="70"/>
      <c r="C750" s="70"/>
      <c r="D750" s="70"/>
      <c r="E750" s="70"/>
      <c r="F750" s="70"/>
      <c r="G750" s="70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  <c r="Y750" s="70"/>
      <c r="Z750" s="70"/>
    </row>
    <row r="751" customFormat="false" ht="12.75" hidden="false" customHeight="false" outlineLevel="0" collapsed="false">
      <c r="A751" s="70"/>
      <c r="B751" s="70"/>
      <c r="C751" s="70"/>
      <c r="D751" s="70"/>
      <c r="E751" s="70"/>
      <c r="F751" s="70"/>
      <c r="G751" s="70"/>
      <c r="H751" s="70"/>
      <c r="I751" s="70"/>
      <c r="J751" s="70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  <c r="Z751" s="70"/>
    </row>
    <row r="752" customFormat="false" ht="12.75" hidden="false" customHeight="false" outlineLevel="0" collapsed="false">
      <c r="A752" s="70"/>
      <c r="B752" s="70"/>
      <c r="C752" s="70"/>
      <c r="D752" s="70"/>
      <c r="E752" s="70"/>
      <c r="F752" s="70"/>
      <c r="G752" s="70"/>
      <c r="H752" s="70"/>
      <c r="I752" s="70"/>
      <c r="J752" s="70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  <c r="Y752" s="70"/>
      <c r="Z752" s="70"/>
    </row>
    <row r="753" customFormat="false" ht="12.75" hidden="false" customHeight="false" outlineLevel="0" collapsed="false">
      <c r="A753" s="70"/>
      <c r="B753" s="70"/>
      <c r="C753" s="70"/>
      <c r="D753" s="70"/>
      <c r="E753" s="70"/>
      <c r="F753" s="70"/>
      <c r="G753" s="70"/>
      <c r="H753" s="70"/>
      <c r="I753" s="70"/>
      <c r="J753" s="70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  <c r="Y753" s="70"/>
      <c r="Z753" s="70"/>
    </row>
    <row r="754" customFormat="false" ht="12.75" hidden="false" customHeight="false" outlineLevel="0" collapsed="false">
      <c r="A754" s="70"/>
      <c r="B754" s="70"/>
      <c r="C754" s="70"/>
      <c r="D754" s="70"/>
      <c r="E754" s="70"/>
      <c r="F754" s="70"/>
      <c r="G754" s="70"/>
      <c r="H754" s="70"/>
      <c r="I754" s="70"/>
      <c r="J754" s="70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  <c r="Y754" s="70"/>
      <c r="Z754" s="70"/>
    </row>
    <row r="755" customFormat="false" ht="12.75" hidden="false" customHeight="false" outlineLevel="0" collapsed="false">
      <c r="A755" s="70"/>
      <c r="B755" s="70"/>
      <c r="C755" s="70"/>
      <c r="D755" s="70"/>
      <c r="E755" s="70"/>
      <c r="F755" s="70"/>
      <c r="G755" s="70"/>
      <c r="H755" s="70"/>
      <c r="I755" s="70"/>
      <c r="J755" s="70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  <c r="Y755" s="70"/>
      <c r="Z755" s="70"/>
    </row>
    <row r="756" customFormat="false" ht="12.75" hidden="false" customHeight="false" outlineLevel="0" collapsed="false">
      <c r="A756" s="70"/>
      <c r="B756" s="70"/>
      <c r="C756" s="70"/>
      <c r="D756" s="70"/>
      <c r="E756" s="70"/>
      <c r="F756" s="70"/>
      <c r="G756" s="70"/>
      <c r="H756" s="70"/>
      <c r="I756" s="70"/>
      <c r="J756" s="70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  <c r="Y756" s="70"/>
      <c r="Z756" s="70"/>
    </row>
    <row r="757" customFormat="false" ht="12.75" hidden="false" customHeight="false" outlineLevel="0" collapsed="false">
      <c r="A757" s="70"/>
      <c r="B757" s="70"/>
      <c r="C757" s="70"/>
      <c r="D757" s="70"/>
      <c r="E757" s="70"/>
      <c r="F757" s="70"/>
      <c r="G757" s="70"/>
      <c r="H757" s="70"/>
      <c r="I757" s="70"/>
      <c r="J757" s="70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  <c r="Y757" s="70"/>
      <c r="Z757" s="70"/>
    </row>
    <row r="758" customFormat="false" ht="12.75" hidden="false" customHeight="false" outlineLevel="0" collapsed="false">
      <c r="A758" s="70"/>
      <c r="B758" s="70"/>
      <c r="C758" s="70"/>
      <c r="D758" s="70"/>
      <c r="E758" s="70"/>
      <c r="F758" s="70"/>
      <c r="G758" s="70"/>
      <c r="H758" s="70"/>
      <c r="I758" s="70"/>
      <c r="J758" s="70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  <c r="Y758" s="70"/>
      <c r="Z758" s="70"/>
    </row>
    <row r="759" customFormat="false" ht="12.75" hidden="false" customHeight="false" outlineLevel="0" collapsed="false">
      <c r="A759" s="70"/>
      <c r="B759" s="70"/>
      <c r="C759" s="70"/>
      <c r="D759" s="70"/>
      <c r="E759" s="70"/>
      <c r="F759" s="70"/>
      <c r="G759" s="70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  <c r="Y759" s="70"/>
      <c r="Z759" s="70"/>
    </row>
    <row r="760" customFormat="false" ht="12.75" hidden="false" customHeight="false" outlineLevel="0" collapsed="false">
      <c r="A760" s="70"/>
      <c r="B760" s="70"/>
      <c r="C760" s="70"/>
      <c r="D760" s="70"/>
      <c r="E760" s="70"/>
      <c r="F760" s="70"/>
      <c r="G760" s="70"/>
      <c r="H760" s="70"/>
      <c r="I760" s="70"/>
      <c r="J760" s="70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  <c r="Y760" s="70"/>
      <c r="Z760" s="70"/>
    </row>
    <row r="761" customFormat="false" ht="12.75" hidden="false" customHeight="false" outlineLevel="0" collapsed="false">
      <c r="A761" s="70"/>
      <c r="B761" s="70"/>
      <c r="C761" s="70"/>
      <c r="D761" s="70"/>
      <c r="E761" s="70"/>
      <c r="F761" s="70"/>
      <c r="G761" s="70"/>
      <c r="H761" s="70"/>
      <c r="I761" s="70"/>
      <c r="J761" s="70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  <c r="Y761" s="70"/>
      <c r="Z761" s="70"/>
    </row>
    <row r="762" customFormat="false" ht="12.75" hidden="false" customHeight="false" outlineLevel="0" collapsed="false">
      <c r="A762" s="70"/>
      <c r="B762" s="70"/>
      <c r="C762" s="70"/>
      <c r="D762" s="70"/>
      <c r="E762" s="70"/>
      <c r="F762" s="70"/>
      <c r="G762" s="70"/>
      <c r="H762" s="70"/>
      <c r="I762" s="70"/>
      <c r="J762" s="70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  <c r="Y762" s="70"/>
      <c r="Z762" s="70"/>
    </row>
    <row r="763" customFormat="false" ht="12.75" hidden="false" customHeight="false" outlineLevel="0" collapsed="false">
      <c r="A763" s="70"/>
      <c r="B763" s="70"/>
      <c r="C763" s="70"/>
      <c r="D763" s="70"/>
      <c r="E763" s="70"/>
      <c r="F763" s="70"/>
      <c r="G763" s="70"/>
      <c r="H763" s="70"/>
      <c r="I763" s="70"/>
      <c r="J763" s="70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  <c r="Y763" s="70"/>
      <c r="Z763" s="70"/>
    </row>
    <row r="764" customFormat="false" ht="12.75" hidden="false" customHeight="false" outlineLevel="0" collapsed="false">
      <c r="A764" s="70"/>
      <c r="B764" s="70"/>
      <c r="C764" s="70"/>
      <c r="D764" s="70"/>
      <c r="E764" s="70"/>
      <c r="F764" s="70"/>
      <c r="G764" s="70"/>
      <c r="H764" s="70"/>
      <c r="I764" s="70"/>
      <c r="J764" s="70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  <c r="Y764" s="70"/>
      <c r="Z764" s="70"/>
    </row>
    <row r="765" customFormat="false" ht="12.75" hidden="false" customHeight="false" outlineLevel="0" collapsed="false">
      <c r="A765" s="70"/>
      <c r="B765" s="70"/>
      <c r="C765" s="70"/>
      <c r="D765" s="70"/>
      <c r="E765" s="70"/>
      <c r="F765" s="70"/>
      <c r="G765" s="70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  <c r="Y765" s="70"/>
      <c r="Z765" s="70"/>
    </row>
    <row r="766" customFormat="false" ht="12.75" hidden="false" customHeight="false" outlineLevel="0" collapsed="false">
      <c r="A766" s="70"/>
      <c r="B766" s="70"/>
      <c r="C766" s="70"/>
      <c r="D766" s="70"/>
      <c r="E766" s="70"/>
      <c r="F766" s="70"/>
      <c r="G766" s="70"/>
      <c r="H766" s="70"/>
      <c r="I766" s="70"/>
      <c r="J766" s="70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  <c r="Y766" s="70"/>
      <c r="Z766" s="70"/>
    </row>
    <row r="767" customFormat="false" ht="12.75" hidden="false" customHeight="false" outlineLevel="0" collapsed="false">
      <c r="A767" s="70"/>
      <c r="B767" s="70"/>
      <c r="C767" s="70"/>
      <c r="D767" s="70"/>
      <c r="E767" s="70"/>
      <c r="F767" s="70"/>
      <c r="G767" s="70"/>
      <c r="H767" s="70"/>
      <c r="I767" s="70"/>
      <c r="J767" s="70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  <c r="Y767" s="70"/>
      <c r="Z767" s="70"/>
    </row>
    <row r="768" customFormat="false" ht="12.75" hidden="false" customHeight="false" outlineLevel="0" collapsed="false">
      <c r="A768" s="70"/>
      <c r="B768" s="70"/>
      <c r="C768" s="70"/>
      <c r="D768" s="70"/>
      <c r="E768" s="70"/>
      <c r="F768" s="70"/>
      <c r="G768" s="70"/>
      <c r="H768" s="70"/>
      <c r="I768" s="70"/>
      <c r="J768" s="70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  <c r="Y768" s="70"/>
      <c r="Z768" s="70"/>
    </row>
    <row r="769" customFormat="false" ht="12.75" hidden="false" customHeight="false" outlineLevel="0" collapsed="false">
      <c r="A769" s="70"/>
      <c r="B769" s="70"/>
      <c r="C769" s="70"/>
      <c r="D769" s="70"/>
      <c r="E769" s="70"/>
      <c r="F769" s="70"/>
      <c r="G769" s="70"/>
      <c r="H769" s="70"/>
      <c r="I769" s="70"/>
      <c r="J769" s="70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  <c r="Y769" s="70"/>
      <c r="Z769" s="70"/>
    </row>
    <row r="770" customFormat="false" ht="12.75" hidden="false" customHeight="false" outlineLevel="0" collapsed="false">
      <c r="A770" s="70"/>
      <c r="B770" s="70"/>
      <c r="C770" s="70"/>
      <c r="D770" s="70"/>
      <c r="E770" s="70"/>
      <c r="F770" s="70"/>
      <c r="G770" s="70"/>
      <c r="H770" s="70"/>
      <c r="I770" s="70"/>
      <c r="J770" s="70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  <c r="Y770" s="70"/>
      <c r="Z770" s="70"/>
    </row>
    <row r="771" customFormat="false" ht="12.75" hidden="false" customHeight="false" outlineLevel="0" collapsed="false">
      <c r="A771" s="70"/>
      <c r="B771" s="70"/>
      <c r="C771" s="70"/>
      <c r="D771" s="70"/>
      <c r="E771" s="70"/>
      <c r="F771" s="70"/>
      <c r="G771" s="70"/>
      <c r="H771" s="70"/>
      <c r="I771" s="70"/>
      <c r="J771" s="70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  <c r="Y771" s="70"/>
      <c r="Z771" s="70"/>
    </row>
    <row r="772" customFormat="false" ht="12.75" hidden="false" customHeight="false" outlineLevel="0" collapsed="false">
      <c r="A772" s="70"/>
      <c r="B772" s="70"/>
      <c r="C772" s="70"/>
      <c r="D772" s="70"/>
      <c r="E772" s="70"/>
      <c r="F772" s="70"/>
      <c r="G772" s="70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  <c r="Y772" s="70"/>
      <c r="Z772" s="70"/>
    </row>
    <row r="773" customFormat="false" ht="12.75" hidden="false" customHeight="false" outlineLevel="0" collapsed="false">
      <c r="A773" s="70"/>
      <c r="B773" s="70"/>
      <c r="C773" s="70"/>
      <c r="D773" s="70"/>
      <c r="E773" s="70"/>
      <c r="F773" s="70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  <c r="Z773" s="70"/>
    </row>
    <row r="774" customFormat="false" ht="12.75" hidden="false" customHeight="false" outlineLevel="0" collapsed="false">
      <c r="A774" s="70"/>
      <c r="B774" s="70"/>
      <c r="C774" s="70"/>
      <c r="D774" s="70"/>
      <c r="E774" s="70"/>
      <c r="F774" s="70"/>
      <c r="G774" s="70"/>
      <c r="H774" s="70"/>
      <c r="I774" s="70"/>
      <c r="J774" s="70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  <c r="Y774" s="70"/>
      <c r="Z774" s="70"/>
    </row>
    <row r="775" customFormat="false" ht="12.75" hidden="false" customHeight="false" outlineLevel="0" collapsed="false">
      <c r="A775" s="70"/>
      <c r="B775" s="70"/>
      <c r="C775" s="70"/>
      <c r="D775" s="70"/>
      <c r="E775" s="70"/>
      <c r="F775" s="70"/>
      <c r="G775" s="70"/>
      <c r="H775" s="70"/>
      <c r="I775" s="70"/>
      <c r="J775" s="70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  <c r="Y775" s="70"/>
      <c r="Z775" s="70"/>
    </row>
    <row r="776" customFormat="false" ht="12.75" hidden="false" customHeight="false" outlineLevel="0" collapsed="false">
      <c r="A776" s="70"/>
      <c r="B776" s="70"/>
      <c r="C776" s="70"/>
      <c r="D776" s="70"/>
      <c r="E776" s="70"/>
      <c r="F776" s="70"/>
      <c r="G776" s="70"/>
      <c r="H776" s="70"/>
      <c r="I776" s="70"/>
      <c r="J776" s="70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  <c r="Y776" s="70"/>
      <c r="Z776" s="70"/>
    </row>
    <row r="777" customFormat="false" ht="12.75" hidden="false" customHeight="false" outlineLevel="0" collapsed="false">
      <c r="A777" s="70"/>
      <c r="B777" s="70"/>
      <c r="C777" s="70"/>
      <c r="D777" s="70"/>
      <c r="E777" s="70"/>
      <c r="F777" s="70"/>
      <c r="G777" s="70"/>
      <c r="H777" s="70"/>
      <c r="I777" s="70"/>
      <c r="J777" s="70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  <c r="Y777" s="70"/>
      <c r="Z777" s="70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43" fitToWidth="1" fitToHeight="1" pageOrder="downThenOver" orientation="landscape" blackAndWhite="false" draft="false" cellComments="none" horizontalDpi="300" verticalDpi="300" copies="1"/>
  <headerFooter differentFirst="false" differentOddEven="false">
    <oddHeader>&amp;LEnron Generation Company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77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21" activeCellId="0" sqref="I2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78" width="53.41"/>
    <col collapsed="false" customWidth="true" hidden="false" outlineLevel="0" max="4" min="2" style="78" width="8.41"/>
    <col collapsed="false" customWidth="true" hidden="false" outlineLevel="1" max="5" min="5" style="78" width="9.28"/>
    <col collapsed="false" customWidth="true" hidden="false" outlineLevel="1" max="6" min="6" style="78" width="10.13"/>
    <col collapsed="false" customWidth="true" hidden="false" outlineLevel="1" max="8" min="7" style="78" width="10.71"/>
    <col collapsed="false" customWidth="true" hidden="false" outlineLevel="0" max="26" min="9" style="78" width="10.71"/>
    <col collapsed="false" customWidth="false" hidden="false" outlineLevel="0" max="257" min="27" style="70" width="9.14"/>
  </cols>
  <sheetData>
    <row r="2" customFormat="false" ht="18.75" hidden="false" customHeight="false" outlineLevel="0" collapsed="false">
      <c r="A2" s="317" t="s">
        <v>473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</row>
    <row r="3" customFormat="false" ht="12.75" hidden="false" customHeight="false" outlineLevel="0" collapsed="false">
      <c r="A3" s="323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</row>
    <row r="4" customFormat="false" ht="12.75" hidden="false" customHeight="false" outlineLevel="0" collapsed="false">
      <c r="A4" s="323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</row>
    <row r="5" customFormat="false" ht="13.5" hidden="false" customHeight="false" outlineLevel="0" collapsed="false">
      <c r="A5" s="319" t="s">
        <v>269</v>
      </c>
      <c r="B5" s="320"/>
      <c r="C5" s="320"/>
      <c r="D5" s="320"/>
      <c r="E5" s="320" t="n">
        <v>1999</v>
      </c>
      <c r="F5" s="320" t="n">
        <f aca="false">E5+1</f>
        <v>2000</v>
      </c>
      <c r="G5" s="320" t="n">
        <f aca="false">F5+1</f>
        <v>2001</v>
      </c>
      <c r="H5" s="320" t="n">
        <f aca="false">G5+1</f>
        <v>2002</v>
      </c>
      <c r="I5" s="320" t="n">
        <f aca="false">H5+1</f>
        <v>2003</v>
      </c>
      <c r="J5" s="320" t="n">
        <f aca="false">I5+1</f>
        <v>2004</v>
      </c>
      <c r="K5" s="320" t="n">
        <f aca="false">J5+1</f>
        <v>2005</v>
      </c>
      <c r="L5" s="320" t="n">
        <f aca="false">K5+1</f>
        <v>2006</v>
      </c>
      <c r="M5" s="320" t="n">
        <f aca="false">L5+1</f>
        <v>2007</v>
      </c>
      <c r="N5" s="320" t="n">
        <f aca="false">M5+1</f>
        <v>2008</v>
      </c>
      <c r="O5" s="320" t="n">
        <f aca="false">N5+1</f>
        <v>2009</v>
      </c>
      <c r="P5" s="320" t="n">
        <f aca="false">O5+1</f>
        <v>2010</v>
      </c>
      <c r="Q5" s="320" t="n">
        <f aca="false">P5+1</f>
        <v>2011</v>
      </c>
      <c r="R5" s="320" t="n">
        <f aca="false">Q5+1</f>
        <v>2012</v>
      </c>
      <c r="S5" s="320" t="n">
        <f aca="false">R5+1</f>
        <v>2013</v>
      </c>
      <c r="T5" s="320" t="n">
        <f aca="false">S5+1</f>
        <v>2014</v>
      </c>
      <c r="U5" s="320" t="n">
        <f aca="false">T5+1</f>
        <v>2015</v>
      </c>
      <c r="V5" s="320" t="n">
        <f aca="false">U5+1</f>
        <v>2016</v>
      </c>
      <c r="W5" s="320" t="n">
        <f aca="false">V5+1</f>
        <v>2017</v>
      </c>
      <c r="X5" s="320" t="n">
        <f aca="false">W5+1</f>
        <v>2018</v>
      </c>
      <c r="Y5" s="320" t="n">
        <f aca="false">X5+1</f>
        <v>2019</v>
      </c>
      <c r="Z5" s="320" t="n">
        <f aca="false">Y5+1</f>
        <v>2020</v>
      </c>
    </row>
    <row r="6" customFormat="false" ht="12.75" hidden="false" customHeight="false" outlineLevel="0" collapsed="false">
      <c r="A6" s="322"/>
      <c r="B6" s="318"/>
      <c r="C6" s="318"/>
      <c r="D6" s="318"/>
      <c r="E6" s="318"/>
      <c r="F6" s="318"/>
      <c r="G6" s="321"/>
      <c r="H6" s="321"/>
      <c r="I6" s="321"/>
      <c r="J6" s="474"/>
      <c r="K6" s="474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</row>
    <row r="7" customFormat="false" ht="12.75" hidden="false" customHeight="false" outlineLevel="0" collapsed="false">
      <c r="A7" s="322"/>
      <c r="B7" s="318"/>
      <c r="C7" s="318"/>
      <c r="D7" s="318"/>
      <c r="E7" s="318"/>
      <c r="J7" s="321"/>
      <c r="K7" s="321"/>
      <c r="L7" s="321"/>
      <c r="M7" s="321"/>
      <c r="N7" s="321"/>
      <c r="O7" s="321"/>
      <c r="P7" s="321"/>
      <c r="Q7" s="321"/>
      <c r="R7" s="321"/>
      <c r="S7" s="321"/>
      <c r="T7" s="321"/>
      <c r="U7" s="321"/>
      <c r="V7" s="321"/>
      <c r="W7" s="321"/>
      <c r="X7" s="321"/>
      <c r="Y7" s="321"/>
      <c r="Z7" s="321"/>
    </row>
    <row r="8" customFormat="false" ht="12.75" hidden="false" customHeight="false" outlineLevel="0" collapsed="false">
      <c r="A8" s="323" t="s">
        <v>270</v>
      </c>
      <c r="B8" s="321"/>
      <c r="C8" s="321"/>
      <c r="D8" s="321"/>
      <c r="E8" s="650"/>
      <c r="F8" s="650"/>
      <c r="G8" s="650"/>
      <c r="H8" s="650"/>
      <c r="I8" s="650"/>
      <c r="J8" s="650"/>
      <c r="K8" s="650"/>
      <c r="L8" s="650"/>
      <c r="M8" s="650"/>
      <c r="N8" s="650"/>
      <c r="O8" s="650"/>
      <c r="P8" s="650"/>
      <c r="Q8" s="650"/>
      <c r="R8" s="650"/>
      <c r="S8" s="650"/>
      <c r="T8" s="650"/>
      <c r="U8" s="650"/>
      <c r="V8" s="650"/>
      <c r="W8" s="650"/>
      <c r="X8" s="650"/>
      <c r="Y8" s="650"/>
      <c r="Z8" s="650"/>
      <c r="AA8" s="651"/>
      <c r="AB8" s="651"/>
      <c r="AC8" s="651"/>
    </row>
    <row r="9" customFormat="false" ht="12.75" hidden="false" customHeight="false" outlineLevel="0" collapsed="false">
      <c r="A9" s="326" t="s">
        <v>271</v>
      </c>
      <c r="B9" s="321"/>
      <c r="C9" s="321"/>
      <c r="D9" s="321"/>
      <c r="E9" s="321"/>
      <c r="AA9" s="651"/>
      <c r="AB9" s="651"/>
      <c r="AC9" s="651"/>
    </row>
    <row r="10" customFormat="false" ht="12.75" hidden="false" customHeight="false" outlineLevel="0" collapsed="false">
      <c r="A10" s="327" t="s">
        <v>272</v>
      </c>
      <c r="B10" s="321"/>
      <c r="C10" s="321"/>
      <c r="D10" s="321"/>
      <c r="E10" s="115" t="n">
        <f aca="false">Assumptions!$P$10*'Power Price Assumption'!E25*0</f>
        <v>0</v>
      </c>
      <c r="F10" s="115" t="n">
        <f aca="false">Assumptions!$P$30*Assumptions!$P$53*'Power Price Assumption'!F23</f>
        <v>12240</v>
      </c>
      <c r="G10" s="115" t="n">
        <f aca="false">Assumptions!$P$30*12*'Power Price Assumption'!G23</f>
        <v>24480</v>
      </c>
      <c r="H10" s="115" t="n">
        <f aca="false">Assumptions!$P$30*12*'Power Price Assumption'!H23</f>
        <v>24480</v>
      </c>
      <c r="I10" s="115" t="n">
        <v>0</v>
      </c>
      <c r="J10" s="115" t="n">
        <f aca="false">Assumptions!$P$30*12*'Power Price Assumption'!J23</f>
        <v>0</v>
      </c>
      <c r="K10" s="115" t="n">
        <f aca="false">Assumptions!$P$30*12*'Power Price Assumption'!K23</f>
        <v>0</v>
      </c>
      <c r="L10" s="115" t="n">
        <f aca="false">Assumptions!$P$30*12*'Power Price Assumption'!L23</f>
        <v>0</v>
      </c>
      <c r="M10" s="115" t="n">
        <f aca="false">Assumptions!$P$30*12*'Power Price Assumption'!M23</f>
        <v>0</v>
      </c>
      <c r="N10" s="115" t="n">
        <f aca="false">Assumptions!$P$30*12*'Power Price Assumption'!N23</f>
        <v>0</v>
      </c>
      <c r="O10" s="115" t="n">
        <f aca="false">Assumptions!$P$30*12*'Power Price Assumption'!O23</f>
        <v>0</v>
      </c>
      <c r="P10" s="115" t="n">
        <f aca="false">Assumptions!$P$30*12*'Power Price Assumption'!P23</f>
        <v>0</v>
      </c>
      <c r="Q10" s="115" t="n">
        <f aca="false">Assumptions!$P$30*12*'Power Price Assumption'!Q23</f>
        <v>0</v>
      </c>
      <c r="R10" s="115" t="n">
        <f aca="false">Assumptions!$P$30*12*'Power Price Assumption'!R23</f>
        <v>0</v>
      </c>
      <c r="S10" s="115" t="n">
        <f aca="false">Assumptions!$P$30*12*'Power Price Assumption'!S23</f>
        <v>0</v>
      </c>
      <c r="T10" s="115" t="n">
        <f aca="false">Assumptions!$P$30*12*'Power Price Assumption'!T23</f>
        <v>0</v>
      </c>
      <c r="U10" s="115" t="n">
        <f aca="false">Assumptions!$P$30*12*'Power Price Assumption'!U23</f>
        <v>0</v>
      </c>
      <c r="V10" s="115" t="n">
        <f aca="false">Assumptions!$P$30*12*'Power Price Assumption'!V23</f>
        <v>0</v>
      </c>
      <c r="W10" s="115" t="n">
        <f aca="false">Assumptions!$P$30*12*'Power Price Assumption'!W23</f>
        <v>0</v>
      </c>
      <c r="X10" s="115" t="n">
        <f aca="false">Assumptions!$P$30*12*'Power Price Assumption'!X23</f>
        <v>0</v>
      </c>
      <c r="Y10" s="115" t="n">
        <f aca="false">Assumptions!$P$30*12*'Power Price Assumption'!Y23</f>
        <v>0</v>
      </c>
      <c r="Z10" s="115" t="n">
        <f aca="false">Assumptions!$P$30*12*'Power Price Assumption'!Z23</f>
        <v>0</v>
      </c>
      <c r="AA10" s="651"/>
      <c r="AB10" s="651"/>
      <c r="AC10" s="651"/>
    </row>
    <row r="11" customFormat="false" ht="12.75" hidden="false" customHeight="false" outlineLevel="0" collapsed="false">
      <c r="A11" s="327" t="s">
        <v>273</v>
      </c>
      <c r="B11" s="321"/>
      <c r="C11" s="321"/>
      <c r="D11" s="321"/>
      <c r="E11" s="115" t="n">
        <v>0</v>
      </c>
      <c r="F11" s="115" t="n">
        <f aca="false">Assumptions!P$26*Assumptions!P$30*Assumptions!P$14/1000*(1+Assumptions!$P$39)</f>
        <v>767.01319</v>
      </c>
      <c r="G11" s="115" t="n">
        <f aca="false">F11*(1+Assumptions!$P$39)</f>
        <v>790.0235857</v>
      </c>
      <c r="H11" s="115" t="n">
        <f aca="false">G11*(1+Assumptions!$P$39)</f>
        <v>813.724293271</v>
      </c>
      <c r="I11" s="115" t="n">
        <v>0</v>
      </c>
      <c r="J11" s="115" t="n">
        <f aca="false">Assumptions!$P$30*12*'Power Price Assumption'!J24</f>
        <v>0</v>
      </c>
      <c r="K11" s="115" t="n">
        <f aca="false">Assumptions!$P$30*12*'Power Price Assumption'!K24</f>
        <v>0</v>
      </c>
      <c r="L11" s="115" t="n">
        <f aca="false">Assumptions!$P$30*12*'Power Price Assumption'!L24</f>
        <v>0</v>
      </c>
      <c r="M11" s="115" t="n">
        <f aca="false">Assumptions!$P$30*12*'Power Price Assumption'!M24</f>
        <v>0</v>
      </c>
      <c r="N11" s="115" t="n">
        <f aca="false">Assumptions!$P$30*12*'Power Price Assumption'!N24</f>
        <v>0</v>
      </c>
      <c r="O11" s="115" t="n">
        <f aca="false">Assumptions!$P$30*12*'Power Price Assumption'!O24</f>
        <v>0</v>
      </c>
      <c r="P11" s="115" t="n">
        <f aca="false">Assumptions!$P$30*12*'Power Price Assumption'!P24</f>
        <v>0</v>
      </c>
      <c r="Q11" s="115" t="n">
        <f aca="false">Assumptions!$P$30*12*'Power Price Assumption'!Q24</f>
        <v>0</v>
      </c>
      <c r="R11" s="115" t="n">
        <f aca="false">Assumptions!$P$30*12*'Power Price Assumption'!R24</f>
        <v>0</v>
      </c>
      <c r="S11" s="115" t="n">
        <f aca="false">Assumptions!$P$30*12*'Power Price Assumption'!S24</f>
        <v>0</v>
      </c>
      <c r="T11" s="115" t="n">
        <f aca="false">Assumptions!$P$30*12*'Power Price Assumption'!T24</f>
        <v>0</v>
      </c>
      <c r="U11" s="115" t="n">
        <f aca="false">Assumptions!$P$30*12*'Power Price Assumption'!U24</f>
        <v>0</v>
      </c>
      <c r="V11" s="115" t="n">
        <f aca="false">Assumptions!$P$30*12*'Power Price Assumption'!V24</f>
        <v>0</v>
      </c>
      <c r="W11" s="115" t="n">
        <f aca="false">Assumptions!$P$30*12*'Power Price Assumption'!W24</f>
        <v>0</v>
      </c>
      <c r="X11" s="115" t="n">
        <f aca="false">Assumptions!$P$30*12*'Power Price Assumption'!X24</f>
        <v>0</v>
      </c>
      <c r="Y11" s="115" t="n">
        <f aca="false">Assumptions!$P$30*12*'Power Price Assumption'!Y24</f>
        <v>0</v>
      </c>
      <c r="Z11" s="115" t="n">
        <f aca="false">Assumptions!$P$30*12*'Power Price Assumption'!Z24</f>
        <v>0</v>
      </c>
      <c r="AA11" s="651"/>
      <c r="AB11" s="651"/>
      <c r="AC11" s="651"/>
    </row>
    <row r="12" customFormat="false" ht="12.75" hidden="false" customHeight="false" outlineLevel="0" collapsed="false">
      <c r="A12" s="327" t="s">
        <v>274</v>
      </c>
      <c r="B12" s="321"/>
      <c r="C12" s="321"/>
      <c r="D12" s="321"/>
      <c r="E12" s="115" t="n">
        <v>0</v>
      </c>
      <c r="F12" s="115" t="n">
        <f aca="false">VLOOKUP(Assumptions!$P$19,'EGC Start Charge Matrix'!$A$10:$S$35,17)*(1+Assumptions!$P$39)</f>
        <v>2365.3332</v>
      </c>
      <c r="G12" s="115" t="n">
        <f aca="false">F12*(1+Assumptions!$P$39)</f>
        <v>2436.293196</v>
      </c>
      <c r="H12" s="115" t="n">
        <f aca="false">G12*(1+Assumptions!$P$39)</f>
        <v>2509.38199188</v>
      </c>
      <c r="I12" s="115" t="n">
        <v>0</v>
      </c>
      <c r="J12" s="115" t="n">
        <v>0</v>
      </c>
      <c r="K12" s="115" t="n">
        <v>0</v>
      </c>
      <c r="L12" s="115" t="n">
        <v>0</v>
      </c>
      <c r="M12" s="115" t="n">
        <v>0</v>
      </c>
      <c r="N12" s="115" t="n">
        <v>0</v>
      </c>
      <c r="O12" s="115" t="n">
        <v>0</v>
      </c>
      <c r="P12" s="115" t="n">
        <v>0</v>
      </c>
      <c r="Q12" s="115" t="n">
        <v>0</v>
      </c>
      <c r="R12" s="115" t="n">
        <v>0</v>
      </c>
      <c r="S12" s="115" t="n">
        <v>0</v>
      </c>
      <c r="T12" s="115" t="n">
        <v>0</v>
      </c>
      <c r="U12" s="115" t="n">
        <v>0</v>
      </c>
      <c r="V12" s="115" t="n">
        <v>0</v>
      </c>
      <c r="W12" s="115" t="n">
        <v>0</v>
      </c>
      <c r="X12" s="115" t="n">
        <v>0</v>
      </c>
      <c r="Y12" s="115" t="n">
        <v>0</v>
      </c>
      <c r="Z12" s="115" t="n">
        <v>0</v>
      </c>
      <c r="AA12" s="651"/>
      <c r="AB12" s="651"/>
      <c r="AC12" s="651"/>
    </row>
    <row r="13" customFormat="false" ht="12.75" hidden="false" customHeight="false" outlineLevel="0" collapsed="false">
      <c r="A13" s="70"/>
      <c r="B13" s="321"/>
      <c r="C13" s="321"/>
      <c r="D13" s="321"/>
      <c r="E13" s="321"/>
      <c r="AA13" s="651"/>
      <c r="AB13" s="651"/>
      <c r="AC13" s="651"/>
    </row>
    <row r="14" customFormat="false" ht="12.75" hidden="false" customHeight="false" outlineLevel="0" collapsed="false">
      <c r="A14" s="326" t="s">
        <v>275</v>
      </c>
      <c r="B14" s="321"/>
      <c r="C14" s="321"/>
      <c r="D14" s="321"/>
      <c r="E14" s="321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651"/>
      <c r="AB14" s="651"/>
      <c r="AC14" s="651"/>
    </row>
    <row r="15" customFormat="false" ht="12.75" hidden="false" customHeight="false" outlineLevel="0" collapsed="false">
      <c r="A15" s="327" t="s">
        <v>272</v>
      </c>
      <c r="B15" s="321"/>
      <c r="C15" s="321"/>
      <c r="D15" s="321"/>
      <c r="E15" s="115" t="n">
        <v>0</v>
      </c>
      <c r="F15" s="115" t="n">
        <v>0</v>
      </c>
      <c r="G15" s="115" t="n">
        <v>0</v>
      </c>
      <c r="H15" s="115" t="n">
        <v>0</v>
      </c>
      <c r="I15" s="115" t="n">
        <f aca="false">IF(Assumptions!$P$19=120,Assumptions!$P$33*(1-Assumptions!$P$35)*'Power Price Assumption'!I25*(12),Assumptions!$P$33*(1-Assumptions!$P$35)*'Power Price Assumption'!I25*(12)-2/3*VLOOKUP(120,'EGC Start Charge Matrix'!$U$10:$AM$35,17)*(1+Assumptions!$P$52)^(I5-Brownsville!$E$5))</f>
        <v>35163.1302962614</v>
      </c>
      <c r="J15" s="115" t="n">
        <f aca="false">IF(Assumptions!$P$19=120,Assumptions!$P$33*(1-Assumptions!$P$35)*'Power Price Assumption'!J25*(12),Assumptions!$P$33*(1-Assumptions!$P$35)*'Power Price Assumption'!J25*(12)-2/3*VLOOKUP(120,'EGC Start Charge Matrix'!$U$10:$AM$35,17)*(1+Assumptions!$P$52)^(J5-Brownsville!$E$5))</f>
        <v>35604.1593881128</v>
      </c>
      <c r="K15" s="115" t="n">
        <f aca="false">IF(Assumptions!$P$19=120,Assumptions!$P$33*(1-Assumptions!$P$35)*'Power Price Assumption'!K25*(12),Assumptions!$P$33*(1-Assumptions!$P$35)*'Power Price Assumption'!K25*(12)-2/3*VLOOKUP(120,'EGC Start Charge Matrix'!$U$10:$AM$35,17)*(1+Assumptions!$P$52)^(K5-Brownsville!$E$5))</f>
        <v>36040.0034082087</v>
      </c>
      <c r="L15" s="115" t="n">
        <f aca="false">IF(Assumptions!$P$19=120,Assumptions!$P$33*(1-Assumptions!$P$35)*'Power Price Assumption'!L25*(12),Assumptions!$P$33*(1-Assumptions!$P$35)*'Power Price Assumption'!L25*(12)-2/3*VLOOKUP(120,'EGC Start Charge Matrix'!$U$10:$AM$35,17)*(1+Assumptions!$P$52)^(L5-Brownsville!$E$5))</f>
        <v>36469.954326061</v>
      </c>
      <c r="M15" s="115" t="n">
        <f aca="false">IF(Assumptions!$P$19=120,Assumptions!$P$33*(1-Assumptions!$P$35)*'Power Price Assumption'!M25*(12),Assumptions!$P$33*(1-Assumptions!$P$35)*'Power Price Assumption'!M25*(12)-2/3*VLOOKUP(120,'EGC Start Charge Matrix'!$U$10:$AM$35,17)*(1+Assumptions!$P$52)^(M5-Brownsville!$E$5))</f>
        <v>37564.0529558428</v>
      </c>
      <c r="N15" s="115" t="n">
        <f aca="false">IF(Assumptions!$P$19=120,Assumptions!$P$33*(1-Assumptions!$P$35)*'Power Price Assumption'!N25*(12),Assumptions!$P$33*(1-Assumptions!$P$35)*'Power Price Assumption'!N25*(12)-2/3*VLOOKUP(120,'EGC Start Charge Matrix'!$U$10:$AM$35,17)*(1+Assumptions!$P$52)^(N5-Brownsville!$E$5))</f>
        <v>38000.0642847946</v>
      </c>
      <c r="O15" s="115" t="n">
        <f aca="false">IF(Assumptions!$P$19=120,Assumptions!$P$33*(1-Assumptions!$P$35)*'Power Price Assumption'!O25*(12),Assumptions!$P$33*(1-Assumptions!$P$35)*'Power Price Assumption'!O25*(12)-2/3*VLOOKUP(120,'EGC Start Charge Matrix'!$U$10:$AM$35,17)*(1+Assumptions!$P$52)^(O5-Brownsville!$E$5))</f>
        <v>39140.0662133384</v>
      </c>
      <c r="P15" s="115" t="n">
        <f aca="false">IF(Assumptions!$P$19=120,Assumptions!$P$33*(1-Assumptions!$P$35)*'Power Price Assumption'!P25*(12),Assumptions!$P$33*(1-Assumptions!$P$35)*'Power Price Assumption'!P25*(12)-2/3*VLOOKUP(120,'EGC Start Charge Matrix'!$U$10:$AM$35,17)*(1+Assumptions!$P$52)^(P5-Brownsville!$E$5))</f>
        <v>39581.2815051979</v>
      </c>
      <c r="Q15" s="115" t="n">
        <f aca="false">IF(Assumptions!$P$19=120,Assumptions!$P$33*(1-Assumptions!$P$35)*'Power Price Assumption'!Q25*(12),Assumptions!$P$33*(1-Assumptions!$P$35)*'Power Price Assumption'!Q25*(12)-2/3*VLOOKUP(120,'EGC Start Charge Matrix'!$U$10:$AM$35,17)*(1+Assumptions!$P$52)^(Q5-Brownsville!$E$5))</f>
        <v>40768.7199503538</v>
      </c>
      <c r="R15" s="115" t="n">
        <f aca="false">IF(Assumptions!$P$19=120,Assumptions!$P$33*(1-Assumptions!$P$35)*'Power Price Assumption'!R25*(12),Assumptions!$P$33*(1-Assumptions!$P$35)*'Power Price Assumption'!R25*(12)-2/3*VLOOKUP(120,'EGC Start Charge Matrix'!$U$10:$AM$35,17)*(1+Assumptions!$P$52)^(R5-Brownsville!$E$5))</f>
        <v>41214.1559646262</v>
      </c>
      <c r="S15" s="115" t="n">
        <f aca="false">IF(Assumptions!$P$19=120,Assumptions!$P$33*(1-Assumptions!$P$35)*'Power Price Assumption'!S25*(12),Assumptions!$P$33*(1-Assumptions!$P$35)*'Power Price Assumption'!S25*(12)-2/3*VLOOKUP(120,'EGC Start Charge Matrix'!$U$10:$AM$35,17)*(1+Assumptions!$P$52)^(S5-Brownsville!$E$5))</f>
        <v>41649.6262917996</v>
      </c>
      <c r="T15" s="115" t="n">
        <f aca="false">IF(Assumptions!$P$19=120,Assumptions!$P$33*(1-Assumptions!$P$35)*'Power Price Assumption'!T25*(12),Assumptions!$P$33*(1-Assumptions!$P$35)*'Power Price Assumption'!T25*(12)-2/3*VLOOKUP(120,'EGC Start Charge Matrix'!$U$10:$AM$35,17)*(1+Assumptions!$P$52)^(T5-Brownsville!$E$5))</f>
        <v>42074.1320982352</v>
      </c>
      <c r="U15" s="115" t="n">
        <f aca="false">IF(Assumptions!$P$19=120,Assumptions!$P$33*(1-Assumptions!$P$35)*'Power Price Assumption'!U25*(12),Assumptions!$P$33*(1-Assumptions!$P$35)*'Power Price Assumption'!U25*(12)-2/3*VLOOKUP(120,'EGC Start Charge Matrix'!$U$10:$AM$35,17)*(1+Assumptions!$P$52)^(U5-Brownsville!$E$5))</f>
        <v>42486.6235893944</v>
      </c>
      <c r="V15" s="115" t="n">
        <f aca="false">IF(Assumptions!$P$19=120,Assumptions!$P$33*(1-Assumptions!$P$35)*'Power Price Assumption'!V25*(12),Assumptions!$P$33*(1-Assumptions!$P$35)*'Power Price Assumption'!V25*(12)-2/3*VLOOKUP(120,'EGC Start Charge Matrix'!$U$10:$AM$35,17)*(1+Assumptions!$P$52)^(V5-Brownsville!$E$5))</f>
        <v>42885.9978511347</v>
      </c>
      <c r="W15" s="115" t="n">
        <f aca="false">IF(Assumptions!$P$19=120,Assumptions!$P$33*(1-Assumptions!$P$35)*'Power Price Assumption'!W25*(12),Assumptions!$P$33*(1-Assumptions!$P$35)*'Power Price Assumption'!W25*(12)-2/3*VLOOKUP(120,'EGC Start Charge Matrix'!$U$10:$AM$35,17)*(1+Assumptions!$P$52)^(W5-Brownsville!$E$5))</f>
        <v>43271.096607349</v>
      </c>
      <c r="X15" s="115" t="n">
        <f aca="false">IF(Assumptions!$P$19=120,Assumptions!$P$33*(1-Assumptions!$P$35)*'Power Price Assumption'!X25*(12),Assumptions!$P$33*(1-Assumptions!$P$35)*'Power Price Assumption'!X25*(12)-2/3*VLOOKUP(120,'EGC Start Charge Matrix'!$U$10:$AM$35,17)*(1+Assumptions!$P$52)^(X5-Brownsville!$E$5))</f>
        <v>43640.7038908701</v>
      </c>
      <c r="Y15" s="115" t="n">
        <f aca="false">IF(Assumptions!$P$19=120,Assumptions!$P$33*(1-Assumptions!$P$35)*'Power Price Assumption'!Y25*(12),Assumptions!$P$33*(1-Assumptions!$P$35)*'Power Price Assumption'!Y25*(12)-2/3*VLOOKUP(120,'EGC Start Charge Matrix'!$U$10:$AM$35,17)*(1+Assumptions!$P$52)^(Y5-Brownsville!$E$5))</f>
        <v>43993.5436244558</v>
      </c>
      <c r="Z15" s="115" t="n">
        <f aca="false">IF(Assumptions!$P$19=120,Assumptions!$P$33*(1-Assumptions!$P$35)*'Power Price Assumption'!Z25*(12),Assumptions!$P$33*(1-Assumptions!$P$35)*'Power Price Assumption'!Z25*(12)-2/3*VLOOKUP(120,'EGC Start Charge Matrix'!$U$10:$AM$35,17)*(1+Assumptions!$P$52)^(Z5-Brownsville!$E$5))</f>
        <v>44328.277108555</v>
      </c>
      <c r="AA15" s="651"/>
      <c r="AB15" s="651"/>
      <c r="AC15" s="651"/>
    </row>
    <row r="16" customFormat="false" ht="12.75" hidden="false" customHeight="false" outlineLevel="0" collapsed="false">
      <c r="A16" s="327" t="s">
        <v>276</v>
      </c>
      <c r="B16" s="321"/>
      <c r="C16" s="321"/>
      <c r="D16" s="321"/>
      <c r="E16" s="115" t="n">
        <v>0</v>
      </c>
      <c r="F16" s="115" t="n">
        <v>0</v>
      </c>
      <c r="G16" s="115" t="n">
        <v>0</v>
      </c>
      <c r="H16" s="115" t="n">
        <v>0</v>
      </c>
      <c r="I16" s="115" t="n">
        <f aca="false">(Assumptions!$P$26*Assumptions!$P$34/1000)*(1+Assumptions!$P$39)^(I5-$E$5)+$F$12*(1+Assumptions!$P$39)^(I5-$F$5)*1/3</f>
        <v>1723.67434341083</v>
      </c>
      <c r="J16" s="115" t="n">
        <f aca="false">(Assumptions!$P$26*Assumptions!$P$34/1000)*(1+Assumptions!$P$39)^(J5-$E$5)+$F$12*(1+Assumptions!$P$39)^(J5-$F$5)*1/3</f>
        <v>1775.38457371315</v>
      </c>
      <c r="K16" s="115" t="n">
        <f aca="false">J16*(1+Assumptions!$P$39)</f>
        <v>1828.64611092455</v>
      </c>
      <c r="L16" s="115" t="n">
        <f aca="false">K16*(1+Assumptions!$P$39)</f>
        <v>1883.50549425228</v>
      </c>
      <c r="M16" s="115" t="n">
        <f aca="false">L16*(1+Assumptions!$P$39)</f>
        <v>1940.01065907985</v>
      </c>
      <c r="N16" s="115" t="n">
        <f aca="false">M16*(1+Assumptions!$P$39)</f>
        <v>1998.21097885225</v>
      </c>
      <c r="O16" s="115" t="n">
        <f aca="false">N16*(1+Assumptions!$P$39)</f>
        <v>2058.15730821781</v>
      </c>
      <c r="P16" s="115" t="n">
        <f aca="false">O16*(1+Assumptions!$P$39)</f>
        <v>2119.90202746435</v>
      </c>
      <c r="Q16" s="115" t="n">
        <f aca="false">P16*(1+Assumptions!$P$39)</f>
        <v>2183.49908828828</v>
      </c>
      <c r="R16" s="115" t="n">
        <f aca="false">Q16*(1+Assumptions!$P$39)</f>
        <v>2249.00406093693</v>
      </c>
      <c r="S16" s="115" t="n">
        <f aca="false">R16*(1+Assumptions!$P$39)</f>
        <v>2316.47418276503</v>
      </c>
      <c r="T16" s="115" t="n">
        <f aca="false">S16*(1+Assumptions!$P$39)</f>
        <v>2385.96840824799</v>
      </c>
      <c r="U16" s="115" t="n">
        <f aca="false">T16*(1+Assumptions!$P$39)</f>
        <v>2457.54746049543</v>
      </c>
      <c r="V16" s="115" t="n">
        <f aca="false">U16*(1+Assumptions!$P$39)</f>
        <v>2531.27388431029</v>
      </c>
      <c r="W16" s="115" t="n">
        <f aca="false">V16*(1+Assumptions!$P$39)</f>
        <v>2607.2121008396</v>
      </c>
      <c r="X16" s="115" t="n">
        <f aca="false">W16*(1+Assumptions!$P$39)</f>
        <v>2685.42846386478</v>
      </c>
      <c r="Y16" s="115" t="n">
        <f aca="false">X16*(1+Assumptions!$P$39)</f>
        <v>2765.99131778073</v>
      </c>
      <c r="Z16" s="115" t="n">
        <f aca="false">Y16*(1+Assumptions!$P$39)</f>
        <v>2848.97105731415</v>
      </c>
      <c r="AA16" s="651"/>
      <c r="AB16" s="651"/>
      <c r="AC16" s="651"/>
    </row>
    <row r="17" customFormat="false" ht="12.75" hidden="false" customHeight="false" outlineLevel="0" collapsed="false">
      <c r="A17" s="327" t="s">
        <v>277</v>
      </c>
      <c r="B17" s="321"/>
      <c r="C17" s="321"/>
      <c r="D17" s="321"/>
      <c r="E17" s="115" t="n">
        <v>0</v>
      </c>
      <c r="F17" s="115" t="n">
        <v>0</v>
      </c>
      <c r="G17" s="115" t="n">
        <v>0</v>
      </c>
      <c r="H17" s="115" t="n">
        <v>0</v>
      </c>
      <c r="I17" s="115" t="n">
        <f aca="false">Assumptions!$P$33*Assumptions!$P$35*Assumptions!$P$36*Assumptions!$P$14/1000</f>
        <v>12.590256</v>
      </c>
      <c r="J17" s="115" t="n">
        <f aca="false">Assumptions!$P$33*Assumptions!$P$35*Assumptions!$P$36*Assumptions!$P$14/1000</f>
        <v>12.590256</v>
      </c>
      <c r="K17" s="115" t="n">
        <f aca="false">Assumptions!$P$33*Assumptions!$P$35*Assumptions!$P$36*Assumptions!$P$14/1000</f>
        <v>12.590256</v>
      </c>
      <c r="L17" s="115" t="n">
        <f aca="false">Assumptions!$P$33*Assumptions!$P$35*Assumptions!$P$36*Assumptions!$P$14/1000</f>
        <v>12.590256</v>
      </c>
      <c r="M17" s="115" t="n">
        <f aca="false">Assumptions!$P$33*Assumptions!$P$35*Assumptions!$P$36*Assumptions!$P$14/1000</f>
        <v>12.590256</v>
      </c>
      <c r="N17" s="115" t="n">
        <f aca="false">Assumptions!$P$33*Assumptions!$P$35*Assumptions!$P$36*Assumptions!$P$14/1000</f>
        <v>12.590256</v>
      </c>
      <c r="O17" s="115" t="n">
        <f aca="false">Assumptions!$P$33*Assumptions!$P$35*Assumptions!$P$36*Assumptions!$P$14/1000</f>
        <v>12.590256</v>
      </c>
      <c r="P17" s="115" t="n">
        <f aca="false">Assumptions!$P$33*Assumptions!$P$35*Assumptions!$P$36*Assumptions!$P$14/1000</f>
        <v>12.590256</v>
      </c>
      <c r="Q17" s="115" t="n">
        <f aca="false">Assumptions!$P$33*Assumptions!$P$35*Assumptions!$P$36*Assumptions!$P$14/1000</f>
        <v>12.590256</v>
      </c>
      <c r="R17" s="115" t="n">
        <f aca="false">Assumptions!$P$33*Assumptions!$P$35*Assumptions!$P$36*Assumptions!$P$14/1000</f>
        <v>12.590256</v>
      </c>
      <c r="S17" s="115" t="n">
        <f aca="false">Assumptions!$P$33*Assumptions!$P$35*Assumptions!$P$36*Assumptions!$P$14/1000</f>
        <v>12.590256</v>
      </c>
      <c r="T17" s="115" t="n">
        <f aca="false">Assumptions!$P$33*Assumptions!$P$35*Assumptions!$P$36*Assumptions!$P$14/1000</f>
        <v>12.590256</v>
      </c>
      <c r="U17" s="115" t="n">
        <f aca="false">Assumptions!$P$33*Assumptions!$P$35*Assumptions!$P$36*Assumptions!$P$14/1000</f>
        <v>12.590256</v>
      </c>
      <c r="V17" s="115" t="n">
        <f aca="false">Assumptions!$P$33*Assumptions!$P$35*Assumptions!$P$36*Assumptions!$P$14/1000</f>
        <v>12.590256</v>
      </c>
      <c r="W17" s="115" t="n">
        <f aca="false">Assumptions!$P$33*Assumptions!$P$35*Assumptions!$P$36*Assumptions!$P$14/1000</f>
        <v>12.590256</v>
      </c>
      <c r="X17" s="115" t="n">
        <f aca="false">Assumptions!$P$33*Assumptions!$P$35*Assumptions!$P$36*Assumptions!$P$14/1000</f>
        <v>12.590256</v>
      </c>
      <c r="Y17" s="115" t="n">
        <f aca="false">Assumptions!$P$33*Assumptions!$P$35*Assumptions!$P$36*Assumptions!$P$14/1000</f>
        <v>12.590256</v>
      </c>
      <c r="Z17" s="115" t="n">
        <f aca="false">Assumptions!$P$33*Assumptions!$P$35*Assumptions!$P$36*Assumptions!$P$14/1000</f>
        <v>12.590256</v>
      </c>
      <c r="AA17" s="651"/>
      <c r="AB17" s="651"/>
      <c r="AC17" s="651"/>
    </row>
    <row r="18" customFormat="false" ht="12.75" hidden="false" customHeight="false" outlineLevel="0" collapsed="false">
      <c r="A18" s="70"/>
      <c r="B18" s="321"/>
      <c r="C18" s="321"/>
      <c r="D18" s="321"/>
      <c r="E18" s="321"/>
      <c r="AA18" s="651"/>
      <c r="AB18" s="651"/>
      <c r="AC18" s="651"/>
    </row>
    <row r="19" customFormat="false" ht="12.75" hidden="false" customHeight="false" outlineLevel="0" collapsed="false">
      <c r="A19" s="327" t="s">
        <v>453</v>
      </c>
      <c r="B19" s="321"/>
      <c r="C19" s="321"/>
      <c r="D19" s="321"/>
      <c r="E19" s="375" t="n">
        <f aca="false">(SUM(E10:E17)-SUM(E25:E35))*Assumptions!$B$34/4</f>
        <v>0</v>
      </c>
      <c r="F19" s="375" t="n">
        <f aca="false">(SUM(F10:F17)-SUM(F25:F35))*Assumptions!$B$34/4</f>
        <v>133.87441302045</v>
      </c>
      <c r="G19" s="375" t="n">
        <f aca="false">(SUM(G10:G17)-SUM(G25:G35))*Assumptions!$B$34/4</f>
        <v>271.448750965204</v>
      </c>
      <c r="H19" s="375" t="n">
        <f aca="false">(SUM(H10:H17)-SUM(H25:H35))*Assumptions!$B$34/4</f>
        <v>270.642516485707</v>
      </c>
      <c r="I19" s="375" t="n">
        <f aca="false">(SUM(I10:I17)-SUM(I25:I35))*Assumptions!$B$34/4</f>
        <v>376.539057891785</v>
      </c>
      <c r="J19" s="375" t="n">
        <f aca="false">(SUM(J10:J17)-SUM(J25:J35))*Assumptions!$B$34/4</f>
        <v>380.360302746998</v>
      </c>
      <c r="K19" s="375" t="n">
        <f aca="false">(SUM(K10:K17)-SUM(K25:K35))*Assumptions!$B$34/4</f>
        <v>384.065985641479</v>
      </c>
      <c r="L19" s="375" t="n">
        <f aca="false">(SUM(L10:L17)-SUM(L25:L35))*Assumptions!$B$34/4</f>
        <v>387.645733737214</v>
      </c>
      <c r="M19" s="375" t="n">
        <f aca="false">(SUM(M10:M17)-SUM(M25:M35))*Assumptions!$B$34/4</f>
        <v>399.473489080745</v>
      </c>
      <c r="N19" s="375" t="n">
        <f aca="false">(SUM(N10:N17)-SUM(N25:N35))*Assumptions!$B$34/4</f>
        <v>403.019698838038</v>
      </c>
      <c r="O19" s="375" t="n">
        <f aca="false">(SUM(O10:O17)-SUM(O25:O35))*Assumptions!$B$34/4</f>
        <v>415.308673134594</v>
      </c>
      <c r="P19" s="375" t="n">
        <f aca="false">(SUM(P10:P17)-SUM(P25:P35))*Assumptions!$B$34/4</f>
        <v>419.294152377482</v>
      </c>
      <c r="Q19" s="375" t="n">
        <f aca="false">(SUM(Q10:Q17)-SUM(Q25:Q35))*Assumptions!$B$34/4</f>
        <v>432.205451630555</v>
      </c>
      <c r="R19" s="375" t="n">
        <f aca="false">(SUM(R10:R17)-SUM(R25:R35))*Assumptions!$B$34/4</f>
        <v>435.638604192145</v>
      </c>
      <c r="S19" s="375" t="n">
        <f aca="false">(SUM(S10:S17)-SUM(S25:S35))*Assumptions!$B$34/4</f>
        <v>438.940799235376</v>
      </c>
      <c r="T19" s="375" t="n">
        <f aca="false">(SUM(T10:T17)-SUM(T25:T35))*Assumptions!$B$34/4</f>
        <v>442.040224105642</v>
      </c>
      <c r="U19" s="375" t="n">
        <f aca="false">(SUM(U10:U17)-SUM(U25:U35))*Assumptions!$B$34/4</f>
        <v>444.886738469367</v>
      </c>
      <c r="V19" s="375" t="n">
        <f aca="false">(SUM(V10:V17)-SUM(V25:V35))*Assumptions!$B$34/4</f>
        <v>447.643313471183</v>
      </c>
      <c r="W19" s="375" t="n">
        <f aca="false">(SUM(W10:W17)-SUM(W25:W35))*Assumptions!$B$34/4</f>
        <v>450.240150635489</v>
      </c>
      <c r="X19" s="375" t="n">
        <f aca="false">(SUM(X10:X17)-SUM(X25:X35))*Assumptions!$B$34/4</f>
        <v>452.753200417803</v>
      </c>
      <c r="Y19" s="375" t="n">
        <f aca="false">(SUM(Y10:Y17)-SUM(Y25:Y35))*Assumptions!$B$34/4</f>
        <v>454.968140245366</v>
      </c>
      <c r="Z19" s="375" t="n">
        <f aca="false">(SUM(Z10:Z17)-SUM(Z25:Z35))*Assumptions!$B$34/4</f>
        <v>455.882486574842</v>
      </c>
      <c r="AA19" s="651"/>
      <c r="AB19" s="651"/>
      <c r="AC19" s="651"/>
    </row>
    <row r="20" customFormat="false" ht="12.75" hidden="false" customHeight="false" outlineLevel="0" collapsed="false">
      <c r="A20" s="327" t="s">
        <v>280</v>
      </c>
      <c r="B20" s="321"/>
      <c r="C20" s="321"/>
      <c r="D20" s="321"/>
      <c r="E20" s="115" t="n">
        <f aca="false">SUM(E10:E19)</f>
        <v>0</v>
      </c>
      <c r="F20" s="115" t="n">
        <f aca="false">SUM(F10:F19)</f>
        <v>15506.2208030205</v>
      </c>
      <c r="G20" s="115" t="n">
        <f aca="false">SUM(G10:G19)</f>
        <v>27977.7655326652</v>
      </c>
      <c r="H20" s="115" t="n">
        <f aca="false">SUM(H10:H19)</f>
        <v>28073.7488016367</v>
      </c>
      <c r="I20" s="115" t="n">
        <f aca="false">SUM(I10:I19)</f>
        <v>37275.933953564</v>
      </c>
      <c r="J20" s="115" t="n">
        <f aca="false">SUM(J10:J19)</f>
        <v>37772.4945205729</v>
      </c>
      <c r="K20" s="115" t="n">
        <f aca="false">SUM(K10:K19)</f>
        <v>38265.3057607747</v>
      </c>
      <c r="L20" s="115" t="n">
        <f aca="false">SUM(L10:L19)</f>
        <v>38753.6958100505</v>
      </c>
      <c r="M20" s="115" t="n">
        <f aca="false">SUM(M10:M19)</f>
        <v>39916.1273600034</v>
      </c>
      <c r="N20" s="115" t="n">
        <f aca="false">SUM(N10:N19)</f>
        <v>40413.8852184848</v>
      </c>
      <c r="O20" s="115" t="n">
        <f aca="false">SUM(O10:O19)</f>
        <v>41626.1224506908</v>
      </c>
      <c r="P20" s="115" t="n">
        <f aca="false">SUM(P10:P19)</f>
        <v>42133.0679410397</v>
      </c>
      <c r="Q20" s="115" t="n">
        <f aca="false">SUM(Q10:Q19)</f>
        <v>43397.0147462726</v>
      </c>
      <c r="R20" s="115" t="n">
        <f aca="false">SUM(R10:R19)</f>
        <v>43911.3888857552</v>
      </c>
      <c r="S20" s="115" t="n">
        <f aca="false">SUM(S10:S19)</f>
        <v>44417.6315298</v>
      </c>
      <c r="T20" s="115" t="n">
        <f aca="false">SUM(T10:T19)</f>
        <v>44914.7309865889</v>
      </c>
      <c r="U20" s="115" t="n">
        <f aca="false">SUM(U10:U19)</f>
        <v>45401.6480443592</v>
      </c>
      <c r="V20" s="115" t="n">
        <f aca="false">SUM(V10:V19)</f>
        <v>45877.5053049162</v>
      </c>
      <c r="W20" s="115" t="n">
        <f aca="false">SUM(W10:W19)</f>
        <v>46341.1391148241</v>
      </c>
      <c r="X20" s="115" t="n">
        <f aca="false">SUM(X10:X19)</f>
        <v>46791.4758111527</v>
      </c>
      <c r="Y20" s="115" t="n">
        <f aca="false">SUM(Y10:Y19)</f>
        <v>47227.0933384819</v>
      </c>
      <c r="Z20" s="115" t="n">
        <f aca="false">SUM(Z10:Z19)</f>
        <v>47645.720908444</v>
      </c>
      <c r="AA20" s="651"/>
      <c r="AB20" s="651"/>
      <c r="AC20" s="651"/>
    </row>
    <row r="21" customFormat="false" ht="12.75" hidden="false" customHeight="false" outlineLevel="0" collapsed="false">
      <c r="A21" s="327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C21" s="730"/>
    </row>
    <row r="22" customFormat="false" ht="12" hidden="false" customHeight="true" outlineLevel="0" collapsed="false">
      <c r="A22" s="331"/>
      <c r="B22" s="331"/>
      <c r="C22" s="331"/>
      <c r="D22" s="331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653"/>
      <c r="AB22" s="653"/>
      <c r="AC22" s="653"/>
      <c r="AD22" s="653"/>
      <c r="AE22" s="653"/>
      <c r="AF22" s="653"/>
      <c r="AG22" s="653"/>
      <c r="AH22" s="653"/>
      <c r="AI22" s="653"/>
      <c r="AJ22" s="653"/>
      <c r="AK22" s="653"/>
      <c r="AL22" s="653"/>
      <c r="AM22" s="653"/>
      <c r="AN22" s="653"/>
      <c r="AO22" s="653"/>
      <c r="AP22" s="653"/>
      <c r="AQ22" s="653"/>
      <c r="AR22" s="653"/>
      <c r="AS22" s="653"/>
      <c r="AT22" s="653"/>
      <c r="AU22" s="653"/>
      <c r="AV22" s="653"/>
      <c r="AW22" s="653"/>
      <c r="AX22" s="653"/>
      <c r="AY22" s="653"/>
      <c r="AZ22" s="653"/>
      <c r="BA22" s="653"/>
      <c r="BB22" s="653"/>
      <c r="BC22" s="653"/>
      <c r="BD22" s="653"/>
      <c r="BE22" s="653"/>
      <c r="BF22" s="653"/>
      <c r="BG22" s="653"/>
      <c r="BH22" s="653"/>
      <c r="BI22" s="653"/>
      <c r="BJ22" s="653"/>
      <c r="BK22" s="653"/>
      <c r="BL22" s="653"/>
      <c r="BM22" s="653"/>
      <c r="BN22" s="653"/>
      <c r="BO22" s="653"/>
      <c r="BP22" s="653"/>
      <c r="BQ22" s="653"/>
      <c r="BR22" s="653"/>
      <c r="BS22" s="653"/>
      <c r="BT22" s="653"/>
      <c r="BU22" s="653"/>
      <c r="BV22" s="653"/>
      <c r="BW22" s="653"/>
      <c r="BX22" s="653"/>
      <c r="BY22" s="653"/>
      <c r="BZ22" s="653"/>
      <c r="CA22" s="653"/>
      <c r="CB22" s="653"/>
      <c r="CC22" s="653"/>
      <c r="CD22" s="653"/>
      <c r="CE22" s="653"/>
      <c r="CF22" s="653"/>
      <c r="CG22" s="653"/>
      <c r="CH22" s="653"/>
      <c r="CI22" s="653"/>
      <c r="CJ22" s="653"/>
      <c r="CK22" s="653"/>
      <c r="CL22" s="653"/>
      <c r="CM22" s="653"/>
      <c r="CN22" s="653"/>
      <c r="CO22" s="653"/>
      <c r="CP22" s="653"/>
      <c r="CQ22" s="653"/>
      <c r="CR22" s="653"/>
      <c r="CS22" s="653"/>
      <c r="CT22" s="653"/>
      <c r="CU22" s="653"/>
      <c r="CV22" s="653"/>
      <c r="CW22" s="653"/>
      <c r="CX22" s="653"/>
      <c r="CY22" s="653"/>
      <c r="CZ22" s="653"/>
      <c r="DA22" s="653"/>
      <c r="DB22" s="653"/>
      <c r="DC22" s="653"/>
      <c r="DD22" s="653"/>
      <c r="DE22" s="653"/>
      <c r="DF22" s="653"/>
      <c r="DG22" s="653"/>
      <c r="DH22" s="653"/>
      <c r="DI22" s="653"/>
      <c r="DJ22" s="653"/>
      <c r="DK22" s="653"/>
      <c r="DL22" s="653"/>
      <c r="DM22" s="653"/>
      <c r="DN22" s="653"/>
      <c r="DO22" s="653"/>
      <c r="DP22" s="653"/>
      <c r="DQ22" s="653"/>
      <c r="DR22" s="653"/>
      <c r="DS22" s="653"/>
      <c r="DT22" s="653"/>
      <c r="DU22" s="653"/>
      <c r="DV22" s="653"/>
      <c r="DW22" s="653"/>
      <c r="DX22" s="653"/>
      <c r="DY22" s="653"/>
      <c r="DZ22" s="653"/>
      <c r="EA22" s="653"/>
      <c r="EB22" s="653"/>
      <c r="EC22" s="653"/>
      <c r="ED22" s="653"/>
      <c r="EE22" s="653"/>
      <c r="EF22" s="653"/>
      <c r="EG22" s="653"/>
      <c r="EH22" s="653"/>
      <c r="EI22" s="653"/>
      <c r="EJ22" s="653"/>
      <c r="EK22" s="653"/>
      <c r="EL22" s="653"/>
      <c r="EM22" s="653"/>
      <c r="EN22" s="653"/>
      <c r="EO22" s="653"/>
      <c r="EP22" s="653"/>
      <c r="EQ22" s="653"/>
      <c r="ER22" s="653"/>
      <c r="ES22" s="653"/>
      <c r="ET22" s="653"/>
      <c r="EU22" s="653"/>
      <c r="EV22" s="653"/>
      <c r="EW22" s="653"/>
      <c r="EX22" s="653"/>
      <c r="EY22" s="653"/>
      <c r="EZ22" s="653"/>
      <c r="FA22" s="653"/>
      <c r="FB22" s="653"/>
      <c r="FC22" s="653"/>
      <c r="FD22" s="653"/>
      <c r="FE22" s="653"/>
      <c r="FF22" s="653"/>
      <c r="FG22" s="653"/>
      <c r="FH22" s="653"/>
      <c r="FI22" s="653"/>
      <c r="FJ22" s="653"/>
      <c r="FK22" s="653"/>
      <c r="FL22" s="653"/>
      <c r="FM22" s="653"/>
      <c r="FN22" s="653"/>
      <c r="FO22" s="653"/>
      <c r="FP22" s="653"/>
      <c r="FQ22" s="653"/>
      <c r="FR22" s="653"/>
      <c r="FS22" s="653"/>
      <c r="FT22" s="653"/>
      <c r="FU22" s="653"/>
      <c r="FV22" s="653"/>
      <c r="FW22" s="653"/>
      <c r="FX22" s="653"/>
      <c r="FY22" s="653"/>
      <c r="FZ22" s="653"/>
      <c r="GA22" s="653"/>
      <c r="GB22" s="653"/>
      <c r="GC22" s="653"/>
      <c r="GD22" s="653"/>
      <c r="GE22" s="653"/>
      <c r="GF22" s="653"/>
      <c r="GG22" s="653"/>
      <c r="GH22" s="653"/>
      <c r="GI22" s="653"/>
      <c r="GJ22" s="653"/>
      <c r="GK22" s="653"/>
      <c r="GL22" s="653"/>
      <c r="GM22" s="653"/>
      <c r="GN22" s="653"/>
      <c r="GO22" s="653"/>
      <c r="GP22" s="653"/>
      <c r="GQ22" s="653"/>
      <c r="GR22" s="653"/>
      <c r="GS22" s="653"/>
      <c r="GT22" s="653"/>
      <c r="GU22" s="653"/>
      <c r="GV22" s="653"/>
      <c r="GW22" s="653"/>
      <c r="GX22" s="653"/>
      <c r="GY22" s="653"/>
      <c r="GZ22" s="653"/>
      <c r="HA22" s="653"/>
      <c r="HB22" s="653"/>
      <c r="HC22" s="653"/>
      <c r="HD22" s="653"/>
      <c r="HE22" s="653"/>
      <c r="HF22" s="653"/>
      <c r="HG22" s="653"/>
      <c r="HH22" s="653"/>
      <c r="HI22" s="653"/>
      <c r="HJ22" s="653"/>
      <c r="HK22" s="653"/>
      <c r="HL22" s="653"/>
      <c r="HM22" s="653"/>
      <c r="HN22" s="653"/>
      <c r="HO22" s="653"/>
      <c r="HP22" s="653"/>
      <c r="HQ22" s="653"/>
      <c r="HR22" s="653"/>
      <c r="HS22" s="653"/>
      <c r="HT22" s="653"/>
      <c r="HU22" s="653"/>
      <c r="HV22" s="653"/>
      <c r="HW22" s="653"/>
      <c r="HX22" s="653"/>
      <c r="HY22" s="653"/>
      <c r="HZ22" s="653"/>
      <c r="IA22" s="653"/>
      <c r="IB22" s="653"/>
      <c r="IC22" s="653"/>
      <c r="ID22" s="653"/>
      <c r="IE22" s="653"/>
      <c r="IF22" s="653"/>
      <c r="IG22" s="653"/>
      <c r="IH22" s="653"/>
      <c r="II22" s="653"/>
      <c r="IJ22" s="653"/>
      <c r="IK22" s="653"/>
      <c r="IL22" s="653"/>
      <c r="IM22" s="653"/>
      <c r="IN22" s="653"/>
      <c r="IO22" s="653"/>
      <c r="IP22" s="653"/>
      <c r="IQ22" s="653"/>
      <c r="IR22" s="653"/>
      <c r="IS22" s="653"/>
      <c r="IT22" s="653"/>
      <c r="IU22" s="653"/>
      <c r="IV22" s="653"/>
      <c r="IW22" s="653"/>
    </row>
    <row r="23" customFormat="false" ht="12.75" hidden="false" customHeight="false" outlineLevel="0" collapsed="false">
      <c r="A23" s="323" t="s">
        <v>281</v>
      </c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</row>
    <row r="24" customFormat="false" ht="12.75" hidden="false" customHeight="false" outlineLevel="0" collapsed="false">
      <c r="A24" s="327" t="s">
        <v>282</v>
      </c>
      <c r="E24" s="115" t="n">
        <v>0</v>
      </c>
      <c r="F24" s="115" t="n">
        <v>0</v>
      </c>
      <c r="G24" s="115" t="n">
        <v>0</v>
      </c>
      <c r="H24" s="417" t="n">
        <v>0</v>
      </c>
      <c r="I24" s="115" t="n">
        <v>0</v>
      </c>
      <c r="J24" s="115" t="n">
        <v>0</v>
      </c>
      <c r="K24" s="115" t="n">
        <v>0</v>
      </c>
      <c r="L24" s="115" t="n">
        <v>0</v>
      </c>
      <c r="M24" s="115" t="n">
        <v>0</v>
      </c>
      <c r="N24" s="115" t="n">
        <v>0</v>
      </c>
      <c r="O24" s="115" t="n">
        <v>0</v>
      </c>
      <c r="P24" s="115" t="n">
        <v>0</v>
      </c>
      <c r="Q24" s="115" t="n">
        <v>0</v>
      </c>
      <c r="R24" s="115" t="n">
        <v>0</v>
      </c>
      <c r="S24" s="115" t="n">
        <v>0</v>
      </c>
      <c r="T24" s="115" t="n">
        <v>0</v>
      </c>
      <c r="U24" s="115" t="n">
        <v>0</v>
      </c>
      <c r="V24" s="115" t="n">
        <v>0</v>
      </c>
      <c r="W24" s="115" t="n">
        <v>0</v>
      </c>
      <c r="X24" s="115" t="n">
        <v>0</v>
      </c>
      <c r="Y24" s="115" t="n">
        <v>0</v>
      </c>
      <c r="Z24" s="115" t="n">
        <v>0</v>
      </c>
    </row>
    <row r="25" customFormat="false" ht="12.75" hidden="false" customHeight="false" outlineLevel="0" collapsed="false">
      <c r="A25" s="327" t="s">
        <v>217</v>
      </c>
      <c r="E25" s="115" t="n">
        <v>0</v>
      </c>
      <c r="F25" s="115" t="n">
        <f aca="false">Assumptions!$P56*Assumptions!P53/12*(1+Assumptions!$P$52)</f>
        <v>513.455</v>
      </c>
      <c r="G25" s="115" t="n">
        <f aca="false">Assumptions!$P56*(1+Assumptions!$P$52)^2</f>
        <v>1057.7173</v>
      </c>
      <c r="H25" s="417" t="n">
        <f aca="false">G25*(1+Assumptions!$P$52)</f>
        <v>1089.448819</v>
      </c>
      <c r="I25" s="417" t="n">
        <f aca="false">H25*(1+Assumptions!$P$52)</f>
        <v>1122.13228357</v>
      </c>
      <c r="J25" s="417" t="n">
        <f aca="false">I25*(1+Assumptions!$P$52)</f>
        <v>1155.7962520771</v>
      </c>
      <c r="K25" s="417" t="n">
        <f aca="false">J25*(1+Assumptions!$P$52)</f>
        <v>1190.47013963941</v>
      </c>
      <c r="L25" s="417" t="n">
        <f aca="false">K25*(1+Assumptions!$P$52)</f>
        <v>1226.1842438286</v>
      </c>
      <c r="M25" s="417" t="n">
        <f aca="false">L25*(1+Assumptions!$P$52)</f>
        <v>1262.96977114345</v>
      </c>
      <c r="N25" s="417" t="n">
        <f aca="false">M25*(1+Assumptions!$P$52)</f>
        <v>1300.85886427776</v>
      </c>
      <c r="O25" s="417" t="n">
        <f aca="false">N25*(1+Assumptions!$P$52)</f>
        <v>1339.88463020609</v>
      </c>
      <c r="P25" s="417" t="n">
        <f aca="false">O25*(1+Assumptions!$P$52)</f>
        <v>1380.08116911227</v>
      </c>
      <c r="Q25" s="417" t="n">
        <f aca="false">P25*(1+Assumptions!$P$52)</f>
        <v>1421.48360418564</v>
      </c>
      <c r="R25" s="417" t="n">
        <f aca="false">Q25*(1+Assumptions!$P$52)</f>
        <v>1464.12811231121</v>
      </c>
      <c r="S25" s="417" t="n">
        <f aca="false">R25*(1+Assumptions!$P$52)</f>
        <v>1508.05195568055</v>
      </c>
      <c r="T25" s="417" t="n">
        <f aca="false">S25*(1+Assumptions!$P$52)</f>
        <v>1553.29351435096</v>
      </c>
      <c r="U25" s="417" t="n">
        <f aca="false">T25*(1+Assumptions!$P$52)</f>
        <v>1599.89231978149</v>
      </c>
      <c r="V25" s="417" t="n">
        <f aca="false">U25*(1+Assumptions!$P$52)</f>
        <v>1647.88908937494</v>
      </c>
      <c r="W25" s="417" t="n">
        <f aca="false">V25*(1+Assumptions!$P$52)</f>
        <v>1697.32576205618</v>
      </c>
      <c r="X25" s="417" t="n">
        <f aca="false">W25*(1+Assumptions!$P$52)</f>
        <v>1748.24553491787</v>
      </c>
      <c r="Y25" s="417" t="n">
        <f aca="false">X25*(1+Assumptions!$P$52)</f>
        <v>1800.69290096541</v>
      </c>
      <c r="Z25" s="417" t="n">
        <f aca="false">Y25*(1+Assumptions!$P$52)</f>
        <v>1854.71368799437</v>
      </c>
    </row>
    <row r="26" customFormat="false" ht="12.75" hidden="false" customHeight="false" outlineLevel="0" collapsed="false">
      <c r="A26" s="327" t="s">
        <v>283</v>
      </c>
      <c r="E26" s="115" t="n">
        <v>0</v>
      </c>
      <c r="F26" s="115" t="n">
        <f aca="false">Assumptions!$P59*(1+Assumptions!$P$52)</f>
        <v>767.01319</v>
      </c>
      <c r="G26" s="115" t="n">
        <f aca="false">F26*(1+Assumptions!$P$52)</f>
        <v>790.0235857</v>
      </c>
      <c r="H26" s="417" t="n">
        <f aca="false">G26*(1+Assumptions!$P$52)</f>
        <v>813.724293271</v>
      </c>
      <c r="I26" s="115" t="n">
        <f aca="false">Assumptions!$P$60*(1+Assumptions!$P$52)^(I5-$E$5)</f>
        <v>862.119859532026</v>
      </c>
      <c r="J26" s="115" t="n">
        <f aca="false">Assumptions!$P$60*(1+Assumptions!$P$52)^(J5-$E$5)</f>
        <v>887.983455317987</v>
      </c>
      <c r="K26" s="417" t="n">
        <f aca="false">J26*(1+Assumptions!$P$52)</f>
        <v>914.622958977526</v>
      </c>
      <c r="L26" s="417" t="n">
        <f aca="false">K26*(1+Assumptions!$P$52)</f>
        <v>942.061647746852</v>
      </c>
      <c r="M26" s="417" t="n">
        <f aca="false">L26*(1+Assumptions!$P$52)</f>
        <v>970.323497179258</v>
      </c>
      <c r="N26" s="417" t="n">
        <f aca="false">M26*(1+Assumptions!$P$52)</f>
        <v>999.433202094635</v>
      </c>
      <c r="O26" s="417" t="n">
        <f aca="false">N26*(1+Assumptions!$P$52)</f>
        <v>1029.41619815747</v>
      </c>
      <c r="P26" s="417" t="n">
        <f aca="false">O26*(1+Assumptions!$P$52)</f>
        <v>1060.2986841022</v>
      </c>
      <c r="Q26" s="417" t="n">
        <f aca="false">P26*(1+Assumptions!$P$52)</f>
        <v>1092.10764462526</v>
      </c>
      <c r="R26" s="417" t="n">
        <f aca="false">Q26*(1+Assumptions!$P$52)</f>
        <v>1124.87087396402</v>
      </c>
      <c r="S26" s="417" t="n">
        <f aca="false">R26*(1+Assumptions!$P$52)</f>
        <v>1158.61700018294</v>
      </c>
      <c r="T26" s="417" t="n">
        <f aca="false">S26*(1+Assumptions!$P$52)</f>
        <v>1193.37551018843</v>
      </c>
      <c r="U26" s="417" t="n">
        <f aca="false">T26*(1+Assumptions!$P$52)</f>
        <v>1229.17677549408</v>
      </c>
      <c r="V26" s="417" t="n">
        <f aca="false">U26*(1+Assumptions!$P$52)</f>
        <v>1266.05207875891</v>
      </c>
      <c r="W26" s="417" t="n">
        <f aca="false">V26*(1+Assumptions!$P$52)</f>
        <v>1304.03364112167</v>
      </c>
      <c r="X26" s="417" t="n">
        <f aca="false">W26*(1+Assumptions!$P$52)</f>
        <v>1343.15465035532</v>
      </c>
      <c r="Y26" s="417" t="n">
        <f aca="false">X26*(1+Assumptions!$P$52)</f>
        <v>1383.44928986598</v>
      </c>
      <c r="Z26" s="417" t="n">
        <f aca="false">Y26*(1+Assumptions!$P$52)</f>
        <v>1424.95276856196</v>
      </c>
    </row>
    <row r="27" customFormat="false" ht="12.75" hidden="false" customHeight="false" outlineLevel="0" collapsed="false">
      <c r="A27" s="327" t="s">
        <v>222</v>
      </c>
      <c r="E27" s="115" t="n">
        <v>0</v>
      </c>
      <c r="F27" s="115" t="n">
        <f aca="false">VLOOKUP(Assumptions!P19,'EGC Start Charge Matrix'!$U$10:$AM$35,17)*(1+Assumptions!$P$52)</f>
        <v>2365.3332</v>
      </c>
      <c r="G27" s="115" t="n">
        <f aca="false">F27*(1+Assumptions!$P$52)</f>
        <v>2436.293196</v>
      </c>
      <c r="H27" s="115" t="n">
        <f aca="false">G27*(1+Assumptions!$P$52)</f>
        <v>2509.38199188</v>
      </c>
      <c r="I27" s="115" t="n">
        <f aca="false">H27*(1+Assumptions!$P$52)</f>
        <v>2584.6634516364</v>
      </c>
      <c r="J27" s="115" t="n">
        <f aca="false">I27*(1+Assumptions!$P$52)</f>
        <v>2662.20335518549</v>
      </c>
      <c r="K27" s="115" t="n">
        <f aca="false">J27*(1+Assumptions!$P$52)</f>
        <v>2742.06945584106</v>
      </c>
      <c r="L27" s="115" t="n">
        <f aca="false">K27*(1+Assumptions!$P$52)</f>
        <v>2824.33153951629</v>
      </c>
      <c r="M27" s="115" t="n">
        <f aca="false">L27*(1+Assumptions!$P$52)</f>
        <v>2909.06148570178</v>
      </c>
      <c r="N27" s="115" t="n">
        <f aca="false">M27*(1+Assumptions!$P$52)</f>
        <v>2996.33333027283</v>
      </c>
      <c r="O27" s="115" t="n">
        <f aca="false">N27*(1+Assumptions!$P$52)</f>
        <v>3086.22333018102</v>
      </c>
      <c r="P27" s="115" t="n">
        <f aca="false">O27*(1+Assumptions!$P$52)</f>
        <v>3178.81003008645</v>
      </c>
      <c r="Q27" s="115" t="n">
        <f aca="false">P27*(1+Assumptions!$P$52)</f>
        <v>3274.17433098904</v>
      </c>
      <c r="R27" s="115" t="n">
        <f aca="false">Q27*(1+Assumptions!$P$52)</f>
        <v>3372.39956091871</v>
      </c>
      <c r="S27" s="115" t="n">
        <f aca="false">R27*(1+Assumptions!$P$52)</f>
        <v>3473.57154774627</v>
      </c>
      <c r="T27" s="115" t="n">
        <f aca="false">S27*(1+Assumptions!$P$52)</f>
        <v>3577.77869417866</v>
      </c>
      <c r="U27" s="115" t="n">
        <f aca="false">T27*(1+Assumptions!$P$52)</f>
        <v>3685.11205500402</v>
      </c>
      <c r="V27" s="115" t="n">
        <f aca="false">U27*(1+Assumptions!$P$52)</f>
        <v>3795.66541665414</v>
      </c>
      <c r="W27" s="115" t="n">
        <f aca="false">V27*(1+Assumptions!$P$52)</f>
        <v>3909.53537915377</v>
      </c>
      <c r="X27" s="115" t="n">
        <f aca="false">W27*(1+Assumptions!$P$52)</f>
        <v>4026.82144052838</v>
      </c>
      <c r="Y27" s="115" t="n">
        <f aca="false">X27*(1+Assumptions!$P$52)</f>
        <v>4147.62608374423</v>
      </c>
      <c r="Z27" s="115" t="n">
        <f aca="false">Y27*(1+Assumptions!$P$52)</f>
        <v>4272.05486625656</v>
      </c>
    </row>
    <row r="28" customFormat="false" ht="12.75" hidden="false" customHeight="false" outlineLevel="0" collapsed="false">
      <c r="A28" s="327" t="s">
        <v>224</v>
      </c>
      <c r="E28" s="115" t="n">
        <v>0</v>
      </c>
      <c r="F28" s="115" t="n">
        <f aca="false">Assumptions!$P62*Assumptions!P53/12*(1+Assumptions!$P$52)</f>
        <v>137.505</v>
      </c>
      <c r="G28" s="115" t="n">
        <f aca="false">Assumptions!$P62*(1+Assumptions!$P$52)^2</f>
        <v>283.2603</v>
      </c>
      <c r="H28" s="417" t="n">
        <f aca="false">G28*(1+Assumptions!$P$52)</f>
        <v>291.758109</v>
      </c>
      <c r="I28" s="115" t="n">
        <f aca="false">H28*(1+Assumptions!$P$52)</f>
        <v>300.51085227</v>
      </c>
      <c r="J28" s="115" t="n">
        <f aca="false">I28*(1+Assumptions!$P$52)</f>
        <v>309.5261778381</v>
      </c>
      <c r="K28" s="115" t="n">
        <f aca="false">J28*(1+Assumptions!$P$52)</f>
        <v>318.811963173243</v>
      </c>
      <c r="L28" s="115" t="n">
        <f aca="false">K28*(1+Assumptions!$P$52)</f>
        <v>328.37632206844</v>
      </c>
      <c r="M28" s="115" t="n">
        <f aca="false">L28*(1+Assumptions!$P$52)</f>
        <v>338.227611730494</v>
      </c>
      <c r="N28" s="115" t="n">
        <f aca="false">M28*(1+Assumptions!$P$52)</f>
        <v>348.374440082408</v>
      </c>
      <c r="O28" s="115" t="n">
        <f aca="false">N28*(1+Assumptions!$P$52)</f>
        <v>358.825673284881</v>
      </c>
      <c r="P28" s="115" t="n">
        <f aca="false">O28*(1+Assumptions!$P$52)</f>
        <v>369.590443483427</v>
      </c>
      <c r="Q28" s="115" t="n">
        <f aca="false">P28*(1+Assumptions!$P$52)</f>
        <v>380.67815678793</v>
      </c>
      <c r="R28" s="115" t="n">
        <f aca="false">Q28*(1+Assumptions!$P$52)</f>
        <v>392.098501491568</v>
      </c>
      <c r="S28" s="115" t="n">
        <f aca="false">R28*(1+Assumptions!$P$52)</f>
        <v>403.861456536315</v>
      </c>
      <c r="T28" s="115" t="n">
        <f aca="false">S28*(1+Assumptions!$P$52)</f>
        <v>415.977300232404</v>
      </c>
      <c r="U28" s="115" t="n">
        <f aca="false">T28*(1+Assumptions!$P$52)</f>
        <v>428.456619239376</v>
      </c>
      <c r="V28" s="115" t="n">
        <f aca="false">U28*(1+Assumptions!$P$52)</f>
        <v>441.310317816558</v>
      </c>
      <c r="W28" s="115" t="n">
        <f aca="false">V28*(1+Assumptions!$P$52)</f>
        <v>454.549627351055</v>
      </c>
      <c r="X28" s="115" t="n">
        <f aca="false">W28*(1+Assumptions!$P$52)</f>
        <v>468.186116171586</v>
      </c>
      <c r="Y28" s="115" t="n">
        <f aca="false">X28*(1+Assumptions!$P$52)</f>
        <v>482.231699656734</v>
      </c>
      <c r="Z28" s="115" t="n">
        <f aca="false">Y28*(1+Assumptions!$P$52)</f>
        <v>496.698650646436</v>
      </c>
    </row>
    <row r="29" customFormat="false" ht="12.75" hidden="false" customHeight="false" outlineLevel="0" collapsed="false">
      <c r="A29" s="327" t="s">
        <v>226</v>
      </c>
      <c r="E29" s="115" t="n">
        <v>0</v>
      </c>
      <c r="F29" s="115" t="n">
        <f aca="false">Assumptions!$P63*Assumptions!P53/12*(1+Assumptions!$P$52)</f>
        <v>167.375</v>
      </c>
      <c r="G29" s="115" t="n">
        <f aca="false">(Assumptions!$P63)*(1+Assumptions!$P$52)^2</f>
        <v>344.7925</v>
      </c>
      <c r="H29" s="417" t="n">
        <f aca="false">G29*(1+Assumptions!$P$52)</f>
        <v>355.136275</v>
      </c>
      <c r="I29" s="417" t="n">
        <f aca="false">H29*(1+Assumptions!$P$52)</f>
        <v>365.79036325</v>
      </c>
      <c r="J29" s="417" t="n">
        <f aca="false">I29*(1+Assumptions!$P$52)</f>
        <v>376.7640741475</v>
      </c>
      <c r="K29" s="417" t="n">
        <f aca="false">J29*(1+Assumptions!$P$52)</f>
        <v>388.066996371925</v>
      </c>
      <c r="L29" s="417" t="n">
        <f aca="false">K29*(1+Assumptions!$P$52)</f>
        <v>399.709006263083</v>
      </c>
      <c r="M29" s="417" t="n">
        <f aca="false">L29*(1+Assumptions!$P$52)</f>
        <v>411.700276450975</v>
      </c>
      <c r="N29" s="417" t="n">
        <f aca="false">M29*(1+Assumptions!$P$52)</f>
        <v>424.051284744505</v>
      </c>
      <c r="O29" s="417" t="n">
        <f aca="false">N29*(1+Assumptions!$P$52)</f>
        <v>436.77282328684</v>
      </c>
      <c r="P29" s="417" t="n">
        <f aca="false">O29*(1+Assumptions!$P$52)</f>
        <v>449.876007985445</v>
      </c>
      <c r="Q29" s="417" t="n">
        <f aca="false">P29*(1+Assumptions!$P$52)</f>
        <v>463.372288225008</v>
      </c>
      <c r="R29" s="417" t="n">
        <f aca="false">Q29*(1+Assumptions!$P$52)</f>
        <v>477.273456871759</v>
      </c>
      <c r="S29" s="417" t="n">
        <f aca="false">R29*(1+Assumptions!$P$52)</f>
        <v>491.591660577911</v>
      </c>
      <c r="T29" s="417" t="n">
        <f aca="false">S29*(1+Assumptions!$P$52)</f>
        <v>506.339410395249</v>
      </c>
      <c r="U29" s="417" t="n">
        <f aca="false">T29*(1+Assumptions!$P$52)</f>
        <v>521.529592707106</v>
      </c>
      <c r="V29" s="417" t="n">
        <f aca="false">U29*(1+Assumptions!$P$52)</f>
        <v>537.175480488319</v>
      </c>
      <c r="W29" s="417" t="n">
        <f aca="false">V29*(1+Assumptions!$P$52)</f>
        <v>553.290744902969</v>
      </c>
      <c r="X29" s="417" t="n">
        <f aca="false">W29*(1+Assumptions!$P$52)</f>
        <v>569.889467250058</v>
      </c>
      <c r="Y29" s="417" t="n">
        <f aca="false">X29*(1+Assumptions!$P$52)</f>
        <v>586.98615126756</v>
      </c>
      <c r="Z29" s="417" t="n">
        <f aca="false">Y29*(1+Assumptions!$P$52)</f>
        <v>604.595735805586</v>
      </c>
    </row>
    <row r="30" customFormat="false" ht="12.75" hidden="false" customHeight="false" outlineLevel="0" collapsed="false">
      <c r="A30" s="327" t="s">
        <v>454</v>
      </c>
      <c r="E30" s="115" t="n">
        <v>0</v>
      </c>
      <c r="F30" s="115" t="n">
        <f aca="false">+Assumptions!P64*(1+Assumptions!$P$52)</f>
        <v>72.1</v>
      </c>
      <c r="G30" s="115" t="n">
        <f aca="false">(Assumptions!$P64)*(1+Assumptions!$P$52)^2</f>
        <v>74.263</v>
      </c>
      <c r="H30" s="115" t="n">
        <f aca="false">G30*(1+Assumptions!$P$52)</f>
        <v>76.49089</v>
      </c>
      <c r="I30" s="115" t="n">
        <f aca="false">H30*(1+Assumptions!$P$52)</f>
        <v>78.7856167</v>
      </c>
      <c r="J30" s="115" t="n">
        <f aca="false">I30*(1+Assumptions!$P$52)</f>
        <v>81.149185201</v>
      </c>
      <c r="K30" s="115" t="n">
        <f aca="false">J30*(1+Assumptions!$P$52)</f>
        <v>83.58366075703</v>
      </c>
      <c r="L30" s="115" t="n">
        <f aca="false">K30*(1+Assumptions!$P$52)</f>
        <v>86.0911705797409</v>
      </c>
      <c r="M30" s="115" t="n">
        <f aca="false">L30*(1+Assumptions!$P$52)</f>
        <v>88.6739056971331</v>
      </c>
      <c r="N30" s="115" t="n">
        <f aca="false">M30*(1+Assumptions!$P$52)</f>
        <v>91.3341228680471</v>
      </c>
      <c r="O30" s="115" t="n">
        <f aca="false">N30*(1+Assumptions!$P$52)</f>
        <v>94.0741465540885</v>
      </c>
      <c r="P30" s="115" t="n">
        <f aca="false">O30*(1+Assumptions!$P$52)</f>
        <v>96.8963709507112</v>
      </c>
      <c r="Q30" s="115" t="n">
        <f aca="false">P30*(1+Assumptions!$P$52)</f>
        <v>99.8032620792325</v>
      </c>
      <c r="R30" s="115" t="n">
        <f aca="false">Q30*(1+Assumptions!$P$52)</f>
        <v>102.79735994161</v>
      </c>
      <c r="S30" s="115" t="n">
        <f aca="false">R30*(1+Assumptions!$P$52)</f>
        <v>105.881280739858</v>
      </c>
      <c r="T30" s="115" t="n">
        <f aca="false">S30*(1+Assumptions!$P$52)</f>
        <v>109.057719162054</v>
      </c>
      <c r="U30" s="115" t="n">
        <f aca="false">T30*(1+Assumptions!$P$52)</f>
        <v>112.329450736915</v>
      </c>
      <c r="V30" s="115" t="n">
        <f aca="false">U30*(1+Assumptions!$P$52)</f>
        <v>115.699334259023</v>
      </c>
      <c r="W30" s="115" t="n">
        <f aca="false">V30*(1+Assumptions!$P$52)</f>
        <v>119.170314286793</v>
      </c>
      <c r="X30" s="115" t="n">
        <f aca="false">W30*(1+Assumptions!$P$52)</f>
        <v>122.745423715397</v>
      </c>
      <c r="Y30" s="115" t="n">
        <f aca="false">X30*(1+Assumptions!$P$52)</f>
        <v>126.427786426859</v>
      </c>
      <c r="Z30" s="115" t="n">
        <f aca="false">Y30*(1+Assumptions!$P$52)</f>
        <v>130.220620019665</v>
      </c>
    </row>
    <row r="31" customFormat="false" ht="12.75" hidden="false" customHeight="false" outlineLevel="0" collapsed="false">
      <c r="A31" s="327" t="s">
        <v>455</v>
      </c>
      <c r="E31" s="115" t="n">
        <v>0</v>
      </c>
      <c r="F31" s="115" t="n">
        <v>235.677207</v>
      </c>
      <c r="G31" s="115" t="n">
        <v>235.677207</v>
      </c>
      <c r="H31" s="115" t="n">
        <v>235.677207</v>
      </c>
      <c r="I31" s="115" t="n">
        <v>235.677207</v>
      </c>
      <c r="J31" s="115" t="n">
        <v>235.677207</v>
      </c>
      <c r="K31" s="115" t="n">
        <v>235.677207</v>
      </c>
      <c r="L31" s="115" t="n">
        <v>235.677207</v>
      </c>
      <c r="M31" s="115" t="n">
        <v>235.677207</v>
      </c>
      <c r="N31" s="115" t="n">
        <v>235.677207</v>
      </c>
      <c r="O31" s="115" t="n">
        <v>235.677207</v>
      </c>
      <c r="P31" s="115" t="n">
        <v>235.677207</v>
      </c>
      <c r="Q31" s="115" t="n">
        <v>235.677207</v>
      </c>
      <c r="R31" s="115" t="n">
        <v>235.677207</v>
      </c>
      <c r="S31" s="115" t="n">
        <v>235.677207</v>
      </c>
      <c r="T31" s="115" t="n">
        <v>235.677207</v>
      </c>
      <c r="U31" s="115" t="n">
        <v>235.677207</v>
      </c>
      <c r="V31" s="115" t="n">
        <v>235.677207</v>
      </c>
      <c r="W31" s="115" t="n">
        <v>235.677207</v>
      </c>
      <c r="X31" s="115" t="n">
        <v>235.677207</v>
      </c>
      <c r="Y31" s="115" t="n">
        <v>235.677207</v>
      </c>
      <c r="Z31" s="115" t="n">
        <v>280.098859179854</v>
      </c>
    </row>
    <row r="32" customFormat="false" ht="12.75" hidden="false" customHeight="false" outlineLevel="0" collapsed="false">
      <c r="A32" s="327" t="s">
        <v>456</v>
      </c>
      <c r="E32" s="115" t="n">
        <v>0</v>
      </c>
      <c r="F32" s="115" t="n">
        <f aca="false">Allocation!$I$12*IS!E31*7/12</f>
        <v>184.302398422839</v>
      </c>
      <c r="G32" s="115" t="n">
        <f aca="false">Allocation!$I$12*IS!F31</f>
        <v>315.946968724868</v>
      </c>
      <c r="H32" s="115" t="n">
        <f aca="false">Allocation!$I$12*IS!G31</f>
        <v>314.071454672878</v>
      </c>
      <c r="I32" s="115" t="n">
        <f aca="false">Allocation!$I$12*IS!H31</f>
        <v>305.935266106263</v>
      </c>
      <c r="J32" s="115" t="n">
        <f aca="false">Allocation!$I$12*IS!I31</f>
        <v>305.935266106263</v>
      </c>
      <c r="K32" s="115" t="n">
        <f aca="false">Allocation!$I$12*IS!J31</f>
        <v>305.935266106263</v>
      </c>
      <c r="L32" s="115" t="n">
        <f aca="false">Allocation!$I$12*IS!K31</f>
        <v>305.935266106263</v>
      </c>
      <c r="M32" s="115" t="n">
        <f aca="false">Allocation!$I$12*IS!L31</f>
        <v>305.935266106263</v>
      </c>
      <c r="N32" s="115" t="n">
        <f aca="false">Allocation!$I$12*IS!M31</f>
        <v>305.935266106263</v>
      </c>
      <c r="O32" s="115" t="n">
        <f aca="false">Allocation!$I$12*IS!N31</f>
        <v>305.935266106263</v>
      </c>
      <c r="P32" s="115" t="n">
        <f aca="false">Allocation!$I$12*IS!O31</f>
        <v>266.721714170734</v>
      </c>
      <c r="Q32" s="115" t="n">
        <f aca="false">Allocation!$I$12*IS!P31</f>
        <v>254.817999586028</v>
      </c>
      <c r="R32" s="115" t="n">
        <f aca="false">Allocation!$I$12*IS!Q31</f>
        <v>254.170442851448</v>
      </c>
      <c r="S32" s="115" t="n">
        <f aca="false">Allocation!$I$12*IS!R31</f>
        <v>248.890859504355</v>
      </c>
      <c r="T32" s="115" t="n">
        <f aca="false">Allocation!$I$12*IS!S31</f>
        <v>243.571140044704</v>
      </c>
      <c r="U32" s="115" t="n">
        <f aca="false">Allocation!$I$12*IS!T31</f>
        <v>241.013799743712</v>
      </c>
      <c r="V32" s="115" t="n">
        <f aca="false">Allocation!$I$12*IS!U31</f>
        <v>226.914548505719</v>
      </c>
      <c r="W32" s="115" t="n">
        <f aca="false">Allocation!$I$12*IS!V31</f>
        <v>205.530393357477</v>
      </c>
      <c r="X32" s="115" t="n">
        <f aca="false">Allocation!$I$12*IS!W31</f>
        <v>169.395677928892</v>
      </c>
      <c r="Y32" s="115" t="n">
        <f aca="false">Allocation!$I$12*IS!X31</f>
        <v>134.201268454077</v>
      </c>
      <c r="Z32" s="115" t="n">
        <f aca="false">Allocation!$I$12*IS!Y31</f>
        <v>134.201268454077</v>
      </c>
    </row>
    <row r="33" customFormat="false" ht="12.75" hidden="false" customHeight="false" outlineLevel="0" collapsed="false">
      <c r="A33" s="327" t="s">
        <v>114</v>
      </c>
      <c r="E33" s="115" t="n">
        <v>0</v>
      </c>
      <c r="F33" s="115" t="n">
        <v>0</v>
      </c>
      <c r="G33" s="115" t="n">
        <v>0</v>
      </c>
      <c r="H33" s="115" t="n">
        <v>0</v>
      </c>
      <c r="I33" s="102" t="n">
        <f aca="false">Assumptions!$P$50*Assumptions!$P$33*12</f>
        <v>440.65896</v>
      </c>
      <c r="J33" s="102" t="n">
        <f aca="false">Assumptions!$P$50*Assumptions!$P$33*12*(1+Assumptions!P52)</f>
        <v>453.8787288</v>
      </c>
      <c r="K33" s="102" t="n">
        <f aca="false">J33*(1+Assumptions!$P$52)</f>
        <v>467.495090664</v>
      </c>
      <c r="L33" s="102" t="n">
        <f aca="false">K33*(1+Assumptions!$P$52)</f>
        <v>481.51994338392</v>
      </c>
      <c r="M33" s="102" t="n">
        <f aca="false">L33*(1+Assumptions!$P$52)</f>
        <v>495.965541685438</v>
      </c>
      <c r="N33" s="102" t="n">
        <f aca="false">M33*(1+Assumptions!$P$52)</f>
        <v>510.844507936001</v>
      </c>
      <c r="O33" s="102" t="n">
        <f aca="false">N33*(1+Assumptions!$P$52)</f>
        <v>526.169843174081</v>
      </c>
      <c r="P33" s="102" t="n">
        <f aca="false">O33*(1+Assumptions!$P$52)</f>
        <v>541.954938469303</v>
      </c>
      <c r="Q33" s="102" t="n">
        <f aca="false">P33*(1+Assumptions!$P$52)</f>
        <v>558.213586623382</v>
      </c>
      <c r="R33" s="102" t="n">
        <f aca="false">Q33*(1+Assumptions!$P$52)</f>
        <v>574.959994222084</v>
      </c>
      <c r="S33" s="102" t="n">
        <f aca="false">R33*(1+Assumptions!$P$52)</f>
        <v>592.208794048746</v>
      </c>
      <c r="T33" s="102" t="n">
        <f aca="false">S33*(1+Assumptions!$P$52)</f>
        <v>609.975057870209</v>
      </c>
      <c r="U33" s="102" t="n">
        <f aca="false">T33*(1+Assumptions!$P$52)</f>
        <v>628.274309606315</v>
      </c>
      <c r="V33" s="102" t="n">
        <f aca="false">U33*(1+Assumptions!$P$52)</f>
        <v>647.122538894505</v>
      </c>
      <c r="W33" s="102" t="n">
        <f aca="false">V33*(1+Assumptions!$P$52)</f>
        <v>666.53621506134</v>
      </c>
      <c r="X33" s="102" t="n">
        <f aca="false">W33*(1+Assumptions!$P$52)</f>
        <v>686.53230151318</v>
      </c>
      <c r="Y33" s="102" t="n">
        <f aca="false">X33*(1+Assumptions!$P$52)</f>
        <v>707.128270558575</v>
      </c>
      <c r="Z33" s="102" t="n">
        <f aca="false">Y33*(1+Assumptions!$P$52)</f>
        <v>728.342118675333</v>
      </c>
    </row>
    <row r="34" customFormat="false" ht="12.75" hidden="false" customHeight="false" outlineLevel="0" collapsed="false">
      <c r="A34" s="327" t="s">
        <v>286</v>
      </c>
      <c r="E34" s="115" t="n">
        <v>0</v>
      </c>
      <c r="F34" s="115" t="n">
        <f aca="false">Assumptions!$P65*Assumptions!P53/12*(1+Assumptions!$P$52)</f>
        <v>90.8823529411765</v>
      </c>
      <c r="G34" s="115" t="n">
        <f aca="false">Assumptions!$P65*(1+Assumptions!$P$52)^2</f>
        <v>187.217647058824</v>
      </c>
      <c r="H34" s="417" t="n">
        <f aca="false">G34*(1+Assumptions!$P$52)</f>
        <v>192.834176470588</v>
      </c>
      <c r="I34" s="417" t="n">
        <f aca="false">H34*(1+Assumptions!$P$52)</f>
        <v>198.619201764706</v>
      </c>
      <c r="J34" s="417" t="n">
        <f aca="false">I34*(1+Assumptions!$P$52)</f>
        <v>204.577777817647</v>
      </c>
      <c r="K34" s="417" t="n">
        <f aca="false">J34*(1+Assumptions!$P$52)</f>
        <v>210.715111152176</v>
      </c>
      <c r="L34" s="417" t="n">
        <f aca="false">K34*(1+Assumptions!$P$52)</f>
        <v>217.036564486742</v>
      </c>
      <c r="M34" s="417" t="n">
        <f aca="false">L34*(1+Assumptions!$P$52)</f>
        <v>223.547661421344</v>
      </c>
      <c r="N34" s="417" t="n">
        <f aca="false">M34*(1+Assumptions!$P$52)</f>
        <v>230.254091263984</v>
      </c>
      <c r="O34" s="417" t="n">
        <f aca="false">N34*(1+Assumptions!$P$52)</f>
        <v>237.161714001904</v>
      </c>
      <c r="P34" s="417" t="n">
        <f aca="false">O34*(1+Assumptions!$P$52)</f>
        <v>244.276565421961</v>
      </c>
      <c r="Q34" s="417" t="n">
        <f aca="false">P34*(1+Assumptions!$P$52)</f>
        <v>251.60486238462</v>
      </c>
      <c r="R34" s="417" t="n">
        <f aca="false">Q34*(1+Assumptions!$P$52)</f>
        <v>259.153008256158</v>
      </c>
      <c r="S34" s="417" t="n">
        <f aca="false">R34*(1+Assumptions!$P$52)</f>
        <v>266.927598503843</v>
      </c>
      <c r="T34" s="417" t="n">
        <f aca="false">S34*(1+Assumptions!$P$52)</f>
        <v>274.935426458959</v>
      </c>
      <c r="U34" s="417" t="n">
        <f aca="false">T34*(1+Assumptions!$P$52)</f>
        <v>283.183489252727</v>
      </c>
      <c r="V34" s="417" t="n">
        <f aca="false">U34*(1+Assumptions!$P$52)</f>
        <v>291.678993930309</v>
      </c>
      <c r="W34" s="417" t="n">
        <f aca="false">V34*(1+Assumptions!$P$52)</f>
        <v>300.429363748218</v>
      </c>
      <c r="X34" s="417" t="n">
        <f aca="false">W34*(1+Assumptions!$P$52)</f>
        <v>309.442244660665</v>
      </c>
      <c r="Y34" s="417" t="n">
        <f aca="false">X34*(1+Assumptions!$P$52)</f>
        <v>318.725512000485</v>
      </c>
      <c r="Z34" s="417" t="n">
        <f aca="false">Y34*(1+Assumptions!$P$52)</f>
        <v>328.2872773605</v>
      </c>
    </row>
    <row r="35" customFormat="false" ht="12.75" hidden="false" customHeight="false" outlineLevel="0" collapsed="false">
      <c r="A35" s="327" t="s">
        <v>287</v>
      </c>
      <c r="B35" s="70"/>
      <c r="C35" s="70"/>
      <c r="D35" s="70"/>
      <c r="E35" s="375" t="n">
        <v>0</v>
      </c>
      <c r="F35" s="375" t="n">
        <f aca="false">Assumptions!$P66*Assumptions!P53/12*(1+Assumptions!$P$52)</f>
        <v>128.75</v>
      </c>
      <c r="G35" s="375" t="n">
        <f aca="false">Assumptions!$P66*(1+Assumptions!$P$52)^2</f>
        <v>265.225</v>
      </c>
      <c r="H35" s="375" t="n">
        <f aca="false">G35*(1+Assumptions!$P$52)</f>
        <v>273.18175</v>
      </c>
      <c r="I35" s="375" t="n">
        <f aca="false">H35*(1+Assumptions!$P$52)</f>
        <v>281.3772025</v>
      </c>
      <c r="J35" s="375" t="n">
        <f aca="false">I35*(1+Assumptions!$P$52)</f>
        <v>289.818518575</v>
      </c>
      <c r="K35" s="375" t="n">
        <f aca="false">J35*(1+Assumptions!$P$52)</f>
        <v>298.51307413225</v>
      </c>
      <c r="L35" s="375" t="n">
        <f aca="false">K35*(1+Assumptions!$P$52)</f>
        <v>307.468466356218</v>
      </c>
      <c r="M35" s="375" t="n">
        <f aca="false">L35*(1+Assumptions!$P$52)</f>
        <v>316.692520346904</v>
      </c>
      <c r="N35" s="375" t="n">
        <f aca="false">M35*(1+Assumptions!$P$52)</f>
        <v>326.193295957311</v>
      </c>
      <c r="O35" s="375" t="n">
        <f aca="false">N35*(1+Assumptions!$P$52)</f>
        <v>335.97909483603</v>
      </c>
      <c r="P35" s="375" t="n">
        <f aca="false">O35*(1+Assumptions!$P$52)</f>
        <v>346.058467681111</v>
      </c>
      <c r="Q35" s="375" t="n">
        <f aca="false">P35*(1+Assumptions!$P$52)</f>
        <v>356.440221711545</v>
      </c>
      <c r="R35" s="375" t="n">
        <f aca="false">Q35*(1+Assumptions!$P$52)</f>
        <v>367.133428362891</v>
      </c>
      <c r="S35" s="375" t="n">
        <f aca="false">R35*(1+Assumptions!$P$52)</f>
        <v>378.147431213778</v>
      </c>
      <c r="T35" s="375" t="n">
        <f aca="false">S35*(1+Assumptions!$P$52)</f>
        <v>389.491854150191</v>
      </c>
      <c r="U35" s="375" t="n">
        <f aca="false">T35*(1+Assumptions!$P$52)</f>
        <v>401.176609774697</v>
      </c>
      <c r="V35" s="375" t="n">
        <f aca="false">U35*(1+Assumptions!$P$52)</f>
        <v>413.211908067938</v>
      </c>
      <c r="W35" s="375" t="n">
        <f aca="false">V35*(1+Assumptions!$P$52)</f>
        <v>425.608265309976</v>
      </c>
      <c r="X35" s="375" t="n">
        <f aca="false">W35*(1+Assumptions!$P$52)</f>
        <v>438.376513269275</v>
      </c>
      <c r="Y35" s="375" t="n">
        <f aca="false">X35*(1+Assumptions!$P$52)</f>
        <v>451.527808667354</v>
      </c>
      <c r="Z35" s="375" t="n">
        <f aca="false">Y35*(1+Assumptions!$P$52)</f>
        <v>465.073642927374</v>
      </c>
    </row>
    <row r="36" customFormat="false" ht="12.75" hidden="false" customHeight="false" outlineLevel="0" collapsed="false">
      <c r="A36" s="327" t="s">
        <v>288</v>
      </c>
      <c r="B36" s="70"/>
      <c r="C36" s="70"/>
      <c r="D36" s="70"/>
      <c r="E36" s="115" t="n">
        <f aca="false">SUM(E24:E35)</f>
        <v>0</v>
      </c>
      <c r="F36" s="115" t="n">
        <f aca="false">SUM(F24:F35)</f>
        <v>4662.39334836402</v>
      </c>
      <c r="G36" s="115" t="n">
        <f aca="false">SUM(G24:G35)</f>
        <v>5990.41670448369</v>
      </c>
      <c r="H36" s="417" t="n">
        <f aca="false">SUM(H24:H35)</f>
        <v>6151.70496629447</v>
      </c>
      <c r="I36" s="115" t="n">
        <f aca="false">SUM(I24:I35)</f>
        <v>6776.2702643294</v>
      </c>
      <c r="J36" s="115" t="n">
        <f aca="false">SUM(J24:J35)</f>
        <v>6963.30999806609</v>
      </c>
      <c r="K36" s="115" t="n">
        <f aca="false">SUM(K24:K35)</f>
        <v>7155.96092381488</v>
      </c>
      <c r="L36" s="115" t="n">
        <f aca="false">SUM(L24:L35)</f>
        <v>7354.39137733614</v>
      </c>
      <c r="M36" s="115" t="n">
        <f aca="false">SUM(M24:M35)</f>
        <v>7558.77474446304</v>
      </c>
      <c r="N36" s="115" t="n">
        <f aca="false">SUM(N24:N35)</f>
        <v>7769.28961260374</v>
      </c>
      <c r="O36" s="115" t="n">
        <f aca="false">SUM(O24:O35)</f>
        <v>7986.11992678867</v>
      </c>
      <c r="P36" s="115" t="n">
        <f aca="false">SUM(P24:P35)</f>
        <v>8170.24159846361</v>
      </c>
      <c r="Q36" s="115" t="n">
        <f aca="false">SUM(Q24:Q35)</f>
        <v>8388.37316419769</v>
      </c>
      <c r="R36" s="115" t="n">
        <f aca="false">SUM(R24:R35)</f>
        <v>8624.66194619146</v>
      </c>
      <c r="S36" s="115" t="n">
        <f aca="false">SUM(S24:S35)</f>
        <v>8863.42679173457</v>
      </c>
      <c r="T36" s="115" t="n">
        <f aca="false">SUM(T24:T35)</f>
        <v>9109.47283403183</v>
      </c>
      <c r="U36" s="115" t="n">
        <f aca="false">SUM(U24:U35)</f>
        <v>9365.82222834045</v>
      </c>
      <c r="V36" s="115" t="n">
        <f aca="false">SUM(V24:V35)</f>
        <v>9618.39691375036</v>
      </c>
      <c r="W36" s="115" t="n">
        <f aca="false">SUM(W24:W35)</f>
        <v>9871.68691334945</v>
      </c>
      <c r="X36" s="115" t="n">
        <f aca="false">SUM(X24:X35)</f>
        <v>10118.4665773106</v>
      </c>
      <c r="Y36" s="115" t="n">
        <f aca="false">SUM(Y24:Y35)</f>
        <v>10374.6739786073</v>
      </c>
      <c r="Z36" s="115" t="n">
        <f aca="false">SUM(Z24:Z35)</f>
        <v>10719.2394958817</v>
      </c>
    </row>
    <row r="37" customFormat="false" ht="9" hidden="false" customHeight="false" outlineLevel="1" collapsed="false">
      <c r="A37" s="337"/>
      <c r="B37" s="654"/>
      <c r="C37" s="654"/>
      <c r="D37" s="654"/>
      <c r="E37" s="655"/>
      <c r="F37" s="656"/>
      <c r="G37" s="656"/>
      <c r="H37" s="656"/>
      <c r="I37" s="656"/>
      <c r="J37" s="656"/>
      <c r="K37" s="656"/>
      <c r="L37" s="656"/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3"/>
      <c r="AB37" s="653"/>
      <c r="AC37" s="653"/>
      <c r="AD37" s="653"/>
      <c r="AE37" s="653"/>
      <c r="AF37" s="653"/>
      <c r="AG37" s="653"/>
      <c r="AH37" s="653"/>
      <c r="AI37" s="653"/>
      <c r="AJ37" s="653"/>
      <c r="AK37" s="653"/>
      <c r="AL37" s="653"/>
      <c r="AM37" s="653"/>
      <c r="AN37" s="653"/>
      <c r="AO37" s="653"/>
      <c r="AP37" s="653"/>
      <c r="AQ37" s="653"/>
      <c r="AR37" s="653"/>
      <c r="AS37" s="653"/>
      <c r="AT37" s="653"/>
      <c r="AU37" s="653"/>
      <c r="AV37" s="653"/>
      <c r="AW37" s="653"/>
      <c r="AX37" s="653"/>
      <c r="AY37" s="653"/>
      <c r="AZ37" s="653"/>
      <c r="BA37" s="653"/>
      <c r="BB37" s="653"/>
      <c r="BC37" s="653"/>
      <c r="BD37" s="653"/>
      <c r="BE37" s="653"/>
      <c r="BF37" s="653"/>
      <c r="BG37" s="653"/>
      <c r="BH37" s="653"/>
      <c r="BI37" s="653"/>
      <c r="BJ37" s="653"/>
      <c r="BK37" s="653"/>
      <c r="BL37" s="653"/>
      <c r="BM37" s="653"/>
      <c r="BN37" s="653"/>
      <c r="BO37" s="653"/>
      <c r="BP37" s="653"/>
      <c r="BQ37" s="653"/>
      <c r="BR37" s="653"/>
      <c r="BS37" s="653"/>
      <c r="BT37" s="653"/>
      <c r="BU37" s="653"/>
      <c r="BV37" s="653"/>
      <c r="BW37" s="653"/>
      <c r="BX37" s="653"/>
      <c r="BY37" s="653"/>
      <c r="BZ37" s="653"/>
      <c r="CA37" s="653"/>
      <c r="CB37" s="653"/>
      <c r="CC37" s="653"/>
      <c r="CD37" s="653"/>
      <c r="CE37" s="653"/>
      <c r="CF37" s="653"/>
      <c r="CG37" s="653"/>
      <c r="CH37" s="653"/>
      <c r="CI37" s="653"/>
      <c r="CJ37" s="653"/>
      <c r="CK37" s="653"/>
      <c r="CL37" s="653"/>
      <c r="CM37" s="653"/>
      <c r="CN37" s="653"/>
      <c r="CO37" s="653"/>
      <c r="CP37" s="653"/>
      <c r="CQ37" s="653"/>
      <c r="CR37" s="653"/>
      <c r="CS37" s="653"/>
      <c r="CT37" s="653"/>
      <c r="CU37" s="653"/>
      <c r="CV37" s="653"/>
      <c r="CW37" s="653"/>
      <c r="CX37" s="653"/>
      <c r="CY37" s="653"/>
      <c r="CZ37" s="653"/>
      <c r="DA37" s="653"/>
      <c r="DB37" s="653"/>
      <c r="DC37" s="653"/>
      <c r="DD37" s="653"/>
      <c r="DE37" s="653"/>
      <c r="DF37" s="653"/>
      <c r="DG37" s="653"/>
      <c r="DH37" s="653"/>
      <c r="DI37" s="653"/>
      <c r="DJ37" s="653"/>
      <c r="DK37" s="653"/>
      <c r="DL37" s="653"/>
      <c r="DM37" s="653"/>
      <c r="DN37" s="653"/>
      <c r="DO37" s="653"/>
      <c r="DP37" s="653"/>
      <c r="DQ37" s="653"/>
      <c r="DR37" s="653"/>
      <c r="DS37" s="653"/>
      <c r="DT37" s="653"/>
      <c r="DU37" s="653"/>
      <c r="DV37" s="653"/>
      <c r="DW37" s="653"/>
      <c r="DX37" s="653"/>
      <c r="DY37" s="653"/>
      <c r="DZ37" s="653"/>
      <c r="EA37" s="653"/>
      <c r="EB37" s="653"/>
      <c r="EC37" s="653"/>
      <c r="ED37" s="653"/>
      <c r="EE37" s="653"/>
      <c r="EF37" s="653"/>
      <c r="EG37" s="653"/>
      <c r="EH37" s="653"/>
      <c r="EI37" s="653"/>
      <c r="EJ37" s="653"/>
      <c r="EK37" s="653"/>
      <c r="EL37" s="653"/>
      <c r="EM37" s="653"/>
      <c r="EN37" s="653"/>
      <c r="EO37" s="653"/>
      <c r="EP37" s="653"/>
      <c r="EQ37" s="653"/>
      <c r="ER37" s="653"/>
      <c r="ES37" s="653"/>
      <c r="ET37" s="653"/>
      <c r="EU37" s="653"/>
      <c r="EV37" s="653"/>
      <c r="EW37" s="653"/>
      <c r="EX37" s="653"/>
      <c r="EY37" s="653"/>
      <c r="EZ37" s="653"/>
      <c r="FA37" s="653"/>
      <c r="FB37" s="653"/>
      <c r="FC37" s="653"/>
      <c r="FD37" s="653"/>
      <c r="FE37" s="653"/>
      <c r="FF37" s="653"/>
      <c r="FG37" s="653"/>
      <c r="FH37" s="653"/>
      <c r="FI37" s="653"/>
      <c r="FJ37" s="653"/>
      <c r="FK37" s="653"/>
      <c r="FL37" s="653"/>
      <c r="FM37" s="653"/>
      <c r="FN37" s="653"/>
      <c r="FO37" s="653"/>
      <c r="FP37" s="653"/>
      <c r="FQ37" s="653"/>
      <c r="FR37" s="653"/>
      <c r="FS37" s="653"/>
      <c r="FT37" s="653"/>
      <c r="FU37" s="653"/>
      <c r="FV37" s="653"/>
      <c r="FW37" s="653"/>
      <c r="FX37" s="653"/>
      <c r="FY37" s="653"/>
      <c r="FZ37" s="653"/>
      <c r="GA37" s="653"/>
      <c r="GB37" s="653"/>
      <c r="GC37" s="653"/>
      <c r="GD37" s="653"/>
      <c r="GE37" s="653"/>
      <c r="GF37" s="653"/>
      <c r="GG37" s="653"/>
      <c r="GH37" s="653"/>
      <c r="GI37" s="653"/>
      <c r="GJ37" s="653"/>
      <c r="GK37" s="653"/>
      <c r="GL37" s="653"/>
      <c r="GM37" s="653"/>
      <c r="GN37" s="653"/>
      <c r="GO37" s="653"/>
      <c r="GP37" s="653"/>
      <c r="GQ37" s="653"/>
      <c r="GR37" s="653"/>
      <c r="GS37" s="653"/>
      <c r="GT37" s="653"/>
      <c r="GU37" s="653"/>
      <c r="GV37" s="653"/>
      <c r="GW37" s="653"/>
      <c r="GX37" s="653"/>
      <c r="GY37" s="653"/>
      <c r="GZ37" s="653"/>
      <c r="HA37" s="653"/>
      <c r="HB37" s="653"/>
      <c r="HC37" s="653"/>
      <c r="HD37" s="653"/>
      <c r="HE37" s="653"/>
      <c r="HF37" s="653"/>
      <c r="HG37" s="653"/>
      <c r="HH37" s="653"/>
      <c r="HI37" s="653"/>
      <c r="HJ37" s="653"/>
      <c r="HK37" s="653"/>
      <c r="HL37" s="653"/>
      <c r="HM37" s="653"/>
      <c r="HN37" s="653"/>
      <c r="HO37" s="653"/>
      <c r="HP37" s="653"/>
      <c r="HQ37" s="653"/>
      <c r="HR37" s="653"/>
      <c r="HS37" s="653"/>
      <c r="HT37" s="653"/>
      <c r="HU37" s="653"/>
      <c r="HV37" s="653"/>
      <c r="HW37" s="653"/>
      <c r="HX37" s="653"/>
      <c r="HY37" s="653"/>
      <c r="HZ37" s="653"/>
      <c r="IA37" s="653"/>
      <c r="IB37" s="653"/>
      <c r="IC37" s="653"/>
      <c r="ID37" s="653"/>
      <c r="IE37" s="653"/>
      <c r="IF37" s="653"/>
      <c r="IG37" s="653"/>
      <c r="IH37" s="653"/>
      <c r="II37" s="653"/>
      <c r="IJ37" s="653"/>
      <c r="IK37" s="653"/>
      <c r="IL37" s="653"/>
      <c r="IM37" s="653"/>
      <c r="IN37" s="653"/>
      <c r="IO37" s="653"/>
      <c r="IP37" s="653"/>
      <c r="IQ37" s="653"/>
      <c r="IR37" s="653"/>
      <c r="IS37" s="653"/>
      <c r="IT37" s="653"/>
      <c r="IU37" s="653"/>
      <c r="IV37" s="653"/>
      <c r="IW37" s="653"/>
    </row>
    <row r="38" customFormat="false" ht="6.75" hidden="false" customHeight="true" outlineLevel="0" collapsed="false">
      <c r="A38" s="337"/>
      <c r="B38" s="331"/>
      <c r="C38" s="331"/>
      <c r="D38" s="331"/>
      <c r="E38" s="655"/>
      <c r="F38" s="656"/>
      <c r="G38" s="656"/>
      <c r="H38" s="656"/>
      <c r="I38" s="656"/>
      <c r="J38" s="656"/>
      <c r="K38" s="656"/>
      <c r="L38" s="656"/>
      <c r="M38" s="656"/>
      <c r="N38" s="656"/>
      <c r="O38" s="656"/>
      <c r="P38" s="656"/>
      <c r="Q38" s="656"/>
      <c r="R38" s="656"/>
      <c r="S38" s="656"/>
      <c r="T38" s="656"/>
      <c r="U38" s="656"/>
      <c r="V38" s="656"/>
      <c r="W38" s="656"/>
      <c r="X38" s="656"/>
      <c r="Y38" s="656"/>
      <c r="Z38" s="656"/>
      <c r="AA38" s="653"/>
      <c r="AB38" s="653"/>
      <c r="AC38" s="653"/>
      <c r="AD38" s="653"/>
      <c r="AE38" s="653"/>
      <c r="AF38" s="653"/>
      <c r="AG38" s="653"/>
      <c r="AH38" s="653"/>
      <c r="AI38" s="653"/>
      <c r="AJ38" s="653"/>
      <c r="AK38" s="653"/>
      <c r="AL38" s="653"/>
      <c r="AM38" s="653"/>
      <c r="AN38" s="653"/>
      <c r="AO38" s="653"/>
      <c r="AP38" s="653"/>
      <c r="AQ38" s="653"/>
      <c r="AR38" s="653"/>
      <c r="AS38" s="653"/>
      <c r="AT38" s="653"/>
      <c r="AU38" s="653"/>
      <c r="AV38" s="653"/>
      <c r="AW38" s="653"/>
      <c r="AX38" s="653"/>
      <c r="AY38" s="653"/>
      <c r="AZ38" s="653"/>
      <c r="BA38" s="653"/>
      <c r="BB38" s="653"/>
      <c r="BC38" s="653"/>
      <c r="BD38" s="653"/>
      <c r="BE38" s="653"/>
      <c r="BF38" s="653"/>
      <c r="BG38" s="653"/>
      <c r="BH38" s="653"/>
      <c r="BI38" s="653"/>
      <c r="BJ38" s="653"/>
      <c r="BK38" s="653"/>
      <c r="BL38" s="653"/>
      <c r="BM38" s="653"/>
      <c r="BN38" s="653"/>
      <c r="BO38" s="653"/>
      <c r="BP38" s="653"/>
      <c r="BQ38" s="653"/>
      <c r="BR38" s="653"/>
      <c r="BS38" s="653"/>
      <c r="BT38" s="653"/>
      <c r="BU38" s="653"/>
      <c r="BV38" s="653"/>
      <c r="BW38" s="653"/>
      <c r="BX38" s="653"/>
      <c r="BY38" s="653"/>
      <c r="BZ38" s="653"/>
      <c r="CA38" s="653"/>
      <c r="CB38" s="653"/>
      <c r="CC38" s="653"/>
      <c r="CD38" s="653"/>
      <c r="CE38" s="653"/>
      <c r="CF38" s="653"/>
      <c r="CG38" s="653"/>
      <c r="CH38" s="653"/>
      <c r="CI38" s="653"/>
      <c r="CJ38" s="653"/>
      <c r="CK38" s="653"/>
      <c r="CL38" s="653"/>
      <c r="CM38" s="653"/>
      <c r="CN38" s="653"/>
      <c r="CO38" s="653"/>
      <c r="CP38" s="653"/>
      <c r="CQ38" s="653"/>
      <c r="CR38" s="653"/>
      <c r="CS38" s="653"/>
      <c r="CT38" s="653"/>
      <c r="CU38" s="653"/>
      <c r="CV38" s="653"/>
      <c r="CW38" s="653"/>
      <c r="CX38" s="653"/>
      <c r="CY38" s="653"/>
      <c r="CZ38" s="653"/>
      <c r="DA38" s="653"/>
      <c r="DB38" s="653"/>
      <c r="DC38" s="653"/>
      <c r="DD38" s="653"/>
      <c r="DE38" s="653"/>
      <c r="DF38" s="653"/>
      <c r="DG38" s="653"/>
      <c r="DH38" s="653"/>
      <c r="DI38" s="653"/>
      <c r="DJ38" s="653"/>
      <c r="DK38" s="653"/>
      <c r="DL38" s="653"/>
      <c r="DM38" s="653"/>
      <c r="DN38" s="653"/>
      <c r="DO38" s="653"/>
      <c r="DP38" s="653"/>
      <c r="DQ38" s="653"/>
      <c r="DR38" s="653"/>
      <c r="DS38" s="653"/>
      <c r="DT38" s="653"/>
      <c r="DU38" s="653"/>
      <c r="DV38" s="653"/>
      <c r="DW38" s="653"/>
      <c r="DX38" s="653"/>
      <c r="DY38" s="653"/>
      <c r="DZ38" s="653"/>
      <c r="EA38" s="653"/>
      <c r="EB38" s="653"/>
      <c r="EC38" s="653"/>
      <c r="ED38" s="653"/>
      <c r="EE38" s="653"/>
      <c r="EF38" s="653"/>
      <c r="EG38" s="653"/>
      <c r="EH38" s="653"/>
      <c r="EI38" s="653"/>
      <c r="EJ38" s="653"/>
      <c r="EK38" s="653"/>
      <c r="EL38" s="653"/>
      <c r="EM38" s="653"/>
      <c r="EN38" s="653"/>
      <c r="EO38" s="653"/>
      <c r="EP38" s="653"/>
      <c r="EQ38" s="653"/>
      <c r="ER38" s="653"/>
      <c r="ES38" s="653"/>
      <c r="ET38" s="653"/>
      <c r="EU38" s="653"/>
      <c r="EV38" s="653"/>
      <c r="EW38" s="653"/>
      <c r="EX38" s="653"/>
      <c r="EY38" s="653"/>
      <c r="EZ38" s="653"/>
      <c r="FA38" s="653"/>
      <c r="FB38" s="653"/>
      <c r="FC38" s="653"/>
      <c r="FD38" s="653"/>
      <c r="FE38" s="653"/>
      <c r="FF38" s="653"/>
      <c r="FG38" s="653"/>
      <c r="FH38" s="653"/>
      <c r="FI38" s="653"/>
      <c r="FJ38" s="653"/>
      <c r="FK38" s="653"/>
      <c r="FL38" s="653"/>
      <c r="FM38" s="653"/>
      <c r="FN38" s="653"/>
      <c r="FO38" s="653"/>
      <c r="FP38" s="653"/>
      <c r="FQ38" s="653"/>
      <c r="FR38" s="653"/>
      <c r="FS38" s="653"/>
      <c r="FT38" s="653"/>
      <c r="FU38" s="653"/>
      <c r="FV38" s="653"/>
      <c r="FW38" s="653"/>
      <c r="FX38" s="653"/>
      <c r="FY38" s="653"/>
      <c r="FZ38" s="653"/>
      <c r="GA38" s="653"/>
      <c r="GB38" s="653"/>
      <c r="GC38" s="653"/>
      <c r="GD38" s="653"/>
      <c r="GE38" s="653"/>
      <c r="GF38" s="653"/>
      <c r="GG38" s="653"/>
      <c r="GH38" s="653"/>
      <c r="GI38" s="653"/>
      <c r="GJ38" s="653"/>
      <c r="GK38" s="653"/>
      <c r="GL38" s="653"/>
      <c r="GM38" s="653"/>
      <c r="GN38" s="653"/>
      <c r="GO38" s="653"/>
      <c r="GP38" s="653"/>
      <c r="GQ38" s="653"/>
      <c r="GR38" s="653"/>
      <c r="GS38" s="653"/>
      <c r="GT38" s="653"/>
      <c r="GU38" s="653"/>
      <c r="GV38" s="653"/>
      <c r="GW38" s="653"/>
      <c r="GX38" s="653"/>
      <c r="GY38" s="653"/>
      <c r="GZ38" s="653"/>
      <c r="HA38" s="653"/>
      <c r="HB38" s="653"/>
      <c r="HC38" s="653"/>
      <c r="HD38" s="653"/>
      <c r="HE38" s="653"/>
      <c r="HF38" s="653"/>
      <c r="HG38" s="653"/>
      <c r="HH38" s="653"/>
      <c r="HI38" s="653"/>
      <c r="HJ38" s="653"/>
      <c r="HK38" s="653"/>
      <c r="HL38" s="653"/>
      <c r="HM38" s="653"/>
      <c r="HN38" s="653"/>
      <c r="HO38" s="653"/>
      <c r="HP38" s="653"/>
      <c r="HQ38" s="653"/>
      <c r="HR38" s="653"/>
      <c r="HS38" s="653"/>
      <c r="HT38" s="653"/>
      <c r="HU38" s="653"/>
      <c r="HV38" s="653"/>
      <c r="HW38" s="653"/>
      <c r="HX38" s="653"/>
      <c r="HY38" s="653"/>
      <c r="HZ38" s="653"/>
      <c r="IA38" s="653"/>
      <c r="IB38" s="653"/>
      <c r="IC38" s="653"/>
      <c r="ID38" s="653"/>
      <c r="IE38" s="653"/>
      <c r="IF38" s="653"/>
      <c r="IG38" s="653"/>
      <c r="IH38" s="653"/>
      <c r="II38" s="653"/>
      <c r="IJ38" s="653"/>
      <c r="IK38" s="653"/>
      <c r="IL38" s="653"/>
      <c r="IM38" s="653"/>
      <c r="IN38" s="653"/>
      <c r="IO38" s="653"/>
      <c r="IP38" s="653"/>
      <c r="IQ38" s="653"/>
      <c r="IR38" s="653"/>
      <c r="IS38" s="653"/>
      <c r="IT38" s="653"/>
      <c r="IU38" s="653"/>
      <c r="IV38" s="653"/>
      <c r="IW38" s="653"/>
    </row>
    <row r="39" customFormat="false" ht="12.75" hidden="false" customHeight="false" outlineLevel="0" collapsed="false">
      <c r="A39" s="323" t="s">
        <v>289</v>
      </c>
      <c r="B39" s="323"/>
      <c r="C39" s="323"/>
      <c r="D39" s="323"/>
      <c r="E39" s="422" t="n">
        <f aca="false">E20-E36</f>
        <v>0</v>
      </c>
      <c r="F39" s="422" t="n">
        <f aca="false">F20-F36</f>
        <v>10843.8274546564</v>
      </c>
      <c r="G39" s="422" t="n">
        <f aca="false">G20-G36</f>
        <v>21987.3488281815</v>
      </c>
      <c r="H39" s="657" t="n">
        <f aca="false">H20-H36</f>
        <v>21922.0438353422</v>
      </c>
      <c r="I39" s="422" t="n">
        <f aca="false">I20-I36</f>
        <v>30499.6636892346</v>
      </c>
      <c r="J39" s="422" t="n">
        <f aca="false">J20-J36</f>
        <v>30809.1845225069</v>
      </c>
      <c r="K39" s="422" t="n">
        <f aca="false">K20-K36</f>
        <v>31109.3448369598</v>
      </c>
      <c r="L39" s="422" t="n">
        <f aca="false">L20-L36</f>
        <v>31399.3044327143</v>
      </c>
      <c r="M39" s="422" t="n">
        <f aca="false">M20-M36</f>
        <v>32357.3526155404</v>
      </c>
      <c r="N39" s="422" t="n">
        <f aca="false">N20-N36</f>
        <v>32644.5956058811</v>
      </c>
      <c r="O39" s="422" t="n">
        <f aca="false">O20-O36</f>
        <v>33640.0025239021</v>
      </c>
      <c r="P39" s="422" t="n">
        <f aca="false">P20-P36</f>
        <v>33962.8263425761</v>
      </c>
      <c r="Q39" s="422" t="n">
        <f aca="false">Q20-Q36</f>
        <v>35008.6415820749</v>
      </c>
      <c r="R39" s="422" t="n">
        <f aca="false">R20-R36</f>
        <v>35286.7269395638</v>
      </c>
      <c r="S39" s="422" t="n">
        <f aca="false">S20-S36</f>
        <v>35554.2047380654</v>
      </c>
      <c r="T39" s="422" t="n">
        <f aca="false">T20-T36</f>
        <v>35805.258152557</v>
      </c>
      <c r="U39" s="422" t="n">
        <f aca="false">U20-U36</f>
        <v>36035.8258160187</v>
      </c>
      <c r="V39" s="422" t="n">
        <f aca="false">V20-V36</f>
        <v>36259.1083911658</v>
      </c>
      <c r="W39" s="422" t="n">
        <f aca="false">W20-W36</f>
        <v>36469.4522014746</v>
      </c>
      <c r="X39" s="422" t="n">
        <f aca="false">X20-X36</f>
        <v>36673.009233842</v>
      </c>
      <c r="Y39" s="422" t="n">
        <f aca="false">Y20-Y36</f>
        <v>36852.4193598747</v>
      </c>
      <c r="Z39" s="422" t="n">
        <f aca="false">Z20-Z36</f>
        <v>36926.4814125622</v>
      </c>
      <c r="AA39" s="395"/>
      <c r="AB39" s="395"/>
      <c r="AC39" s="395"/>
      <c r="AD39" s="395"/>
      <c r="AE39" s="395"/>
      <c r="AF39" s="395"/>
      <c r="AG39" s="395"/>
      <c r="AH39" s="395"/>
      <c r="AI39" s="395"/>
      <c r="AJ39" s="395"/>
      <c r="AK39" s="395"/>
      <c r="AL39" s="395"/>
      <c r="AM39" s="395"/>
      <c r="AN39" s="395"/>
      <c r="AO39" s="395"/>
      <c r="AP39" s="395"/>
      <c r="AQ39" s="395"/>
      <c r="AR39" s="395"/>
      <c r="AS39" s="395"/>
      <c r="AT39" s="395"/>
      <c r="AU39" s="395"/>
      <c r="AV39" s="395"/>
      <c r="AW39" s="395"/>
      <c r="AX39" s="395"/>
      <c r="AY39" s="395"/>
      <c r="AZ39" s="395"/>
      <c r="BA39" s="395"/>
      <c r="BB39" s="395"/>
      <c r="BC39" s="395"/>
      <c r="BD39" s="395"/>
      <c r="BE39" s="395"/>
      <c r="BF39" s="395"/>
      <c r="BG39" s="395"/>
      <c r="BH39" s="395"/>
      <c r="BI39" s="395"/>
      <c r="BJ39" s="395"/>
      <c r="BK39" s="395"/>
      <c r="BL39" s="395"/>
      <c r="BM39" s="395"/>
      <c r="BN39" s="395"/>
      <c r="BO39" s="395"/>
      <c r="BP39" s="395"/>
      <c r="BQ39" s="395"/>
      <c r="BR39" s="395"/>
      <c r="BS39" s="395"/>
      <c r="BT39" s="395"/>
      <c r="BU39" s="395"/>
      <c r="BV39" s="395"/>
      <c r="BW39" s="395"/>
      <c r="BX39" s="395"/>
      <c r="BY39" s="395"/>
      <c r="BZ39" s="395"/>
      <c r="CA39" s="395"/>
      <c r="CB39" s="395"/>
      <c r="CC39" s="395"/>
      <c r="CD39" s="395"/>
      <c r="CE39" s="395"/>
      <c r="CF39" s="395"/>
      <c r="CG39" s="395"/>
      <c r="CH39" s="395"/>
      <c r="CI39" s="395"/>
      <c r="CJ39" s="395"/>
      <c r="CK39" s="395"/>
      <c r="CL39" s="395"/>
      <c r="CM39" s="395"/>
      <c r="CN39" s="395"/>
      <c r="CO39" s="395"/>
      <c r="CP39" s="395"/>
      <c r="CQ39" s="395"/>
      <c r="CR39" s="395"/>
      <c r="CS39" s="395"/>
      <c r="CT39" s="395"/>
      <c r="CU39" s="395"/>
      <c r="CV39" s="395"/>
      <c r="CW39" s="395"/>
      <c r="CX39" s="395"/>
      <c r="CY39" s="395"/>
      <c r="CZ39" s="395"/>
      <c r="DA39" s="395"/>
      <c r="DB39" s="395"/>
      <c r="DC39" s="395"/>
      <c r="DD39" s="395"/>
      <c r="DE39" s="395"/>
      <c r="DF39" s="395"/>
      <c r="DG39" s="395"/>
      <c r="DH39" s="395"/>
      <c r="DI39" s="395"/>
      <c r="DJ39" s="395"/>
      <c r="DK39" s="395"/>
      <c r="DL39" s="395"/>
      <c r="DM39" s="395"/>
      <c r="DN39" s="395"/>
      <c r="DO39" s="395"/>
      <c r="DP39" s="395"/>
      <c r="DQ39" s="395"/>
      <c r="DR39" s="395"/>
      <c r="DS39" s="395"/>
      <c r="DT39" s="395"/>
      <c r="DU39" s="395"/>
      <c r="DV39" s="395"/>
      <c r="DW39" s="395"/>
      <c r="DX39" s="395"/>
      <c r="DY39" s="395"/>
      <c r="DZ39" s="395"/>
      <c r="EA39" s="395"/>
      <c r="EB39" s="395"/>
      <c r="EC39" s="395"/>
      <c r="ED39" s="395"/>
      <c r="EE39" s="395"/>
      <c r="EF39" s="395"/>
      <c r="EG39" s="395"/>
      <c r="EH39" s="395"/>
      <c r="EI39" s="395"/>
      <c r="EJ39" s="395"/>
      <c r="EK39" s="395"/>
      <c r="EL39" s="395"/>
      <c r="EM39" s="395"/>
      <c r="EN39" s="395"/>
      <c r="EO39" s="395"/>
      <c r="EP39" s="395"/>
      <c r="EQ39" s="395"/>
      <c r="ER39" s="395"/>
      <c r="ES39" s="395"/>
      <c r="ET39" s="395"/>
      <c r="EU39" s="395"/>
      <c r="EV39" s="395"/>
      <c r="EW39" s="395"/>
      <c r="EX39" s="395"/>
      <c r="EY39" s="395"/>
      <c r="EZ39" s="395"/>
      <c r="FA39" s="395"/>
      <c r="FB39" s="395"/>
      <c r="FC39" s="395"/>
      <c r="FD39" s="395"/>
      <c r="FE39" s="395"/>
      <c r="FF39" s="395"/>
      <c r="FG39" s="395"/>
      <c r="FH39" s="395"/>
      <c r="FI39" s="395"/>
      <c r="FJ39" s="395"/>
      <c r="FK39" s="395"/>
      <c r="FL39" s="395"/>
      <c r="FM39" s="395"/>
      <c r="FN39" s="395"/>
      <c r="FO39" s="395"/>
      <c r="FP39" s="395"/>
      <c r="FQ39" s="395"/>
      <c r="FR39" s="395"/>
      <c r="FS39" s="395"/>
      <c r="FT39" s="395"/>
      <c r="FU39" s="395"/>
      <c r="FV39" s="395"/>
      <c r="FW39" s="395"/>
      <c r="FX39" s="395"/>
      <c r="FY39" s="395"/>
      <c r="FZ39" s="395"/>
      <c r="GA39" s="395"/>
      <c r="GB39" s="395"/>
      <c r="GC39" s="395"/>
      <c r="GD39" s="395"/>
      <c r="GE39" s="395"/>
      <c r="GF39" s="395"/>
      <c r="GG39" s="395"/>
      <c r="GH39" s="395"/>
      <c r="GI39" s="395"/>
      <c r="GJ39" s="395"/>
      <c r="GK39" s="395"/>
      <c r="GL39" s="395"/>
      <c r="GM39" s="395"/>
      <c r="GN39" s="395"/>
      <c r="GO39" s="395"/>
      <c r="GP39" s="395"/>
      <c r="GQ39" s="395"/>
      <c r="GR39" s="395"/>
      <c r="GS39" s="395"/>
      <c r="GT39" s="395"/>
      <c r="GU39" s="395"/>
      <c r="GV39" s="395"/>
      <c r="GW39" s="395"/>
      <c r="GX39" s="395"/>
      <c r="GY39" s="395"/>
      <c r="GZ39" s="395"/>
      <c r="HA39" s="395"/>
      <c r="HB39" s="395"/>
      <c r="HC39" s="395"/>
      <c r="HD39" s="395"/>
      <c r="HE39" s="395"/>
      <c r="HF39" s="395"/>
      <c r="HG39" s="395"/>
      <c r="HH39" s="395"/>
      <c r="HI39" s="395"/>
      <c r="HJ39" s="395"/>
      <c r="HK39" s="395"/>
      <c r="HL39" s="395"/>
      <c r="HM39" s="395"/>
      <c r="HN39" s="395"/>
      <c r="HO39" s="395"/>
      <c r="HP39" s="395"/>
      <c r="HQ39" s="395"/>
      <c r="HR39" s="395"/>
      <c r="HS39" s="395"/>
      <c r="HT39" s="395"/>
      <c r="HU39" s="395"/>
      <c r="HV39" s="395"/>
      <c r="HW39" s="395"/>
      <c r="HX39" s="395"/>
      <c r="HY39" s="395"/>
      <c r="HZ39" s="395"/>
      <c r="IA39" s="395"/>
      <c r="IB39" s="395"/>
      <c r="IC39" s="395"/>
      <c r="ID39" s="395"/>
      <c r="IE39" s="395"/>
      <c r="IF39" s="395"/>
      <c r="IG39" s="395"/>
      <c r="IH39" s="395"/>
      <c r="II39" s="395"/>
      <c r="IJ39" s="395"/>
      <c r="IK39" s="395"/>
      <c r="IL39" s="395"/>
      <c r="IM39" s="395"/>
      <c r="IN39" s="395"/>
      <c r="IO39" s="395"/>
      <c r="IP39" s="395"/>
      <c r="IQ39" s="395"/>
      <c r="IR39" s="395"/>
      <c r="IS39" s="395"/>
      <c r="IT39" s="395"/>
      <c r="IU39" s="395"/>
      <c r="IV39" s="395"/>
      <c r="IW39" s="395"/>
    </row>
    <row r="40" customFormat="false" ht="12.75" hidden="false" customHeight="false" outlineLevel="0" collapsed="false">
      <c r="A40" s="323"/>
      <c r="B40" s="323"/>
      <c r="C40" s="323"/>
      <c r="D40" s="323"/>
      <c r="E40" s="422"/>
      <c r="F40" s="422"/>
      <c r="G40" s="422"/>
      <c r="H40" s="657"/>
      <c r="I40" s="422"/>
      <c r="J40" s="422"/>
      <c r="K40" s="422"/>
      <c r="L40" s="422"/>
      <c r="M40" s="422"/>
      <c r="N40" s="422"/>
      <c r="O40" s="422"/>
      <c r="P40" s="422"/>
      <c r="Q40" s="422"/>
      <c r="R40" s="422"/>
      <c r="S40" s="422"/>
      <c r="T40" s="422"/>
      <c r="U40" s="422"/>
      <c r="V40" s="422"/>
      <c r="W40" s="422"/>
      <c r="X40" s="422"/>
      <c r="Y40" s="422"/>
      <c r="Z40" s="422"/>
      <c r="AA40" s="395"/>
      <c r="AB40" s="395"/>
      <c r="AC40" s="395"/>
      <c r="AD40" s="395"/>
      <c r="AE40" s="395"/>
      <c r="AF40" s="395"/>
      <c r="AG40" s="395"/>
      <c r="AH40" s="395"/>
      <c r="AI40" s="395"/>
      <c r="AJ40" s="395"/>
      <c r="AK40" s="395"/>
      <c r="AL40" s="395"/>
      <c r="AM40" s="395"/>
      <c r="AN40" s="395"/>
      <c r="AO40" s="395"/>
      <c r="AP40" s="395"/>
      <c r="AQ40" s="395"/>
      <c r="AR40" s="395"/>
      <c r="AS40" s="395"/>
      <c r="AT40" s="395"/>
      <c r="AU40" s="395"/>
      <c r="AV40" s="395"/>
      <c r="AW40" s="395"/>
      <c r="AX40" s="395"/>
      <c r="AY40" s="395"/>
      <c r="AZ40" s="395"/>
      <c r="BA40" s="395"/>
      <c r="BB40" s="395"/>
      <c r="BC40" s="395"/>
      <c r="BD40" s="395"/>
      <c r="BE40" s="395"/>
      <c r="BF40" s="395"/>
      <c r="BG40" s="395"/>
      <c r="BH40" s="395"/>
      <c r="BI40" s="395"/>
      <c r="BJ40" s="395"/>
      <c r="BK40" s="395"/>
      <c r="BL40" s="395"/>
      <c r="BM40" s="395"/>
      <c r="BN40" s="395"/>
      <c r="BO40" s="395"/>
      <c r="BP40" s="395"/>
      <c r="BQ40" s="395"/>
      <c r="BR40" s="395"/>
      <c r="BS40" s="395"/>
      <c r="BT40" s="395"/>
      <c r="BU40" s="395"/>
      <c r="BV40" s="395"/>
      <c r="BW40" s="395"/>
      <c r="BX40" s="395"/>
      <c r="BY40" s="395"/>
      <c r="BZ40" s="395"/>
      <c r="CA40" s="395"/>
      <c r="CB40" s="395"/>
      <c r="CC40" s="395"/>
      <c r="CD40" s="395"/>
      <c r="CE40" s="395"/>
      <c r="CF40" s="395"/>
      <c r="CG40" s="395"/>
      <c r="CH40" s="395"/>
      <c r="CI40" s="395"/>
      <c r="CJ40" s="395"/>
      <c r="CK40" s="395"/>
      <c r="CL40" s="395"/>
      <c r="CM40" s="395"/>
      <c r="CN40" s="395"/>
      <c r="CO40" s="395"/>
      <c r="CP40" s="395"/>
      <c r="CQ40" s="395"/>
      <c r="CR40" s="395"/>
      <c r="CS40" s="395"/>
      <c r="CT40" s="395"/>
      <c r="CU40" s="395"/>
      <c r="CV40" s="395"/>
      <c r="CW40" s="395"/>
      <c r="CX40" s="395"/>
      <c r="CY40" s="395"/>
      <c r="CZ40" s="395"/>
      <c r="DA40" s="395"/>
      <c r="DB40" s="395"/>
      <c r="DC40" s="395"/>
      <c r="DD40" s="395"/>
      <c r="DE40" s="395"/>
      <c r="DF40" s="395"/>
      <c r="DG40" s="395"/>
      <c r="DH40" s="395"/>
      <c r="DI40" s="395"/>
      <c r="DJ40" s="395"/>
      <c r="DK40" s="395"/>
      <c r="DL40" s="395"/>
      <c r="DM40" s="395"/>
      <c r="DN40" s="395"/>
      <c r="DO40" s="395"/>
      <c r="DP40" s="395"/>
      <c r="DQ40" s="395"/>
      <c r="DR40" s="395"/>
      <c r="DS40" s="395"/>
      <c r="DT40" s="395"/>
      <c r="DU40" s="395"/>
      <c r="DV40" s="395"/>
      <c r="DW40" s="395"/>
      <c r="DX40" s="395"/>
      <c r="DY40" s="395"/>
      <c r="DZ40" s="395"/>
      <c r="EA40" s="395"/>
      <c r="EB40" s="395"/>
      <c r="EC40" s="395"/>
      <c r="ED40" s="395"/>
      <c r="EE40" s="395"/>
      <c r="EF40" s="395"/>
      <c r="EG40" s="395"/>
      <c r="EH40" s="395"/>
      <c r="EI40" s="395"/>
      <c r="EJ40" s="395"/>
      <c r="EK40" s="395"/>
      <c r="EL40" s="395"/>
      <c r="EM40" s="395"/>
      <c r="EN40" s="395"/>
      <c r="EO40" s="395"/>
      <c r="EP40" s="395"/>
      <c r="EQ40" s="395"/>
      <c r="ER40" s="395"/>
      <c r="ES40" s="395"/>
      <c r="ET40" s="395"/>
      <c r="EU40" s="395"/>
      <c r="EV40" s="395"/>
      <c r="EW40" s="395"/>
      <c r="EX40" s="395"/>
      <c r="EY40" s="395"/>
      <c r="EZ40" s="395"/>
      <c r="FA40" s="395"/>
      <c r="FB40" s="395"/>
      <c r="FC40" s="395"/>
      <c r="FD40" s="395"/>
      <c r="FE40" s="395"/>
      <c r="FF40" s="395"/>
      <c r="FG40" s="395"/>
      <c r="FH40" s="395"/>
      <c r="FI40" s="395"/>
      <c r="FJ40" s="395"/>
      <c r="FK40" s="395"/>
      <c r="FL40" s="395"/>
      <c r="FM40" s="395"/>
      <c r="FN40" s="395"/>
      <c r="FO40" s="395"/>
      <c r="FP40" s="395"/>
      <c r="FQ40" s="395"/>
      <c r="FR40" s="395"/>
      <c r="FS40" s="395"/>
      <c r="FT40" s="395"/>
      <c r="FU40" s="395"/>
      <c r="FV40" s="395"/>
      <c r="FW40" s="395"/>
      <c r="FX40" s="395"/>
      <c r="FY40" s="395"/>
      <c r="FZ40" s="395"/>
      <c r="GA40" s="395"/>
      <c r="GB40" s="395"/>
      <c r="GC40" s="395"/>
      <c r="GD40" s="395"/>
      <c r="GE40" s="395"/>
      <c r="GF40" s="395"/>
      <c r="GG40" s="395"/>
      <c r="GH40" s="395"/>
      <c r="GI40" s="395"/>
      <c r="GJ40" s="395"/>
      <c r="GK40" s="395"/>
      <c r="GL40" s="395"/>
      <c r="GM40" s="395"/>
      <c r="GN40" s="395"/>
      <c r="GO40" s="395"/>
      <c r="GP40" s="395"/>
      <c r="GQ40" s="395"/>
      <c r="GR40" s="395"/>
      <c r="GS40" s="395"/>
      <c r="GT40" s="395"/>
      <c r="GU40" s="395"/>
      <c r="GV40" s="395"/>
      <c r="GW40" s="395"/>
      <c r="GX40" s="395"/>
      <c r="GY40" s="395"/>
      <c r="GZ40" s="395"/>
      <c r="HA40" s="395"/>
      <c r="HB40" s="395"/>
      <c r="HC40" s="395"/>
      <c r="HD40" s="395"/>
      <c r="HE40" s="395"/>
      <c r="HF40" s="395"/>
      <c r="HG40" s="395"/>
      <c r="HH40" s="395"/>
      <c r="HI40" s="395"/>
      <c r="HJ40" s="395"/>
      <c r="HK40" s="395"/>
      <c r="HL40" s="395"/>
      <c r="HM40" s="395"/>
      <c r="HN40" s="395"/>
      <c r="HO40" s="395"/>
      <c r="HP40" s="395"/>
      <c r="HQ40" s="395"/>
      <c r="HR40" s="395"/>
      <c r="HS40" s="395"/>
      <c r="HT40" s="395"/>
      <c r="HU40" s="395"/>
      <c r="HV40" s="395"/>
      <c r="HW40" s="395"/>
      <c r="HX40" s="395"/>
      <c r="HY40" s="395"/>
      <c r="HZ40" s="395"/>
      <c r="IA40" s="395"/>
      <c r="IB40" s="395"/>
      <c r="IC40" s="395"/>
      <c r="ID40" s="395"/>
      <c r="IE40" s="395"/>
      <c r="IF40" s="395"/>
      <c r="IG40" s="395"/>
      <c r="IH40" s="395"/>
      <c r="II40" s="395"/>
      <c r="IJ40" s="395"/>
      <c r="IK40" s="395"/>
      <c r="IL40" s="395"/>
      <c r="IM40" s="395"/>
      <c r="IN40" s="395"/>
      <c r="IO40" s="395"/>
      <c r="IP40" s="395"/>
      <c r="IQ40" s="395"/>
      <c r="IR40" s="395"/>
      <c r="IS40" s="395"/>
      <c r="IT40" s="395"/>
      <c r="IU40" s="395"/>
      <c r="IV40" s="395"/>
      <c r="IW40" s="395"/>
    </row>
    <row r="41" customFormat="false" ht="12.75" hidden="false" customHeight="false" outlineLevel="0" collapsed="false">
      <c r="A41" s="327" t="s">
        <v>290</v>
      </c>
      <c r="E41" s="115" t="n">
        <v>0</v>
      </c>
      <c r="F41" s="115" t="n">
        <f aca="false">Allocation!$G$12*IS!E40</f>
        <v>5114.23490090253</v>
      </c>
      <c r="G41" s="115" t="n">
        <f aca="false">Allocation!$G$12*IS!F40</f>
        <v>7029.43485863747</v>
      </c>
      <c r="H41" s="115" t="n">
        <f aca="false">Allocation!$G$12*IS!G40</f>
        <v>7029.43485863747</v>
      </c>
      <c r="I41" s="115" t="n">
        <f aca="false">Allocation!$G$12*IS!H40</f>
        <v>7029.43485863747</v>
      </c>
      <c r="J41" s="115" t="n">
        <f aca="false">Allocation!$G$12*IS!I40</f>
        <v>7029.43485863747</v>
      </c>
      <c r="K41" s="115" t="n">
        <f aca="false">Allocation!$G$12*IS!J40</f>
        <v>7029.43485863747</v>
      </c>
      <c r="L41" s="115" t="n">
        <f aca="false">Allocation!$G$12*IS!K40</f>
        <v>7029.43485863747</v>
      </c>
      <c r="M41" s="115" t="n">
        <f aca="false">Allocation!$G$12*IS!L40</f>
        <v>7029.43485863747</v>
      </c>
      <c r="N41" s="115" t="n">
        <f aca="false">Allocation!$G$12*IS!M40</f>
        <v>7029.43485863747</v>
      </c>
      <c r="O41" s="115" t="n">
        <f aca="false">Allocation!$G$12*IS!N40</f>
        <v>7029.43485863747</v>
      </c>
      <c r="P41" s="115" t="n">
        <f aca="false">Allocation!$G$12*IS!O40</f>
        <v>7029.43485863747</v>
      </c>
      <c r="Q41" s="115" t="n">
        <f aca="false">Allocation!$G$12*IS!P40</f>
        <v>7029.43485863747</v>
      </c>
      <c r="R41" s="115" t="n">
        <f aca="false">Allocation!$G$12*IS!Q40</f>
        <v>7029.43485863747</v>
      </c>
      <c r="S41" s="115" t="n">
        <f aca="false">Allocation!$G$12*IS!R40</f>
        <v>7029.43485863747</v>
      </c>
      <c r="T41" s="115" t="n">
        <f aca="false">Allocation!$G$12*IS!S40</f>
        <v>7029.43485863747</v>
      </c>
      <c r="U41" s="115" t="n">
        <f aca="false">Allocation!$G$12*IS!T40</f>
        <v>7029.43485863747</v>
      </c>
      <c r="V41" s="115" t="n">
        <f aca="false">Allocation!$G$12*IS!U40</f>
        <v>7029.43485863747</v>
      </c>
      <c r="W41" s="115" t="n">
        <f aca="false">Allocation!$G$12*IS!V40</f>
        <v>7029.43485863747</v>
      </c>
      <c r="X41" s="115" t="n">
        <f aca="false">Allocation!$G$12*IS!W40</f>
        <v>7029.43485863747</v>
      </c>
      <c r="Y41" s="115" t="n">
        <f aca="false">Allocation!$G$12*IS!X40</f>
        <v>7029.43485863747</v>
      </c>
      <c r="Z41" s="115" t="n">
        <f aca="false">Allocation!$G$12*IS!Y40</f>
        <v>6845.48110141203</v>
      </c>
    </row>
    <row r="42" customFormat="false" ht="12.75" hidden="false" customHeight="false" outlineLevel="0" collapsed="false">
      <c r="A42" s="327"/>
      <c r="E42" s="115"/>
      <c r="F42" s="115"/>
      <c r="G42" s="115"/>
      <c r="H42" s="417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</row>
    <row r="43" customFormat="false" ht="7.5" hidden="false" customHeight="true" outlineLevel="0" collapsed="false">
      <c r="A43" s="327"/>
      <c r="E43" s="115"/>
      <c r="F43" s="115"/>
      <c r="G43" s="115"/>
      <c r="H43" s="417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</row>
    <row r="44" customFormat="false" ht="12.75" hidden="false" customHeight="false" outlineLevel="0" collapsed="false">
      <c r="A44" s="323" t="s">
        <v>291</v>
      </c>
      <c r="B44" s="323"/>
      <c r="C44" s="323"/>
      <c r="D44" s="323"/>
      <c r="E44" s="422" t="n">
        <f aca="false">E39-E41</f>
        <v>0</v>
      </c>
      <c r="F44" s="422" t="n">
        <f aca="false">F39-F41</f>
        <v>5729.59255375391</v>
      </c>
      <c r="G44" s="422" t="n">
        <f aca="false">G39-G41</f>
        <v>14957.913969544</v>
      </c>
      <c r="H44" s="422" t="n">
        <f aca="false">H39-H41</f>
        <v>14892.6089767048</v>
      </c>
      <c r="I44" s="422" t="n">
        <f aca="false">I39-I41</f>
        <v>23470.2288305971</v>
      </c>
      <c r="J44" s="422" t="n">
        <f aca="false">J39-J41</f>
        <v>23779.7496638694</v>
      </c>
      <c r="K44" s="422" t="n">
        <f aca="false">K39-K41</f>
        <v>24079.9099783223</v>
      </c>
      <c r="L44" s="422" t="n">
        <f aca="false">L39-L41</f>
        <v>24369.8695740769</v>
      </c>
      <c r="M44" s="422" t="n">
        <f aca="false">M39-M41</f>
        <v>25327.9177569029</v>
      </c>
      <c r="N44" s="422" t="n">
        <f aca="false">N39-N41</f>
        <v>25615.1607472436</v>
      </c>
      <c r="O44" s="422" t="n">
        <f aca="false">O39-O41</f>
        <v>26610.5676652647</v>
      </c>
      <c r="P44" s="422" t="n">
        <f aca="false">P39-P41</f>
        <v>26933.3914839386</v>
      </c>
      <c r="Q44" s="422" t="n">
        <f aca="false">Q39-Q41</f>
        <v>27979.2067234375</v>
      </c>
      <c r="R44" s="422" t="n">
        <f aca="false">R39-R41</f>
        <v>28257.2920809263</v>
      </c>
      <c r="S44" s="422" t="n">
        <f aca="false">S39-S41</f>
        <v>28524.7698794279</v>
      </c>
      <c r="T44" s="422" t="n">
        <f aca="false">T39-T41</f>
        <v>28775.8232939196</v>
      </c>
      <c r="U44" s="422" t="n">
        <f aca="false">U39-U41</f>
        <v>29006.3909573813</v>
      </c>
      <c r="V44" s="422" t="n">
        <f aca="false">V39-V41</f>
        <v>29229.6735325284</v>
      </c>
      <c r="W44" s="422" t="n">
        <f aca="false">W39-W41</f>
        <v>29440.0173428371</v>
      </c>
      <c r="X44" s="422" t="n">
        <f aca="false">X39-X41</f>
        <v>29643.5743752046</v>
      </c>
      <c r="Y44" s="422" t="n">
        <f aca="false">Y39-Y41</f>
        <v>29822.9845012372</v>
      </c>
      <c r="Z44" s="422" t="n">
        <f aca="false">Z39-Z41</f>
        <v>30081.0003111502</v>
      </c>
      <c r="AA44" s="395"/>
      <c r="AB44" s="395"/>
      <c r="AC44" s="395"/>
      <c r="AD44" s="395"/>
      <c r="AE44" s="395"/>
      <c r="AF44" s="395"/>
      <c r="AG44" s="395"/>
      <c r="AH44" s="395"/>
      <c r="AI44" s="395"/>
      <c r="AJ44" s="395"/>
      <c r="AK44" s="395"/>
      <c r="AL44" s="395"/>
      <c r="AM44" s="395"/>
      <c r="AN44" s="395"/>
      <c r="AO44" s="395"/>
      <c r="AP44" s="395"/>
      <c r="AQ44" s="395"/>
      <c r="AR44" s="395"/>
      <c r="AS44" s="395"/>
      <c r="AT44" s="395"/>
      <c r="AU44" s="395"/>
      <c r="AV44" s="395"/>
      <c r="AW44" s="395"/>
      <c r="AX44" s="395"/>
      <c r="AY44" s="395"/>
      <c r="AZ44" s="395"/>
      <c r="BA44" s="395"/>
      <c r="BB44" s="395"/>
      <c r="BC44" s="395"/>
      <c r="BD44" s="395"/>
      <c r="BE44" s="395"/>
      <c r="BF44" s="395"/>
      <c r="BG44" s="395"/>
      <c r="BH44" s="395"/>
      <c r="BI44" s="395"/>
      <c r="BJ44" s="395"/>
      <c r="BK44" s="395"/>
      <c r="BL44" s="395"/>
      <c r="BM44" s="395"/>
      <c r="BN44" s="395"/>
      <c r="BO44" s="395"/>
      <c r="BP44" s="395"/>
      <c r="BQ44" s="395"/>
      <c r="BR44" s="395"/>
      <c r="BS44" s="395"/>
      <c r="BT44" s="395"/>
      <c r="BU44" s="395"/>
      <c r="BV44" s="395"/>
      <c r="BW44" s="395"/>
      <c r="BX44" s="395"/>
      <c r="BY44" s="395"/>
      <c r="BZ44" s="395"/>
      <c r="CA44" s="395"/>
      <c r="CB44" s="395"/>
      <c r="CC44" s="395"/>
      <c r="CD44" s="395"/>
      <c r="CE44" s="395"/>
      <c r="CF44" s="395"/>
      <c r="CG44" s="395"/>
      <c r="CH44" s="395"/>
      <c r="CI44" s="395"/>
      <c r="CJ44" s="395"/>
      <c r="CK44" s="395"/>
      <c r="CL44" s="395"/>
      <c r="CM44" s="395"/>
      <c r="CN44" s="395"/>
      <c r="CO44" s="395"/>
      <c r="CP44" s="395"/>
      <c r="CQ44" s="395"/>
      <c r="CR44" s="395"/>
      <c r="CS44" s="395"/>
      <c r="CT44" s="395"/>
      <c r="CU44" s="395"/>
      <c r="CV44" s="395"/>
      <c r="CW44" s="395"/>
      <c r="CX44" s="395"/>
      <c r="CY44" s="395"/>
      <c r="CZ44" s="395"/>
      <c r="DA44" s="395"/>
      <c r="DB44" s="395"/>
      <c r="DC44" s="395"/>
      <c r="DD44" s="395"/>
      <c r="DE44" s="395"/>
      <c r="DF44" s="395"/>
      <c r="DG44" s="395"/>
      <c r="DH44" s="395"/>
      <c r="DI44" s="395"/>
      <c r="DJ44" s="395"/>
      <c r="DK44" s="395"/>
      <c r="DL44" s="395"/>
      <c r="DM44" s="395"/>
      <c r="DN44" s="395"/>
      <c r="DO44" s="395"/>
      <c r="DP44" s="395"/>
      <c r="DQ44" s="395"/>
      <c r="DR44" s="395"/>
      <c r="DS44" s="395"/>
      <c r="DT44" s="395"/>
      <c r="DU44" s="395"/>
      <c r="DV44" s="395"/>
      <c r="DW44" s="395"/>
      <c r="DX44" s="395"/>
      <c r="DY44" s="395"/>
      <c r="DZ44" s="395"/>
      <c r="EA44" s="395"/>
      <c r="EB44" s="395"/>
      <c r="EC44" s="395"/>
      <c r="ED44" s="395"/>
      <c r="EE44" s="395"/>
      <c r="EF44" s="395"/>
      <c r="EG44" s="395"/>
      <c r="EH44" s="395"/>
      <c r="EI44" s="395"/>
      <c r="EJ44" s="395"/>
      <c r="EK44" s="395"/>
      <c r="EL44" s="395"/>
      <c r="EM44" s="395"/>
      <c r="EN44" s="395"/>
      <c r="EO44" s="395"/>
      <c r="EP44" s="395"/>
      <c r="EQ44" s="395"/>
      <c r="ER44" s="395"/>
      <c r="ES44" s="395"/>
      <c r="ET44" s="395"/>
      <c r="EU44" s="395"/>
      <c r="EV44" s="395"/>
      <c r="EW44" s="395"/>
      <c r="EX44" s="395"/>
      <c r="EY44" s="395"/>
      <c r="EZ44" s="395"/>
      <c r="FA44" s="395"/>
      <c r="FB44" s="395"/>
      <c r="FC44" s="395"/>
      <c r="FD44" s="395"/>
      <c r="FE44" s="395"/>
      <c r="FF44" s="395"/>
      <c r="FG44" s="395"/>
      <c r="FH44" s="395"/>
      <c r="FI44" s="395"/>
      <c r="FJ44" s="395"/>
      <c r="FK44" s="395"/>
      <c r="FL44" s="395"/>
      <c r="FM44" s="395"/>
      <c r="FN44" s="395"/>
      <c r="FO44" s="395"/>
      <c r="FP44" s="395"/>
      <c r="FQ44" s="395"/>
      <c r="FR44" s="395"/>
      <c r="FS44" s="395"/>
      <c r="FT44" s="395"/>
      <c r="FU44" s="395"/>
      <c r="FV44" s="395"/>
      <c r="FW44" s="395"/>
      <c r="FX44" s="395"/>
      <c r="FY44" s="395"/>
      <c r="FZ44" s="395"/>
      <c r="GA44" s="395"/>
      <c r="GB44" s="395"/>
      <c r="GC44" s="395"/>
      <c r="GD44" s="395"/>
      <c r="GE44" s="395"/>
      <c r="GF44" s="395"/>
      <c r="GG44" s="395"/>
      <c r="GH44" s="395"/>
      <c r="GI44" s="395"/>
      <c r="GJ44" s="395"/>
      <c r="GK44" s="395"/>
      <c r="GL44" s="395"/>
      <c r="GM44" s="395"/>
      <c r="GN44" s="395"/>
      <c r="GO44" s="395"/>
      <c r="GP44" s="395"/>
      <c r="GQ44" s="395"/>
      <c r="GR44" s="395"/>
      <c r="GS44" s="395"/>
      <c r="GT44" s="395"/>
      <c r="GU44" s="395"/>
      <c r="GV44" s="395"/>
      <c r="GW44" s="395"/>
      <c r="GX44" s="395"/>
      <c r="GY44" s="395"/>
      <c r="GZ44" s="395"/>
      <c r="HA44" s="395"/>
      <c r="HB44" s="395"/>
      <c r="HC44" s="395"/>
      <c r="HD44" s="395"/>
      <c r="HE44" s="395"/>
      <c r="HF44" s="395"/>
      <c r="HG44" s="395"/>
      <c r="HH44" s="395"/>
      <c r="HI44" s="395"/>
      <c r="HJ44" s="395"/>
      <c r="HK44" s="395"/>
      <c r="HL44" s="395"/>
      <c r="HM44" s="395"/>
      <c r="HN44" s="395"/>
      <c r="HO44" s="395"/>
      <c r="HP44" s="395"/>
      <c r="HQ44" s="395"/>
      <c r="HR44" s="395"/>
      <c r="HS44" s="395"/>
      <c r="HT44" s="395"/>
      <c r="HU44" s="395"/>
      <c r="HV44" s="395"/>
      <c r="HW44" s="395"/>
      <c r="HX44" s="395"/>
      <c r="HY44" s="395"/>
      <c r="HZ44" s="395"/>
      <c r="IA44" s="395"/>
      <c r="IB44" s="395"/>
      <c r="IC44" s="395"/>
      <c r="ID44" s="395"/>
      <c r="IE44" s="395"/>
      <c r="IF44" s="395"/>
      <c r="IG44" s="395"/>
      <c r="IH44" s="395"/>
      <c r="II44" s="395"/>
      <c r="IJ44" s="395"/>
      <c r="IK44" s="395"/>
      <c r="IL44" s="395"/>
      <c r="IM44" s="395"/>
      <c r="IN44" s="395"/>
      <c r="IO44" s="395"/>
      <c r="IP44" s="395"/>
      <c r="IQ44" s="395"/>
      <c r="IR44" s="395"/>
      <c r="IS44" s="395"/>
      <c r="IT44" s="395"/>
      <c r="IU44" s="395"/>
      <c r="IV44" s="395"/>
      <c r="IW44" s="395"/>
    </row>
    <row r="45" customFormat="false" ht="12.75" hidden="false" customHeight="false" outlineLevel="0" collapsed="false">
      <c r="A45" s="323"/>
      <c r="B45" s="323"/>
      <c r="C45" s="323"/>
      <c r="D45" s="323"/>
      <c r="E45" s="422"/>
      <c r="F45" s="422"/>
      <c r="G45" s="422"/>
      <c r="H45" s="422"/>
      <c r="I45" s="422"/>
      <c r="J45" s="422"/>
      <c r="K45" s="422"/>
      <c r="L45" s="422"/>
      <c r="M45" s="422"/>
      <c r="N45" s="422"/>
      <c r="O45" s="422"/>
      <c r="P45" s="422"/>
      <c r="Q45" s="422"/>
      <c r="R45" s="422"/>
      <c r="S45" s="422"/>
      <c r="T45" s="422"/>
      <c r="U45" s="422"/>
      <c r="V45" s="422"/>
      <c r="W45" s="422"/>
      <c r="X45" s="422"/>
      <c r="Y45" s="422"/>
      <c r="Z45" s="422"/>
      <c r="AA45" s="395"/>
      <c r="AB45" s="395"/>
      <c r="AC45" s="395"/>
      <c r="AD45" s="395"/>
      <c r="AE45" s="395"/>
      <c r="AF45" s="395"/>
      <c r="AG45" s="395"/>
      <c r="AH45" s="395"/>
      <c r="AI45" s="395"/>
      <c r="AJ45" s="395"/>
      <c r="AK45" s="395"/>
      <c r="AL45" s="395"/>
      <c r="AM45" s="395"/>
      <c r="AN45" s="395"/>
      <c r="AO45" s="395"/>
      <c r="AP45" s="395"/>
      <c r="AQ45" s="395"/>
      <c r="AR45" s="395"/>
      <c r="AS45" s="395"/>
      <c r="AT45" s="395"/>
      <c r="AU45" s="395"/>
      <c r="AV45" s="395"/>
      <c r="AW45" s="395"/>
      <c r="AX45" s="395"/>
      <c r="AY45" s="395"/>
      <c r="AZ45" s="395"/>
      <c r="BA45" s="395"/>
      <c r="BB45" s="395"/>
      <c r="BC45" s="395"/>
      <c r="BD45" s="395"/>
      <c r="BE45" s="395"/>
      <c r="BF45" s="395"/>
      <c r="BG45" s="395"/>
      <c r="BH45" s="395"/>
      <c r="BI45" s="395"/>
      <c r="BJ45" s="395"/>
      <c r="BK45" s="395"/>
      <c r="BL45" s="395"/>
      <c r="BM45" s="395"/>
      <c r="BN45" s="395"/>
      <c r="BO45" s="395"/>
      <c r="BP45" s="395"/>
      <c r="BQ45" s="395"/>
      <c r="BR45" s="395"/>
      <c r="BS45" s="395"/>
      <c r="BT45" s="395"/>
      <c r="BU45" s="395"/>
      <c r="BV45" s="395"/>
      <c r="BW45" s="395"/>
      <c r="BX45" s="395"/>
      <c r="BY45" s="395"/>
      <c r="BZ45" s="395"/>
      <c r="CA45" s="395"/>
      <c r="CB45" s="395"/>
      <c r="CC45" s="395"/>
      <c r="CD45" s="395"/>
      <c r="CE45" s="395"/>
      <c r="CF45" s="395"/>
      <c r="CG45" s="395"/>
      <c r="CH45" s="395"/>
      <c r="CI45" s="395"/>
      <c r="CJ45" s="395"/>
      <c r="CK45" s="395"/>
      <c r="CL45" s="395"/>
      <c r="CM45" s="395"/>
      <c r="CN45" s="395"/>
      <c r="CO45" s="395"/>
      <c r="CP45" s="395"/>
      <c r="CQ45" s="395"/>
      <c r="CR45" s="395"/>
      <c r="CS45" s="395"/>
      <c r="CT45" s="395"/>
      <c r="CU45" s="395"/>
      <c r="CV45" s="395"/>
      <c r="CW45" s="395"/>
      <c r="CX45" s="395"/>
      <c r="CY45" s="395"/>
      <c r="CZ45" s="395"/>
      <c r="DA45" s="395"/>
      <c r="DB45" s="395"/>
      <c r="DC45" s="395"/>
      <c r="DD45" s="395"/>
      <c r="DE45" s="395"/>
      <c r="DF45" s="395"/>
      <c r="DG45" s="395"/>
      <c r="DH45" s="395"/>
      <c r="DI45" s="395"/>
      <c r="DJ45" s="395"/>
      <c r="DK45" s="395"/>
      <c r="DL45" s="395"/>
      <c r="DM45" s="395"/>
      <c r="DN45" s="395"/>
      <c r="DO45" s="395"/>
      <c r="DP45" s="395"/>
      <c r="DQ45" s="395"/>
      <c r="DR45" s="395"/>
      <c r="DS45" s="395"/>
      <c r="DT45" s="395"/>
      <c r="DU45" s="395"/>
      <c r="DV45" s="395"/>
      <c r="DW45" s="395"/>
      <c r="DX45" s="395"/>
      <c r="DY45" s="395"/>
      <c r="DZ45" s="395"/>
      <c r="EA45" s="395"/>
      <c r="EB45" s="395"/>
      <c r="EC45" s="395"/>
      <c r="ED45" s="395"/>
      <c r="EE45" s="395"/>
      <c r="EF45" s="395"/>
      <c r="EG45" s="395"/>
      <c r="EH45" s="395"/>
      <c r="EI45" s="395"/>
      <c r="EJ45" s="395"/>
      <c r="EK45" s="395"/>
      <c r="EL45" s="395"/>
      <c r="EM45" s="395"/>
      <c r="EN45" s="395"/>
      <c r="EO45" s="395"/>
      <c r="EP45" s="395"/>
      <c r="EQ45" s="395"/>
      <c r="ER45" s="395"/>
      <c r="ES45" s="395"/>
      <c r="ET45" s="395"/>
      <c r="EU45" s="395"/>
      <c r="EV45" s="395"/>
      <c r="EW45" s="395"/>
      <c r="EX45" s="395"/>
      <c r="EY45" s="395"/>
      <c r="EZ45" s="395"/>
      <c r="FA45" s="395"/>
      <c r="FB45" s="395"/>
      <c r="FC45" s="395"/>
      <c r="FD45" s="395"/>
      <c r="FE45" s="395"/>
      <c r="FF45" s="395"/>
      <c r="FG45" s="395"/>
      <c r="FH45" s="395"/>
      <c r="FI45" s="395"/>
      <c r="FJ45" s="395"/>
      <c r="FK45" s="395"/>
      <c r="FL45" s="395"/>
      <c r="FM45" s="395"/>
      <c r="FN45" s="395"/>
      <c r="FO45" s="395"/>
      <c r="FP45" s="395"/>
      <c r="FQ45" s="395"/>
      <c r="FR45" s="395"/>
      <c r="FS45" s="395"/>
      <c r="FT45" s="395"/>
      <c r="FU45" s="395"/>
      <c r="FV45" s="395"/>
      <c r="FW45" s="395"/>
      <c r="FX45" s="395"/>
      <c r="FY45" s="395"/>
      <c r="FZ45" s="395"/>
      <c r="GA45" s="395"/>
      <c r="GB45" s="395"/>
      <c r="GC45" s="395"/>
      <c r="GD45" s="395"/>
      <c r="GE45" s="395"/>
      <c r="GF45" s="395"/>
      <c r="GG45" s="395"/>
      <c r="GH45" s="395"/>
      <c r="GI45" s="395"/>
      <c r="GJ45" s="395"/>
      <c r="GK45" s="395"/>
      <c r="GL45" s="395"/>
      <c r="GM45" s="395"/>
      <c r="GN45" s="395"/>
      <c r="GO45" s="395"/>
      <c r="GP45" s="395"/>
      <c r="GQ45" s="395"/>
      <c r="GR45" s="395"/>
      <c r="GS45" s="395"/>
      <c r="GT45" s="395"/>
      <c r="GU45" s="395"/>
      <c r="GV45" s="395"/>
      <c r="GW45" s="395"/>
      <c r="GX45" s="395"/>
      <c r="GY45" s="395"/>
      <c r="GZ45" s="395"/>
      <c r="HA45" s="395"/>
      <c r="HB45" s="395"/>
      <c r="HC45" s="395"/>
      <c r="HD45" s="395"/>
      <c r="HE45" s="395"/>
      <c r="HF45" s="395"/>
      <c r="HG45" s="395"/>
      <c r="HH45" s="395"/>
      <c r="HI45" s="395"/>
      <c r="HJ45" s="395"/>
      <c r="HK45" s="395"/>
      <c r="HL45" s="395"/>
      <c r="HM45" s="395"/>
      <c r="HN45" s="395"/>
      <c r="HO45" s="395"/>
      <c r="HP45" s="395"/>
      <c r="HQ45" s="395"/>
      <c r="HR45" s="395"/>
      <c r="HS45" s="395"/>
      <c r="HT45" s="395"/>
      <c r="HU45" s="395"/>
      <c r="HV45" s="395"/>
      <c r="HW45" s="395"/>
      <c r="HX45" s="395"/>
      <c r="HY45" s="395"/>
      <c r="HZ45" s="395"/>
      <c r="IA45" s="395"/>
      <c r="IB45" s="395"/>
      <c r="IC45" s="395"/>
      <c r="ID45" s="395"/>
      <c r="IE45" s="395"/>
      <c r="IF45" s="395"/>
      <c r="IG45" s="395"/>
      <c r="IH45" s="395"/>
      <c r="II45" s="395"/>
      <c r="IJ45" s="395"/>
      <c r="IK45" s="395"/>
      <c r="IL45" s="395"/>
      <c r="IM45" s="395"/>
      <c r="IN45" s="395"/>
      <c r="IO45" s="395"/>
      <c r="IP45" s="395"/>
      <c r="IQ45" s="395"/>
      <c r="IR45" s="395"/>
      <c r="IS45" s="395"/>
      <c r="IT45" s="395"/>
      <c r="IU45" s="395"/>
      <c r="IV45" s="395"/>
      <c r="IW45" s="395"/>
    </row>
    <row r="46" customFormat="false" ht="12.75" hidden="false" customHeight="false" outlineLevel="0" collapsed="false">
      <c r="A46" s="78" t="s">
        <v>457</v>
      </c>
      <c r="B46" s="474"/>
      <c r="C46" s="474"/>
      <c r="D46" s="474"/>
      <c r="E46" s="115" t="n">
        <v>0</v>
      </c>
      <c r="F46" s="368" t="n">
        <f aca="false">Allocation!$I$12*(IS!$E$44-Debt!C136)+Debt!C136*Allocation!$K$12</f>
        <v>6186.27662954532</v>
      </c>
      <c r="G46" s="368" t="n">
        <f aca="false">Allocation!$I$12*IS!F44</f>
        <v>11350.2566353795</v>
      </c>
      <c r="H46" s="368" t="n">
        <f aca="false">Allocation!$I$12*IS!G44</f>
        <v>10975.9073175836</v>
      </c>
      <c r="I46" s="368" t="n">
        <f aca="false">Allocation!$I$12*IS!H44</f>
        <v>10607.6918382355</v>
      </c>
      <c r="J46" s="368" t="n">
        <f aca="false">Allocation!$I$12*IS!I44</f>
        <v>10365.4831802152</v>
      </c>
      <c r="K46" s="368" t="n">
        <f aca="false">Allocation!$I$12*IS!J44</f>
        <v>9957.6268849451</v>
      </c>
      <c r="L46" s="368" t="n">
        <f aca="false">Allocation!$I$12*IS!K44</f>
        <v>9510.22846458107</v>
      </c>
      <c r="M46" s="368" t="n">
        <f aca="false">Allocation!$I$12*IS!L44</f>
        <v>8993.35170128991</v>
      </c>
      <c r="N46" s="368" t="n">
        <f aca="false">Allocation!$I$12*IS!M44</f>
        <v>8401.73308424382</v>
      </c>
      <c r="O46" s="368" t="n">
        <f aca="false">Allocation!$I$12*IS!N44</f>
        <v>7683.79020733024</v>
      </c>
      <c r="P46" s="368" t="n">
        <f aca="false">Allocation!$I$12*IS!O44</f>
        <v>7049.61531124589</v>
      </c>
      <c r="Q46" s="368" t="n">
        <f aca="false">Allocation!$I$12*IS!P44</f>
        <v>6440.67067949242</v>
      </c>
      <c r="R46" s="368" t="n">
        <f aca="false">Allocation!$I$12*IS!Q44</f>
        <v>5767.94442404344</v>
      </c>
      <c r="S46" s="368" t="n">
        <f aca="false">Allocation!$I$12*IS!R44</f>
        <v>5043.15124787392</v>
      </c>
      <c r="T46" s="368" t="n">
        <f aca="false">Allocation!$I$12*IS!S44</f>
        <v>4269.12743235883</v>
      </c>
      <c r="U46" s="368" t="n">
        <f aca="false">Allocation!$I$12*IS!T44</f>
        <v>3430.80397557706</v>
      </c>
      <c r="V46" s="368" t="n">
        <f aca="false">Allocation!$I$12*IS!U44</f>
        <v>2557.58054969927</v>
      </c>
      <c r="W46" s="368" t="n">
        <f aca="false">Allocation!$I$12*IS!V44</f>
        <v>1692.34685898253</v>
      </c>
      <c r="X46" s="368" t="n">
        <f aca="false">Allocation!$I$12*IS!W44</f>
        <v>901.649699389606</v>
      </c>
      <c r="Y46" s="368" t="n">
        <f aca="false">Allocation!$I$12*IS!X44</f>
        <v>216.457840942921</v>
      </c>
      <c r="Z46" s="368" t="n">
        <v>0</v>
      </c>
    </row>
    <row r="47" customFormat="false" ht="6" hidden="false" customHeight="true" outlineLevel="0" collapsed="false">
      <c r="E47" s="115"/>
      <c r="F47" s="368"/>
      <c r="G47" s="368"/>
      <c r="H47" s="368"/>
      <c r="I47" s="368"/>
      <c r="J47" s="368"/>
      <c r="K47" s="368"/>
      <c r="L47" s="368"/>
      <c r="M47" s="368"/>
      <c r="N47" s="368"/>
      <c r="O47" s="368"/>
      <c r="P47" s="368"/>
      <c r="Q47" s="368"/>
      <c r="R47" s="368"/>
      <c r="S47" s="368"/>
      <c r="T47" s="368"/>
      <c r="U47" s="368"/>
      <c r="V47" s="368"/>
      <c r="W47" s="368"/>
      <c r="X47" s="368"/>
      <c r="Y47" s="368"/>
      <c r="Z47" s="368"/>
    </row>
    <row r="48" customFormat="false" ht="6" hidden="false" customHeight="true" outlineLevel="0" collapsed="false">
      <c r="E48" s="115"/>
      <c r="F48" s="368"/>
      <c r="G48" s="368"/>
      <c r="H48" s="368"/>
      <c r="I48" s="368"/>
      <c r="J48" s="368"/>
      <c r="K48" s="368"/>
      <c r="L48" s="368"/>
      <c r="M48" s="368"/>
      <c r="N48" s="368"/>
      <c r="O48" s="368"/>
      <c r="P48" s="368"/>
      <c r="Q48" s="368"/>
      <c r="R48" s="368"/>
      <c r="S48" s="368"/>
      <c r="T48" s="368"/>
      <c r="U48" s="368"/>
      <c r="V48" s="368"/>
      <c r="W48" s="368"/>
      <c r="X48" s="368"/>
      <c r="Y48" s="368"/>
      <c r="Z48" s="368"/>
    </row>
    <row r="49" customFormat="false" ht="12.75" hidden="false" customHeight="false" outlineLevel="0" collapsed="false">
      <c r="A49" s="323" t="s">
        <v>293</v>
      </c>
      <c r="B49" s="323"/>
      <c r="C49" s="395"/>
      <c r="D49" s="395"/>
      <c r="E49" s="422" t="n">
        <f aca="false">E44-E46</f>
        <v>0</v>
      </c>
      <c r="F49" s="422" t="n">
        <f aca="false">F44-F46</f>
        <v>-456.68407579141</v>
      </c>
      <c r="G49" s="422" t="n">
        <f aca="false">G44-G46</f>
        <v>3607.65733416453</v>
      </c>
      <c r="H49" s="422" t="n">
        <f aca="false">H44-H46</f>
        <v>3916.70165912117</v>
      </c>
      <c r="I49" s="422" t="n">
        <f aca="false">I44-I46</f>
        <v>12862.5369923617</v>
      </c>
      <c r="J49" s="422" t="n">
        <f aca="false">J44-J46</f>
        <v>13414.2664836542</v>
      </c>
      <c r="K49" s="422" t="n">
        <f aca="false">K44-K46</f>
        <v>14122.2830933772</v>
      </c>
      <c r="L49" s="422" t="n">
        <f aca="false">L44-L46</f>
        <v>14859.6411094958</v>
      </c>
      <c r="M49" s="422" t="n">
        <f aca="false">M44-M46</f>
        <v>16334.566055613</v>
      </c>
      <c r="N49" s="422" t="n">
        <f aca="false">N44-N46</f>
        <v>17213.4276629998</v>
      </c>
      <c r="O49" s="422" t="n">
        <f aca="false">O44-O46</f>
        <v>18926.7774579344</v>
      </c>
      <c r="P49" s="422" t="n">
        <f aca="false">P44-P46</f>
        <v>19883.7761726927</v>
      </c>
      <c r="Q49" s="422" t="n">
        <f aca="false">Q44-Q46</f>
        <v>21538.536043945</v>
      </c>
      <c r="R49" s="422" t="n">
        <f aca="false">R44-R46</f>
        <v>22489.3476568829</v>
      </c>
      <c r="S49" s="422" t="n">
        <f aca="false">S44-S46</f>
        <v>23481.618631554</v>
      </c>
      <c r="T49" s="422" t="n">
        <f aca="false">T44-T46</f>
        <v>24506.6958615607</v>
      </c>
      <c r="U49" s="422" t="n">
        <f aca="false">U44-U46</f>
        <v>25575.5869818042</v>
      </c>
      <c r="V49" s="422" t="n">
        <f aca="false">V44-V46</f>
        <v>26672.0929828291</v>
      </c>
      <c r="W49" s="422" t="n">
        <f aca="false">W44-W46</f>
        <v>27747.6704838546</v>
      </c>
      <c r="X49" s="422" t="n">
        <f aca="false">X44-X46</f>
        <v>28741.924675815</v>
      </c>
      <c r="Y49" s="422" t="n">
        <f aca="false">Y44-Y46</f>
        <v>29606.5266602943</v>
      </c>
      <c r="Z49" s="422" t="n">
        <f aca="false">Z44-Z46</f>
        <v>30081.0003111502</v>
      </c>
      <c r="AA49" s="395"/>
      <c r="AB49" s="395"/>
      <c r="AC49" s="395"/>
      <c r="AD49" s="395"/>
      <c r="AE49" s="395"/>
      <c r="AF49" s="395"/>
      <c r="AG49" s="395"/>
      <c r="AH49" s="395"/>
      <c r="AI49" s="395"/>
      <c r="AJ49" s="395"/>
      <c r="AK49" s="395"/>
      <c r="AL49" s="395"/>
      <c r="AM49" s="395"/>
      <c r="AN49" s="395"/>
      <c r="AO49" s="395"/>
      <c r="AP49" s="395"/>
      <c r="AQ49" s="395"/>
      <c r="AR49" s="395"/>
      <c r="AS49" s="395"/>
      <c r="AT49" s="395"/>
      <c r="AU49" s="395"/>
      <c r="AV49" s="395"/>
      <c r="AW49" s="395"/>
      <c r="AX49" s="395"/>
      <c r="AY49" s="395"/>
      <c r="AZ49" s="395"/>
      <c r="BA49" s="395"/>
      <c r="BB49" s="395"/>
      <c r="BC49" s="395"/>
      <c r="BD49" s="395"/>
      <c r="BE49" s="395"/>
      <c r="BF49" s="395"/>
      <c r="BG49" s="395"/>
      <c r="BH49" s="395"/>
      <c r="BI49" s="395"/>
      <c r="BJ49" s="395"/>
      <c r="BK49" s="395"/>
      <c r="BL49" s="395"/>
      <c r="BM49" s="395"/>
      <c r="BN49" s="395"/>
      <c r="BO49" s="395"/>
      <c r="BP49" s="395"/>
      <c r="BQ49" s="395"/>
      <c r="BR49" s="395"/>
      <c r="BS49" s="395"/>
      <c r="BT49" s="395"/>
      <c r="BU49" s="395"/>
      <c r="BV49" s="395"/>
      <c r="BW49" s="395"/>
      <c r="BX49" s="395"/>
      <c r="BY49" s="395"/>
      <c r="BZ49" s="395"/>
      <c r="CA49" s="395"/>
      <c r="CB49" s="395"/>
      <c r="CC49" s="395"/>
      <c r="CD49" s="395"/>
      <c r="CE49" s="395"/>
      <c r="CF49" s="395"/>
      <c r="CG49" s="395"/>
      <c r="CH49" s="395"/>
      <c r="CI49" s="395"/>
      <c r="CJ49" s="395"/>
      <c r="CK49" s="395"/>
      <c r="CL49" s="395"/>
      <c r="CM49" s="395"/>
      <c r="CN49" s="395"/>
      <c r="CO49" s="395"/>
      <c r="CP49" s="395"/>
      <c r="CQ49" s="395"/>
      <c r="CR49" s="395"/>
      <c r="CS49" s="395"/>
      <c r="CT49" s="395"/>
      <c r="CU49" s="395"/>
      <c r="CV49" s="395"/>
      <c r="CW49" s="395"/>
      <c r="CX49" s="395"/>
      <c r="CY49" s="395"/>
      <c r="CZ49" s="395"/>
      <c r="DA49" s="395"/>
      <c r="DB49" s="395"/>
      <c r="DC49" s="395"/>
      <c r="DD49" s="395"/>
      <c r="DE49" s="395"/>
      <c r="DF49" s="395"/>
      <c r="DG49" s="395"/>
      <c r="DH49" s="395"/>
      <c r="DI49" s="395"/>
      <c r="DJ49" s="395"/>
      <c r="DK49" s="395"/>
      <c r="DL49" s="395"/>
      <c r="DM49" s="395"/>
      <c r="DN49" s="395"/>
      <c r="DO49" s="395"/>
      <c r="DP49" s="395"/>
      <c r="DQ49" s="395"/>
      <c r="DR49" s="395"/>
      <c r="DS49" s="395"/>
      <c r="DT49" s="395"/>
      <c r="DU49" s="395"/>
      <c r="DV49" s="395"/>
      <c r="DW49" s="395"/>
      <c r="DX49" s="395"/>
      <c r="DY49" s="395"/>
      <c r="DZ49" s="395"/>
      <c r="EA49" s="395"/>
      <c r="EB49" s="395"/>
      <c r="EC49" s="395"/>
      <c r="ED49" s="395"/>
      <c r="EE49" s="395"/>
      <c r="EF49" s="395"/>
      <c r="EG49" s="395"/>
      <c r="EH49" s="395"/>
      <c r="EI49" s="395"/>
      <c r="EJ49" s="395"/>
      <c r="EK49" s="395"/>
      <c r="EL49" s="395"/>
      <c r="EM49" s="395"/>
      <c r="EN49" s="395"/>
      <c r="EO49" s="395"/>
      <c r="EP49" s="395"/>
      <c r="EQ49" s="395"/>
      <c r="ER49" s="395"/>
      <c r="ES49" s="395"/>
      <c r="ET49" s="395"/>
      <c r="EU49" s="395"/>
      <c r="EV49" s="395"/>
      <c r="EW49" s="395"/>
      <c r="EX49" s="395"/>
      <c r="EY49" s="395"/>
      <c r="EZ49" s="395"/>
      <c r="FA49" s="395"/>
      <c r="FB49" s="395"/>
      <c r="FC49" s="395"/>
      <c r="FD49" s="395"/>
      <c r="FE49" s="395"/>
      <c r="FF49" s="395"/>
      <c r="FG49" s="395"/>
      <c r="FH49" s="395"/>
      <c r="FI49" s="395"/>
      <c r="FJ49" s="395"/>
      <c r="FK49" s="395"/>
      <c r="FL49" s="395"/>
      <c r="FM49" s="395"/>
      <c r="FN49" s="395"/>
      <c r="FO49" s="395"/>
      <c r="FP49" s="395"/>
      <c r="FQ49" s="395"/>
      <c r="FR49" s="395"/>
      <c r="FS49" s="395"/>
      <c r="FT49" s="395"/>
      <c r="FU49" s="395"/>
      <c r="FV49" s="395"/>
      <c r="FW49" s="395"/>
      <c r="FX49" s="395"/>
      <c r="FY49" s="395"/>
      <c r="FZ49" s="395"/>
      <c r="GA49" s="395"/>
      <c r="GB49" s="395"/>
      <c r="GC49" s="395"/>
      <c r="GD49" s="395"/>
      <c r="GE49" s="395"/>
      <c r="GF49" s="395"/>
      <c r="GG49" s="395"/>
      <c r="GH49" s="395"/>
      <c r="GI49" s="395"/>
      <c r="GJ49" s="395"/>
      <c r="GK49" s="395"/>
      <c r="GL49" s="395"/>
      <c r="GM49" s="395"/>
      <c r="GN49" s="395"/>
      <c r="GO49" s="395"/>
      <c r="GP49" s="395"/>
      <c r="GQ49" s="395"/>
      <c r="GR49" s="395"/>
      <c r="GS49" s="395"/>
      <c r="GT49" s="395"/>
      <c r="GU49" s="395"/>
      <c r="GV49" s="395"/>
      <c r="GW49" s="395"/>
      <c r="GX49" s="395"/>
      <c r="GY49" s="395"/>
      <c r="GZ49" s="395"/>
      <c r="HA49" s="395"/>
      <c r="HB49" s="395"/>
      <c r="HC49" s="395"/>
      <c r="HD49" s="395"/>
      <c r="HE49" s="395"/>
      <c r="HF49" s="395"/>
      <c r="HG49" s="395"/>
      <c r="HH49" s="395"/>
      <c r="HI49" s="395"/>
      <c r="HJ49" s="395"/>
      <c r="HK49" s="395"/>
      <c r="HL49" s="395"/>
      <c r="HM49" s="395"/>
      <c r="HN49" s="395"/>
      <c r="HO49" s="395"/>
      <c r="HP49" s="395"/>
      <c r="HQ49" s="395"/>
      <c r="HR49" s="395"/>
      <c r="HS49" s="395"/>
      <c r="HT49" s="395"/>
      <c r="HU49" s="395"/>
      <c r="HV49" s="395"/>
      <c r="HW49" s="395"/>
      <c r="HX49" s="395"/>
      <c r="HY49" s="395"/>
      <c r="HZ49" s="395"/>
      <c r="IA49" s="395"/>
      <c r="IB49" s="395"/>
      <c r="IC49" s="395"/>
      <c r="ID49" s="395"/>
      <c r="IE49" s="395"/>
      <c r="IF49" s="395"/>
      <c r="IG49" s="395"/>
      <c r="IH49" s="395"/>
      <c r="II49" s="395"/>
      <c r="IJ49" s="395"/>
      <c r="IK49" s="395"/>
      <c r="IL49" s="395"/>
      <c r="IM49" s="395"/>
      <c r="IN49" s="395"/>
      <c r="IO49" s="395"/>
      <c r="IP49" s="395"/>
      <c r="IQ49" s="395"/>
      <c r="IR49" s="395"/>
      <c r="IS49" s="395"/>
      <c r="IT49" s="395"/>
      <c r="IU49" s="395"/>
      <c r="IV49" s="395"/>
      <c r="IW49" s="395"/>
    </row>
    <row r="50" customFormat="false" ht="12.75" hidden="false" customHeight="false" outlineLevel="0" collapsed="false">
      <c r="A50" s="323"/>
      <c r="B50" s="323"/>
      <c r="C50" s="395"/>
      <c r="D50" s="395"/>
      <c r="E50" s="422"/>
      <c r="F50" s="422"/>
      <c r="G50" s="422"/>
      <c r="H50" s="422"/>
      <c r="I50" s="422"/>
      <c r="J50" s="422"/>
      <c r="K50" s="422"/>
      <c r="L50" s="422"/>
      <c r="M50" s="422"/>
      <c r="N50" s="422"/>
      <c r="O50" s="422"/>
      <c r="P50" s="422"/>
      <c r="Q50" s="422"/>
      <c r="R50" s="422"/>
      <c r="S50" s="422"/>
      <c r="T50" s="422"/>
      <c r="U50" s="422"/>
      <c r="V50" s="422"/>
      <c r="W50" s="422"/>
      <c r="X50" s="422"/>
      <c r="Y50" s="422"/>
      <c r="Z50" s="422"/>
      <c r="AA50" s="395"/>
      <c r="AB50" s="395"/>
      <c r="AC50" s="395"/>
      <c r="AD50" s="395"/>
      <c r="AE50" s="395"/>
      <c r="AF50" s="395"/>
      <c r="AG50" s="395"/>
      <c r="AH50" s="395"/>
      <c r="AI50" s="395"/>
      <c r="AJ50" s="395"/>
      <c r="AK50" s="395"/>
      <c r="AL50" s="395"/>
      <c r="AM50" s="395"/>
      <c r="AN50" s="395"/>
      <c r="AO50" s="395"/>
      <c r="AP50" s="395"/>
      <c r="AQ50" s="395"/>
      <c r="AR50" s="395"/>
      <c r="AS50" s="395"/>
      <c r="AT50" s="395"/>
      <c r="AU50" s="395"/>
      <c r="AV50" s="395"/>
      <c r="AW50" s="395"/>
      <c r="AX50" s="395"/>
      <c r="AY50" s="395"/>
      <c r="AZ50" s="395"/>
      <c r="BA50" s="395"/>
      <c r="BB50" s="395"/>
      <c r="BC50" s="395"/>
      <c r="BD50" s="395"/>
      <c r="BE50" s="395"/>
      <c r="BF50" s="395"/>
      <c r="BG50" s="395"/>
      <c r="BH50" s="395"/>
      <c r="BI50" s="395"/>
      <c r="BJ50" s="395"/>
      <c r="BK50" s="395"/>
      <c r="BL50" s="395"/>
      <c r="BM50" s="395"/>
      <c r="BN50" s="395"/>
      <c r="BO50" s="395"/>
      <c r="BP50" s="395"/>
      <c r="BQ50" s="395"/>
      <c r="BR50" s="395"/>
      <c r="BS50" s="395"/>
      <c r="BT50" s="395"/>
      <c r="BU50" s="395"/>
      <c r="BV50" s="395"/>
      <c r="BW50" s="395"/>
      <c r="BX50" s="395"/>
      <c r="BY50" s="395"/>
      <c r="BZ50" s="395"/>
      <c r="CA50" s="395"/>
      <c r="CB50" s="395"/>
      <c r="CC50" s="395"/>
      <c r="CD50" s="395"/>
      <c r="CE50" s="395"/>
      <c r="CF50" s="395"/>
      <c r="CG50" s="395"/>
      <c r="CH50" s="395"/>
      <c r="CI50" s="395"/>
      <c r="CJ50" s="395"/>
      <c r="CK50" s="395"/>
      <c r="CL50" s="395"/>
      <c r="CM50" s="395"/>
      <c r="CN50" s="395"/>
      <c r="CO50" s="395"/>
      <c r="CP50" s="395"/>
      <c r="CQ50" s="395"/>
      <c r="CR50" s="395"/>
      <c r="CS50" s="395"/>
      <c r="CT50" s="395"/>
      <c r="CU50" s="395"/>
      <c r="CV50" s="395"/>
      <c r="CW50" s="395"/>
      <c r="CX50" s="395"/>
      <c r="CY50" s="395"/>
      <c r="CZ50" s="395"/>
      <c r="DA50" s="395"/>
      <c r="DB50" s="395"/>
      <c r="DC50" s="395"/>
      <c r="DD50" s="395"/>
      <c r="DE50" s="395"/>
      <c r="DF50" s="395"/>
      <c r="DG50" s="395"/>
      <c r="DH50" s="395"/>
      <c r="DI50" s="395"/>
      <c r="DJ50" s="395"/>
      <c r="DK50" s="395"/>
      <c r="DL50" s="395"/>
      <c r="DM50" s="395"/>
      <c r="DN50" s="395"/>
      <c r="DO50" s="395"/>
      <c r="DP50" s="395"/>
      <c r="DQ50" s="395"/>
      <c r="DR50" s="395"/>
      <c r="DS50" s="395"/>
      <c r="DT50" s="395"/>
      <c r="DU50" s="395"/>
      <c r="DV50" s="395"/>
      <c r="DW50" s="395"/>
      <c r="DX50" s="395"/>
      <c r="DY50" s="395"/>
      <c r="DZ50" s="395"/>
      <c r="EA50" s="395"/>
      <c r="EB50" s="395"/>
      <c r="EC50" s="395"/>
      <c r="ED50" s="395"/>
      <c r="EE50" s="395"/>
      <c r="EF50" s="395"/>
      <c r="EG50" s="395"/>
      <c r="EH50" s="395"/>
      <c r="EI50" s="395"/>
      <c r="EJ50" s="395"/>
      <c r="EK50" s="395"/>
      <c r="EL50" s="395"/>
      <c r="EM50" s="395"/>
      <c r="EN50" s="395"/>
      <c r="EO50" s="395"/>
      <c r="EP50" s="395"/>
      <c r="EQ50" s="395"/>
      <c r="ER50" s="395"/>
      <c r="ES50" s="395"/>
      <c r="ET50" s="395"/>
      <c r="EU50" s="395"/>
      <c r="EV50" s="395"/>
      <c r="EW50" s="395"/>
      <c r="EX50" s="395"/>
      <c r="EY50" s="395"/>
      <c r="EZ50" s="395"/>
      <c r="FA50" s="395"/>
      <c r="FB50" s="395"/>
      <c r="FC50" s="395"/>
      <c r="FD50" s="395"/>
      <c r="FE50" s="395"/>
      <c r="FF50" s="395"/>
      <c r="FG50" s="395"/>
      <c r="FH50" s="395"/>
      <c r="FI50" s="395"/>
      <c r="FJ50" s="395"/>
      <c r="FK50" s="395"/>
      <c r="FL50" s="395"/>
      <c r="FM50" s="395"/>
      <c r="FN50" s="395"/>
      <c r="FO50" s="395"/>
      <c r="FP50" s="395"/>
      <c r="FQ50" s="395"/>
      <c r="FR50" s="395"/>
      <c r="FS50" s="395"/>
      <c r="FT50" s="395"/>
      <c r="FU50" s="395"/>
      <c r="FV50" s="395"/>
      <c r="FW50" s="395"/>
      <c r="FX50" s="395"/>
      <c r="FY50" s="395"/>
      <c r="FZ50" s="395"/>
      <c r="GA50" s="395"/>
      <c r="GB50" s="395"/>
      <c r="GC50" s="395"/>
      <c r="GD50" s="395"/>
      <c r="GE50" s="395"/>
      <c r="GF50" s="395"/>
      <c r="GG50" s="395"/>
      <c r="GH50" s="395"/>
      <c r="GI50" s="395"/>
      <c r="GJ50" s="395"/>
      <c r="GK50" s="395"/>
      <c r="GL50" s="395"/>
      <c r="GM50" s="395"/>
      <c r="GN50" s="395"/>
      <c r="GO50" s="395"/>
      <c r="GP50" s="395"/>
      <c r="GQ50" s="395"/>
      <c r="GR50" s="395"/>
      <c r="GS50" s="395"/>
      <c r="GT50" s="395"/>
      <c r="GU50" s="395"/>
      <c r="GV50" s="395"/>
      <c r="GW50" s="395"/>
      <c r="GX50" s="395"/>
      <c r="GY50" s="395"/>
      <c r="GZ50" s="395"/>
      <c r="HA50" s="395"/>
      <c r="HB50" s="395"/>
      <c r="HC50" s="395"/>
      <c r="HD50" s="395"/>
      <c r="HE50" s="395"/>
      <c r="HF50" s="395"/>
      <c r="HG50" s="395"/>
      <c r="HH50" s="395"/>
      <c r="HI50" s="395"/>
      <c r="HJ50" s="395"/>
      <c r="HK50" s="395"/>
      <c r="HL50" s="395"/>
      <c r="HM50" s="395"/>
      <c r="HN50" s="395"/>
      <c r="HO50" s="395"/>
      <c r="HP50" s="395"/>
      <c r="HQ50" s="395"/>
      <c r="HR50" s="395"/>
      <c r="HS50" s="395"/>
      <c r="HT50" s="395"/>
      <c r="HU50" s="395"/>
      <c r="HV50" s="395"/>
      <c r="HW50" s="395"/>
      <c r="HX50" s="395"/>
      <c r="HY50" s="395"/>
      <c r="HZ50" s="395"/>
      <c r="IA50" s="395"/>
      <c r="IB50" s="395"/>
      <c r="IC50" s="395"/>
      <c r="ID50" s="395"/>
      <c r="IE50" s="395"/>
      <c r="IF50" s="395"/>
      <c r="IG50" s="395"/>
      <c r="IH50" s="395"/>
      <c r="II50" s="395"/>
      <c r="IJ50" s="395"/>
      <c r="IK50" s="395"/>
      <c r="IL50" s="395"/>
      <c r="IM50" s="395"/>
      <c r="IN50" s="395"/>
      <c r="IO50" s="395"/>
      <c r="IP50" s="395"/>
      <c r="IQ50" s="395"/>
      <c r="IR50" s="395"/>
      <c r="IS50" s="395"/>
      <c r="IT50" s="395"/>
      <c r="IU50" s="395"/>
      <c r="IV50" s="395"/>
      <c r="IW50" s="395"/>
    </row>
    <row r="51" customFormat="false" ht="12.75" hidden="false" customHeight="false" outlineLevel="0" collapsed="false">
      <c r="A51" s="327" t="s">
        <v>294</v>
      </c>
      <c r="C51" s="659" t="n">
        <f aca="false">Assumptions!$P$44</f>
        <v>0.0825</v>
      </c>
      <c r="D51" s="659"/>
      <c r="E51" s="115" t="n">
        <f aca="false">E49*-$C$51</f>
        <v>-0</v>
      </c>
      <c r="F51" s="115" t="n">
        <f aca="false">F49*-$C$51</f>
        <v>37.6764362527913</v>
      </c>
      <c r="G51" s="115" t="n">
        <f aca="false">G49*-$C$51</f>
        <v>-297.631730068574</v>
      </c>
      <c r="H51" s="417" t="n">
        <f aca="false">H49*-$C$51</f>
        <v>-323.127886877497</v>
      </c>
      <c r="I51" s="115" t="n">
        <f aca="false">I49*-$C$51</f>
        <v>-1061.15930186984</v>
      </c>
      <c r="J51" s="115" t="n">
        <f aca="false">J49*-$C$51</f>
        <v>-1106.67698490147</v>
      </c>
      <c r="K51" s="115" t="n">
        <f aca="false">K49*-$C$51</f>
        <v>-1165.08835520362</v>
      </c>
      <c r="L51" s="115" t="n">
        <f aca="false">L49*-$C$51</f>
        <v>-1225.9203915334</v>
      </c>
      <c r="M51" s="115" t="n">
        <f aca="false">M49*-$C$51</f>
        <v>-1347.60169958807</v>
      </c>
      <c r="N51" s="115" t="n">
        <f aca="false">N49*-$C$51</f>
        <v>-1420.10778219748</v>
      </c>
      <c r="O51" s="115" t="n">
        <f aca="false">O49*-$C$51</f>
        <v>-1561.45914027959</v>
      </c>
      <c r="P51" s="115" t="n">
        <f aca="false">P49*-$C$51</f>
        <v>-1640.41153424715</v>
      </c>
      <c r="Q51" s="115" t="n">
        <f aca="false">Q49*-$C$51</f>
        <v>-1776.92922362547</v>
      </c>
      <c r="R51" s="115" t="n">
        <f aca="false">R49*-$C$51</f>
        <v>-1855.37118169284</v>
      </c>
      <c r="S51" s="115" t="n">
        <f aca="false">S49*-$C$51</f>
        <v>-1937.23353710321</v>
      </c>
      <c r="T51" s="115" t="n">
        <f aca="false">T49*-$C$51</f>
        <v>-2021.80240857876</v>
      </c>
      <c r="U51" s="115" t="n">
        <f aca="false">U49*-$C$51</f>
        <v>-2109.98592599885</v>
      </c>
      <c r="V51" s="115" t="n">
        <f aca="false">V49*-$C$51</f>
        <v>-2200.4476710834</v>
      </c>
      <c r="W51" s="115" t="n">
        <f aca="false">W49*-$C$51</f>
        <v>-2289.182814918</v>
      </c>
      <c r="X51" s="115" t="n">
        <f aca="false">X49*-$C$51</f>
        <v>-2371.20878575474</v>
      </c>
      <c r="Y51" s="115" t="n">
        <f aca="false">Y49*-$C$51</f>
        <v>-2442.53844947428</v>
      </c>
      <c r="Z51" s="115" t="n">
        <f aca="false">Z49*-$C$51</f>
        <v>-2481.68252566989</v>
      </c>
    </row>
    <row r="52" customFormat="false" ht="12.75" hidden="false" customHeight="false" outlineLevel="0" collapsed="false">
      <c r="A52" s="327" t="s">
        <v>295</v>
      </c>
      <c r="C52" s="659" t="n">
        <f aca="false">Assumptions!$P$43</f>
        <v>0.35</v>
      </c>
      <c r="D52" s="659"/>
      <c r="E52" s="660" t="n">
        <v>0</v>
      </c>
      <c r="F52" s="660" t="n">
        <f aca="false">(F49+F51)*-$C$52</f>
        <v>146.652673838516</v>
      </c>
      <c r="G52" s="660" t="n">
        <f aca="false">(G49+G51)*-$C$52</f>
        <v>-1158.50896143359</v>
      </c>
      <c r="H52" s="660" t="n">
        <f aca="false">(H49+H51)*-$C$52</f>
        <v>-1257.75082028529</v>
      </c>
      <c r="I52" s="660" t="n">
        <f aca="false">(I49+I51)*-$C$52</f>
        <v>-4130.48219167214</v>
      </c>
      <c r="J52" s="660" t="n">
        <f aca="false">(J49+J51)*-$C$52</f>
        <v>-4307.65632456345</v>
      </c>
      <c r="K52" s="660" t="n">
        <f aca="false">(K49+K51)*-$C$52</f>
        <v>-4535.01815836076</v>
      </c>
      <c r="L52" s="660" t="n">
        <f aca="false">(L49+L51)*-$C$52</f>
        <v>-4771.80225128684</v>
      </c>
      <c r="M52" s="660" t="n">
        <f aca="false">(M49+M51)*-$C$52</f>
        <v>-5245.43752460872</v>
      </c>
      <c r="N52" s="660" t="n">
        <f aca="false">(N49+N51)*-$C$52</f>
        <v>-5527.66195828081</v>
      </c>
      <c r="O52" s="660" t="n">
        <f aca="false">(O49+O51)*-$C$52</f>
        <v>-6077.86141117919</v>
      </c>
      <c r="P52" s="660" t="n">
        <f aca="false">(P49+P51)*-$C$52</f>
        <v>-6385.17762345595</v>
      </c>
      <c r="Q52" s="660" t="n">
        <f aca="false">(Q49+Q51)*-$C$52</f>
        <v>-6916.56238711185</v>
      </c>
      <c r="R52" s="660" t="n">
        <f aca="false">(R49+R51)*-$C$52</f>
        <v>-7221.89176631651</v>
      </c>
      <c r="S52" s="660" t="n">
        <f aca="false">(S49+S51)*-$C$52</f>
        <v>-7540.53478305778</v>
      </c>
      <c r="T52" s="660" t="n">
        <f aca="false">(T49+T51)*-$C$52</f>
        <v>-7869.71270854369</v>
      </c>
      <c r="U52" s="660" t="n">
        <f aca="false">(U49+U51)*-$C$52</f>
        <v>-8212.96036953188</v>
      </c>
      <c r="V52" s="660" t="n">
        <f aca="false">(V49+V51)*-$C$52</f>
        <v>-8565.07585911099</v>
      </c>
      <c r="W52" s="660" t="n">
        <f aca="false">(W49+W51)*-$C$52</f>
        <v>-8910.47068412781</v>
      </c>
      <c r="X52" s="660" t="n">
        <f aca="false">(X49+X51)*-$C$52</f>
        <v>-9229.75056152108</v>
      </c>
      <c r="Y52" s="660" t="n">
        <f aca="false">(Y49+Y51)*-$C$52</f>
        <v>-9507.395873787</v>
      </c>
      <c r="Z52" s="660" t="n">
        <f aca="false">(Z49+Z51)*-$C$52</f>
        <v>-9659.76122491811</v>
      </c>
    </row>
    <row r="53" customFormat="false" ht="6" hidden="false" customHeight="true" outlineLevel="0" collapsed="false"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</row>
    <row r="54" customFormat="false" ht="15.75" hidden="false" customHeight="false" outlineLevel="0" collapsed="false">
      <c r="A54" s="344" t="s">
        <v>474</v>
      </c>
      <c r="B54" s="344"/>
      <c r="C54" s="344"/>
      <c r="D54" s="344"/>
      <c r="E54" s="661" t="n">
        <f aca="false">SUM(E49:E52)</f>
        <v>0</v>
      </c>
      <c r="F54" s="661" t="n">
        <f aca="false">SUM(F49:F52)</f>
        <v>-272.354965700102</v>
      </c>
      <c r="G54" s="661" t="n">
        <f aca="false">SUM(G49:G52)</f>
        <v>2151.51664266237</v>
      </c>
      <c r="H54" s="661" t="n">
        <f aca="false">SUM(H49:H52)</f>
        <v>2335.82295195839</v>
      </c>
      <c r="I54" s="661" t="n">
        <f aca="false">SUM(I49:I52)</f>
        <v>7670.89549881969</v>
      </c>
      <c r="J54" s="661" t="n">
        <f aca="false">SUM(J49:J52)</f>
        <v>7999.93317418927</v>
      </c>
      <c r="K54" s="661" t="n">
        <f aca="false">SUM(K49:K52)</f>
        <v>8422.17657981285</v>
      </c>
      <c r="L54" s="661" t="n">
        <f aca="false">SUM(L49:L52)</f>
        <v>8861.91846667555</v>
      </c>
      <c r="M54" s="661" t="n">
        <f aca="false">SUM(M49:M52)</f>
        <v>9741.5268314162</v>
      </c>
      <c r="N54" s="661" t="n">
        <f aca="false">SUM(N49:N52)</f>
        <v>10265.6579225215</v>
      </c>
      <c r="O54" s="661" t="n">
        <f aca="false">SUM(O49:O52)</f>
        <v>11287.4569064756</v>
      </c>
      <c r="P54" s="661" t="n">
        <f aca="false">SUM(P49:P52)</f>
        <v>11858.1870149896</v>
      </c>
      <c r="Q54" s="661" t="n">
        <f aca="false">SUM(Q49:Q52)</f>
        <v>12845.0444332077</v>
      </c>
      <c r="R54" s="661" t="n">
        <f aca="false">SUM(R49:R52)</f>
        <v>13412.0847088735</v>
      </c>
      <c r="S54" s="661" t="n">
        <f aca="false">SUM(S49:S52)</f>
        <v>14003.850311393</v>
      </c>
      <c r="T54" s="661" t="n">
        <f aca="false">SUM(T49:T52)</f>
        <v>14615.1807444383</v>
      </c>
      <c r="U54" s="661" t="n">
        <f aca="false">SUM(U49:U52)</f>
        <v>15252.6406862735</v>
      </c>
      <c r="V54" s="661" t="n">
        <f aca="false">SUM(V49:V52)</f>
        <v>15906.5694526347</v>
      </c>
      <c r="W54" s="661" t="n">
        <f aca="false">SUM(W49:W52)</f>
        <v>16548.0169848088</v>
      </c>
      <c r="X54" s="661" t="n">
        <f aca="false">SUM(X49:X52)</f>
        <v>17140.9653285392</v>
      </c>
      <c r="Y54" s="661" t="n">
        <f aca="false">SUM(Y49:Y52)</f>
        <v>17656.592337033</v>
      </c>
      <c r="Z54" s="661" t="n">
        <f aca="false">SUM(Z49:Z52)</f>
        <v>17939.5565605622</v>
      </c>
      <c r="AA54" s="662"/>
      <c r="AB54" s="662"/>
      <c r="AC54" s="662"/>
      <c r="AD54" s="662"/>
      <c r="AE54" s="662"/>
      <c r="AF54" s="662"/>
      <c r="AG54" s="662"/>
      <c r="AH54" s="662"/>
      <c r="AI54" s="662"/>
      <c r="AJ54" s="662"/>
      <c r="AK54" s="662"/>
      <c r="AL54" s="662"/>
      <c r="AM54" s="662"/>
      <c r="AN54" s="662"/>
      <c r="AO54" s="662"/>
      <c r="AP54" s="662"/>
      <c r="AQ54" s="662"/>
      <c r="AR54" s="662"/>
      <c r="AS54" s="662"/>
      <c r="AT54" s="662"/>
      <c r="AU54" s="662"/>
      <c r="AV54" s="662"/>
      <c r="AW54" s="662"/>
      <c r="AX54" s="662"/>
      <c r="AY54" s="662"/>
      <c r="AZ54" s="662"/>
      <c r="BA54" s="662"/>
      <c r="BB54" s="662"/>
      <c r="BC54" s="662"/>
      <c r="BD54" s="662"/>
      <c r="BE54" s="662"/>
      <c r="BF54" s="662"/>
      <c r="BG54" s="662"/>
      <c r="BH54" s="662"/>
      <c r="BI54" s="662"/>
      <c r="BJ54" s="662"/>
      <c r="BK54" s="662"/>
      <c r="BL54" s="662"/>
      <c r="BM54" s="662"/>
      <c r="BN54" s="662"/>
      <c r="BO54" s="662"/>
      <c r="BP54" s="662"/>
      <c r="BQ54" s="662"/>
      <c r="BR54" s="662"/>
      <c r="BS54" s="662"/>
      <c r="BT54" s="662"/>
      <c r="BU54" s="662"/>
      <c r="BV54" s="662"/>
      <c r="BW54" s="662"/>
      <c r="BX54" s="662"/>
      <c r="BY54" s="662"/>
      <c r="BZ54" s="662"/>
      <c r="CA54" s="662"/>
      <c r="CB54" s="662"/>
      <c r="CC54" s="662"/>
      <c r="CD54" s="662"/>
      <c r="CE54" s="662"/>
      <c r="CF54" s="662"/>
      <c r="CG54" s="662"/>
      <c r="CH54" s="662"/>
      <c r="CI54" s="662"/>
      <c r="CJ54" s="662"/>
      <c r="CK54" s="662"/>
      <c r="CL54" s="662"/>
      <c r="CM54" s="662"/>
      <c r="CN54" s="662"/>
      <c r="CO54" s="662"/>
      <c r="CP54" s="662"/>
      <c r="CQ54" s="662"/>
      <c r="CR54" s="662"/>
      <c r="CS54" s="662"/>
      <c r="CT54" s="662"/>
      <c r="CU54" s="662"/>
      <c r="CV54" s="662"/>
      <c r="CW54" s="662"/>
      <c r="CX54" s="662"/>
      <c r="CY54" s="662"/>
      <c r="CZ54" s="662"/>
      <c r="DA54" s="662"/>
      <c r="DB54" s="662"/>
      <c r="DC54" s="662"/>
      <c r="DD54" s="662"/>
      <c r="DE54" s="662"/>
      <c r="DF54" s="662"/>
      <c r="DG54" s="662"/>
      <c r="DH54" s="662"/>
      <c r="DI54" s="662"/>
      <c r="DJ54" s="662"/>
      <c r="DK54" s="662"/>
      <c r="DL54" s="662"/>
      <c r="DM54" s="662"/>
      <c r="DN54" s="662"/>
      <c r="DO54" s="662"/>
      <c r="DP54" s="662"/>
      <c r="DQ54" s="662"/>
      <c r="DR54" s="662"/>
      <c r="DS54" s="662"/>
      <c r="DT54" s="662"/>
      <c r="DU54" s="662"/>
      <c r="DV54" s="662"/>
      <c r="DW54" s="662"/>
      <c r="DX54" s="662"/>
      <c r="DY54" s="662"/>
      <c r="DZ54" s="662"/>
      <c r="EA54" s="662"/>
      <c r="EB54" s="662"/>
      <c r="EC54" s="662"/>
      <c r="ED54" s="662"/>
      <c r="EE54" s="662"/>
      <c r="EF54" s="662"/>
      <c r="EG54" s="662"/>
      <c r="EH54" s="662"/>
      <c r="EI54" s="662"/>
      <c r="EJ54" s="662"/>
      <c r="EK54" s="662"/>
      <c r="EL54" s="662"/>
      <c r="EM54" s="662"/>
      <c r="EN54" s="662"/>
      <c r="EO54" s="662"/>
      <c r="EP54" s="662"/>
      <c r="EQ54" s="662"/>
      <c r="ER54" s="662"/>
      <c r="ES54" s="662"/>
      <c r="ET54" s="662"/>
      <c r="EU54" s="662"/>
      <c r="EV54" s="662"/>
      <c r="EW54" s="662"/>
      <c r="EX54" s="662"/>
      <c r="EY54" s="662"/>
      <c r="EZ54" s="662"/>
      <c r="FA54" s="662"/>
      <c r="FB54" s="662"/>
      <c r="FC54" s="662"/>
      <c r="FD54" s="662"/>
      <c r="FE54" s="662"/>
      <c r="FF54" s="662"/>
      <c r="FG54" s="662"/>
      <c r="FH54" s="662"/>
      <c r="FI54" s="662"/>
      <c r="FJ54" s="662"/>
      <c r="FK54" s="662"/>
      <c r="FL54" s="662"/>
      <c r="FM54" s="662"/>
      <c r="FN54" s="662"/>
      <c r="FO54" s="662"/>
      <c r="FP54" s="662"/>
      <c r="FQ54" s="662"/>
      <c r="FR54" s="662"/>
      <c r="FS54" s="662"/>
      <c r="FT54" s="662"/>
      <c r="FU54" s="662"/>
      <c r="FV54" s="662"/>
      <c r="FW54" s="662"/>
      <c r="FX54" s="662"/>
      <c r="FY54" s="662"/>
      <c r="FZ54" s="662"/>
      <c r="GA54" s="662"/>
      <c r="GB54" s="662"/>
      <c r="GC54" s="662"/>
      <c r="GD54" s="662"/>
      <c r="GE54" s="662"/>
      <c r="GF54" s="662"/>
      <c r="GG54" s="662"/>
      <c r="GH54" s="662"/>
      <c r="GI54" s="662"/>
      <c r="GJ54" s="662"/>
      <c r="GK54" s="662"/>
      <c r="GL54" s="662"/>
      <c r="GM54" s="662"/>
      <c r="GN54" s="662"/>
      <c r="GO54" s="662"/>
      <c r="GP54" s="662"/>
      <c r="GQ54" s="662"/>
      <c r="GR54" s="662"/>
      <c r="GS54" s="662"/>
      <c r="GT54" s="662"/>
      <c r="GU54" s="662"/>
      <c r="GV54" s="662"/>
      <c r="GW54" s="662"/>
      <c r="GX54" s="662"/>
      <c r="GY54" s="662"/>
      <c r="GZ54" s="662"/>
      <c r="HA54" s="662"/>
      <c r="HB54" s="662"/>
      <c r="HC54" s="662"/>
      <c r="HD54" s="662"/>
      <c r="HE54" s="662"/>
      <c r="HF54" s="662"/>
      <c r="HG54" s="662"/>
      <c r="HH54" s="662"/>
      <c r="HI54" s="662"/>
      <c r="HJ54" s="662"/>
      <c r="HK54" s="662"/>
      <c r="HL54" s="662"/>
      <c r="HM54" s="662"/>
      <c r="HN54" s="662"/>
      <c r="HO54" s="662"/>
      <c r="HP54" s="662"/>
      <c r="HQ54" s="662"/>
      <c r="HR54" s="662"/>
      <c r="HS54" s="662"/>
      <c r="HT54" s="662"/>
      <c r="HU54" s="662"/>
      <c r="HV54" s="662"/>
      <c r="HW54" s="662"/>
      <c r="HX54" s="662"/>
      <c r="HY54" s="662"/>
      <c r="HZ54" s="662"/>
      <c r="IA54" s="662"/>
      <c r="IB54" s="662"/>
      <c r="IC54" s="662"/>
      <c r="ID54" s="662"/>
      <c r="IE54" s="662"/>
      <c r="IF54" s="662"/>
      <c r="IG54" s="662"/>
      <c r="IH54" s="662"/>
      <c r="II54" s="662"/>
      <c r="IJ54" s="662"/>
      <c r="IK54" s="662"/>
      <c r="IL54" s="662"/>
      <c r="IM54" s="662"/>
      <c r="IN54" s="662"/>
      <c r="IO54" s="662"/>
      <c r="IP54" s="662"/>
      <c r="IQ54" s="662"/>
      <c r="IR54" s="662"/>
      <c r="IS54" s="662"/>
      <c r="IT54" s="662"/>
      <c r="IU54" s="662"/>
      <c r="IV54" s="662"/>
      <c r="IW54" s="662"/>
    </row>
    <row r="55" customFormat="false" ht="9" hidden="false" customHeight="false" outlineLevel="1" collapsed="false">
      <c r="A55" s="331"/>
      <c r="B55" s="654" t="n">
        <f aca="false">SUM(I55:Z55)</f>
        <v>0</v>
      </c>
      <c r="C55" s="654"/>
      <c r="D55" s="654"/>
      <c r="E55" s="331"/>
      <c r="F55" s="663"/>
      <c r="G55" s="663"/>
      <c r="H55" s="663"/>
      <c r="I55" s="663"/>
      <c r="J55" s="663"/>
      <c r="K55" s="663"/>
      <c r="L55" s="663"/>
      <c r="M55" s="663"/>
      <c r="N55" s="663"/>
      <c r="O55" s="663"/>
      <c r="P55" s="663"/>
      <c r="Q55" s="663"/>
      <c r="R55" s="663"/>
      <c r="S55" s="663"/>
      <c r="T55" s="663"/>
      <c r="U55" s="663"/>
      <c r="V55" s="663"/>
      <c r="W55" s="663"/>
      <c r="X55" s="663"/>
      <c r="Y55" s="663"/>
      <c r="Z55" s="663"/>
      <c r="AA55" s="653"/>
      <c r="AB55" s="653"/>
      <c r="AC55" s="653"/>
      <c r="AD55" s="653"/>
      <c r="AE55" s="653"/>
      <c r="AF55" s="653"/>
      <c r="AG55" s="653"/>
      <c r="AH55" s="653"/>
      <c r="AI55" s="653"/>
      <c r="AJ55" s="653"/>
      <c r="AK55" s="653"/>
      <c r="AL55" s="653"/>
      <c r="AM55" s="653"/>
      <c r="AN55" s="653"/>
      <c r="AO55" s="653"/>
      <c r="AP55" s="653"/>
      <c r="AQ55" s="653"/>
      <c r="AR55" s="653"/>
      <c r="AS55" s="653"/>
      <c r="AT55" s="653"/>
      <c r="AU55" s="653"/>
      <c r="AV55" s="653"/>
      <c r="AW55" s="653"/>
      <c r="AX55" s="653"/>
      <c r="AY55" s="653"/>
      <c r="AZ55" s="653"/>
      <c r="BA55" s="653"/>
      <c r="BB55" s="653"/>
      <c r="BC55" s="653"/>
      <c r="BD55" s="653"/>
      <c r="BE55" s="653"/>
      <c r="BF55" s="653"/>
      <c r="BG55" s="653"/>
      <c r="BH55" s="653"/>
      <c r="BI55" s="653"/>
      <c r="BJ55" s="653"/>
      <c r="BK55" s="653"/>
      <c r="BL55" s="653"/>
      <c r="BM55" s="653"/>
      <c r="BN55" s="653"/>
      <c r="BO55" s="653"/>
      <c r="BP55" s="653"/>
      <c r="BQ55" s="653"/>
      <c r="BR55" s="653"/>
      <c r="BS55" s="653"/>
      <c r="BT55" s="653"/>
      <c r="BU55" s="653"/>
      <c r="BV55" s="653"/>
      <c r="BW55" s="653"/>
      <c r="BX55" s="653"/>
      <c r="BY55" s="653"/>
      <c r="BZ55" s="653"/>
      <c r="CA55" s="653"/>
      <c r="CB55" s="653"/>
      <c r="CC55" s="653"/>
      <c r="CD55" s="653"/>
      <c r="CE55" s="653"/>
      <c r="CF55" s="653"/>
      <c r="CG55" s="653"/>
      <c r="CH55" s="653"/>
      <c r="CI55" s="653"/>
      <c r="CJ55" s="653"/>
      <c r="CK55" s="653"/>
      <c r="CL55" s="653"/>
      <c r="CM55" s="653"/>
      <c r="CN55" s="653"/>
      <c r="CO55" s="653"/>
      <c r="CP55" s="653"/>
      <c r="CQ55" s="653"/>
      <c r="CR55" s="653"/>
      <c r="CS55" s="653"/>
      <c r="CT55" s="653"/>
      <c r="CU55" s="653"/>
      <c r="CV55" s="653"/>
      <c r="CW55" s="653"/>
      <c r="CX55" s="653"/>
      <c r="CY55" s="653"/>
      <c r="CZ55" s="653"/>
      <c r="DA55" s="653"/>
      <c r="DB55" s="653"/>
      <c r="DC55" s="653"/>
      <c r="DD55" s="653"/>
      <c r="DE55" s="653"/>
      <c r="DF55" s="653"/>
      <c r="DG55" s="653"/>
      <c r="DH55" s="653"/>
      <c r="DI55" s="653"/>
      <c r="DJ55" s="653"/>
      <c r="DK55" s="653"/>
      <c r="DL55" s="653"/>
      <c r="DM55" s="653"/>
      <c r="DN55" s="653"/>
      <c r="DO55" s="653"/>
      <c r="DP55" s="653"/>
      <c r="DQ55" s="653"/>
      <c r="DR55" s="653"/>
      <c r="DS55" s="653"/>
      <c r="DT55" s="653"/>
      <c r="DU55" s="653"/>
      <c r="DV55" s="653"/>
      <c r="DW55" s="653"/>
      <c r="DX55" s="653"/>
      <c r="DY55" s="653"/>
      <c r="DZ55" s="653"/>
      <c r="EA55" s="653"/>
      <c r="EB55" s="653"/>
      <c r="EC55" s="653"/>
      <c r="ED55" s="653"/>
      <c r="EE55" s="653"/>
      <c r="EF55" s="653"/>
      <c r="EG55" s="653"/>
      <c r="EH55" s="653"/>
      <c r="EI55" s="653"/>
      <c r="EJ55" s="653"/>
      <c r="EK55" s="653"/>
      <c r="EL55" s="653"/>
      <c r="EM55" s="653"/>
      <c r="EN55" s="653"/>
      <c r="EO55" s="653"/>
      <c r="EP55" s="653"/>
      <c r="EQ55" s="653"/>
      <c r="ER55" s="653"/>
      <c r="ES55" s="653"/>
      <c r="ET55" s="653"/>
      <c r="EU55" s="653"/>
      <c r="EV55" s="653"/>
      <c r="EW55" s="653"/>
      <c r="EX55" s="653"/>
      <c r="EY55" s="653"/>
      <c r="EZ55" s="653"/>
      <c r="FA55" s="653"/>
      <c r="FB55" s="653"/>
      <c r="FC55" s="653"/>
      <c r="FD55" s="653"/>
      <c r="FE55" s="653"/>
      <c r="FF55" s="653"/>
      <c r="FG55" s="653"/>
      <c r="FH55" s="653"/>
      <c r="FI55" s="653"/>
      <c r="FJ55" s="653"/>
      <c r="FK55" s="653"/>
      <c r="FL55" s="653"/>
      <c r="FM55" s="653"/>
      <c r="FN55" s="653"/>
      <c r="FO55" s="653"/>
      <c r="FP55" s="653"/>
      <c r="FQ55" s="653"/>
      <c r="FR55" s="653"/>
      <c r="FS55" s="653"/>
      <c r="FT55" s="653"/>
      <c r="FU55" s="653"/>
      <c r="FV55" s="653"/>
      <c r="FW55" s="653"/>
      <c r="FX55" s="653"/>
      <c r="FY55" s="653"/>
      <c r="FZ55" s="653"/>
      <c r="GA55" s="653"/>
      <c r="GB55" s="653"/>
      <c r="GC55" s="653"/>
      <c r="GD55" s="653"/>
      <c r="GE55" s="653"/>
      <c r="GF55" s="653"/>
      <c r="GG55" s="653"/>
      <c r="GH55" s="653"/>
      <c r="GI55" s="653"/>
      <c r="GJ55" s="653"/>
      <c r="GK55" s="653"/>
      <c r="GL55" s="653"/>
      <c r="GM55" s="653"/>
      <c r="GN55" s="653"/>
      <c r="GO55" s="653"/>
      <c r="GP55" s="653"/>
      <c r="GQ55" s="653"/>
      <c r="GR55" s="653"/>
      <c r="GS55" s="653"/>
      <c r="GT55" s="653"/>
      <c r="GU55" s="653"/>
      <c r="GV55" s="653"/>
      <c r="GW55" s="653"/>
      <c r="GX55" s="653"/>
      <c r="GY55" s="653"/>
      <c r="GZ55" s="653"/>
      <c r="HA55" s="653"/>
      <c r="HB55" s="653"/>
      <c r="HC55" s="653"/>
      <c r="HD55" s="653"/>
      <c r="HE55" s="653"/>
      <c r="HF55" s="653"/>
      <c r="HG55" s="653"/>
      <c r="HH55" s="653"/>
      <c r="HI55" s="653"/>
      <c r="HJ55" s="653"/>
      <c r="HK55" s="653"/>
      <c r="HL55" s="653"/>
      <c r="HM55" s="653"/>
      <c r="HN55" s="653"/>
      <c r="HO55" s="653"/>
      <c r="HP55" s="653"/>
      <c r="HQ55" s="653"/>
      <c r="HR55" s="653"/>
      <c r="HS55" s="653"/>
      <c r="HT55" s="653"/>
      <c r="HU55" s="653"/>
      <c r="HV55" s="653"/>
      <c r="HW55" s="653"/>
      <c r="HX55" s="653"/>
      <c r="HY55" s="653"/>
      <c r="HZ55" s="653"/>
      <c r="IA55" s="653"/>
      <c r="IB55" s="653"/>
      <c r="IC55" s="653"/>
      <c r="ID55" s="653"/>
      <c r="IE55" s="653"/>
      <c r="IF55" s="653"/>
      <c r="IG55" s="653"/>
      <c r="IH55" s="653"/>
      <c r="II55" s="653"/>
      <c r="IJ55" s="653"/>
      <c r="IK55" s="653"/>
      <c r="IL55" s="653"/>
      <c r="IM55" s="653"/>
      <c r="IN55" s="653"/>
      <c r="IO55" s="653"/>
      <c r="IP55" s="653"/>
      <c r="IQ55" s="653"/>
      <c r="IR55" s="653"/>
      <c r="IS55" s="653"/>
      <c r="IT55" s="653"/>
      <c r="IU55" s="653"/>
      <c r="IV55" s="653"/>
      <c r="IW55" s="653"/>
    </row>
    <row r="56" customFormat="false" ht="12.75" hidden="false" customHeight="false" outlineLevel="0" collapsed="false">
      <c r="A56" s="323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</row>
    <row r="57" customFormat="false" ht="12.75" hidden="false" customHeight="false" outlineLevel="1" collapsed="false">
      <c r="A57" s="367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</row>
    <row r="58" customFormat="false" ht="18.75" hidden="false" customHeight="false" outlineLevel="1" collapsed="false">
      <c r="A58" s="356" t="s">
        <v>475</v>
      </c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</row>
    <row r="59" customFormat="false" ht="12.75" hidden="false" customHeight="false" outlineLevel="1" collapsed="false">
      <c r="A59" s="323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</row>
    <row r="60" customFormat="false" ht="12.75" hidden="false" customHeight="true" outlineLevel="1" collapsed="false">
      <c r="A60" s="323" t="s">
        <v>460</v>
      </c>
      <c r="B60" s="664"/>
      <c r="C60" s="665" t="n">
        <f aca="false">Assumptions!B13</f>
        <v>0.5</v>
      </c>
      <c r="D60" s="665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</row>
    <row r="61" customFormat="false" ht="12.75" hidden="false" customHeight="true" outlineLevel="1" collapsed="false">
      <c r="A61" s="323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</row>
    <row r="62" customFormat="false" ht="13.5" hidden="false" customHeight="false" outlineLevel="1" collapsed="false">
      <c r="A62" s="319" t="s">
        <v>269</v>
      </c>
      <c r="B62" s="359"/>
      <c r="C62" s="359"/>
      <c r="D62" s="359"/>
      <c r="E62" s="320" t="n">
        <v>1999</v>
      </c>
      <c r="F62" s="320" t="n">
        <f aca="false">E62+1</f>
        <v>2000</v>
      </c>
      <c r="G62" s="320" t="n">
        <f aca="false">F62+1</f>
        <v>2001</v>
      </c>
      <c r="H62" s="320" t="n">
        <f aca="false">G62+1</f>
        <v>2002</v>
      </c>
      <c r="I62" s="320" t="n">
        <f aca="false">H62+1</f>
        <v>2003</v>
      </c>
      <c r="J62" s="320" t="n">
        <f aca="false">I62+1</f>
        <v>2004</v>
      </c>
      <c r="K62" s="320" t="n">
        <f aca="false">J62+1</f>
        <v>2005</v>
      </c>
      <c r="L62" s="320" t="n">
        <f aca="false">K62+1</f>
        <v>2006</v>
      </c>
      <c r="M62" s="320" t="n">
        <f aca="false">L62+1</f>
        <v>2007</v>
      </c>
      <c r="N62" s="320" t="n">
        <f aca="false">M62+1</f>
        <v>2008</v>
      </c>
      <c r="O62" s="320" t="n">
        <f aca="false">N62+1</f>
        <v>2009</v>
      </c>
      <c r="P62" s="320" t="n">
        <f aca="false">O62+1</f>
        <v>2010</v>
      </c>
      <c r="Q62" s="320" t="n">
        <f aca="false">P62+1</f>
        <v>2011</v>
      </c>
      <c r="R62" s="320" t="n">
        <f aca="false">Q62+1</f>
        <v>2012</v>
      </c>
      <c r="S62" s="320" t="n">
        <f aca="false">R62+1</f>
        <v>2013</v>
      </c>
      <c r="T62" s="320" t="n">
        <f aca="false">S62+1</f>
        <v>2014</v>
      </c>
      <c r="U62" s="320" t="n">
        <f aca="false">T62+1</f>
        <v>2015</v>
      </c>
      <c r="V62" s="320" t="n">
        <f aca="false">U62+1</f>
        <v>2016</v>
      </c>
      <c r="W62" s="320" t="n">
        <f aca="false">V62+1</f>
        <v>2017</v>
      </c>
      <c r="X62" s="320" t="n">
        <f aca="false">W62+1</f>
        <v>2018</v>
      </c>
      <c r="Y62" s="320" t="n">
        <f aca="false">X62+1</f>
        <v>2019</v>
      </c>
      <c r="Z62" s="320" t="n">
        <f aca="false">Y62+1</f>
        <v>2020</v>
      </c>
    </row>
    <row r="63" customFormat="false" ht="12.75" hidden="false" customHeight="false" outlineLevel="1" collapsed="false">
      <c r="A63" s="366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</row>
    <row r="64" customFormat="false" ht="12.75" hidden="false" customHeight="false" outlineLevel="1" collapsed="false">
      <c r="A64" s="367" t="s">
        <v>289</v>
      </c>
      <c r="E64" s="102" t="n">
        <f aca="false">E39</f>
        <v>0</v>
      </c>
      <c r="F64" s="102" t="n">
        <f aca="false">F39</f>
        <v>10843.8274546564</v>
      </c>
      <c r="G64" s="102" t="n">
        <f aca="false">G39</f>
        <v>21987.3488281815</v>
      </c>
      <c r="H64" s="102" t="n">
        <f aca="false">H39</f>
        <v>21922.0438353422</v>
      </c>
      <c r="I64" s="102" t="n">
        <f aca="false">I39</f>
        <v>30499.6636892346</v>
      </c>
      <c r="J64" s="102" t="n">
        <f aca="false">J39</f>
        <v>30809.1845225069</v>
      </c>
      <c r="K64" s="102" t="n">
        <f aca="false">K39</f>
        <v>31109.3448369598</v>
      </c>
      <c r="L64" s="102" t="n">
        <f aca="false">L39</f>
        <v>31399.3044327143</v>
      </c>
      <c r="M64" s="102" t="n">
        <f aca="false">M39</f>
        <v>32357.3526155404</v>
      </c>
      <c r="N64" s="102" t="n">
        <f aca="false">N39</f>
        <v>32644.5956058811</v>
      </c>
      <c r="O64" s="102" t="n">
        <f aca="false">O39</f>
        <v>33640.0025239021</v>
      </c>
      <c r="P64" s="102" t="n">
        <f aca="false">P39</f>
        <v>33962.8263425761</v>
      </c>
      <c r="Q64" s="102" t="n">
        <f aca="false">Q39</f>
        <v>35008.6415820749</v>
      </c>
      <c r="R64" s="102" t="n">
        <f aca="false">R39</f>
        <v>35286.7269395638</v>
      </c>
      <c r="S64" s="102" t="n">
        <f aca="false">S39</f>
        <v>35554.2047380654</v>
      </c>
      <c r="T64" s="102" t="n">
        <f aca="false">T39</f>
        <v>35805.258152557</v>
      </c>
      <c r="U64" s="102" t="n">
        <f aca="false">U39</f>
        <v>36035.8258160187</v>
      </c>
      <c r="V64" s="102" t="n">
        <f aca="false">V39</f>
        <v>36259.1083911658</v>
      </c>
      <c r="W64" s="102" t="n">
        <f aca="false">W39</f>
        <v>36469.4522014746</v>
      </c>
      <c r="X64" s="102" t="n">
        <f aca="false">X39</f>
        <v>36673.009233842</v>
      </c>
      <c r="Y64" s="102" t="n">
        <f aca="false">Y39</f>
        <v>36852.4193598747</v>
      </c>
      <c r="Z64" s="102" t="n">
        <f aca="false">Z39</f>
        <v>36926.4814125622</v>
      </c>
    </row>
    <row r="65" customFormat="false" ht="12.75" hidden="false" customHeight="false" outlineLevel="1" collapsed="false">
      <c r="A65" s="367" t="s">
        <v>461</v>
      </c>
      <c r="E65" s="102" t="n">
        <v>0</v>
      </c>
      <c r="F65" s="102" t="n">
        <v>0</v>
      </c>
      <c r="G65" s="102" t="n">
        <v>0</v>
      </c>
      <c r="H65" s="102" t="n">
        <v>0</v>
      </c>
      <c r="I65" s="102" t="n">
        <v>0</v>
      </c>
      <c r="J65" s="102" t="n">
        <v>0</v>
      </c>
      <c r="K65" s="102" t="n">
        <v>0</v>
      </c>
      <c r="L65" s="102" t="n">
        <v>0</v>
      </c>
      <c r="M65" s="102" t="n">
        <v>0</v>
      </c>
      <c r="N65" s="102" t="n">
        <v>0</v>
      </c>
      <c r="O65" s="102" t="n">
        <v>0</v>
      </c>
      <c r="P65" s="102" t="n">
        <v>0</v>
      </c>
      <c r="Q65" s="102" t="n">
        <v>0</v>
      </c>
      <c r="R65" s="102" t="n">
        <v>0</v>
      </c>
      <c r="S65" s="102" t="n">
        <v>0</v>
      </c>
      <c r="T65" s="102" t="n">
        <v>0</v>
      </c>
      <c r="U65" s="102" t="n">
        <v>0</v>
      </c>
      <c r="V65" s="102" t="n">
        <v>0</v>
      </c>
      <c r="W65" s="102" t="n">
        <v>0</v>
      </c>
      <c r="X65" s="102" t="n">
        <v>0</v>
      </c>
      <c r="Y65" s="102" t="n">
        <v>0</v>
      </c>
      <c r="Z65" s="102" t="n">
        <v>0</v>
      </c>
    </row>
    <row r="66" customFormat="false" ht="15" hidden="false" customHeight="false" outlineLevel="1" collapsed="false">
      <c r="A66" s="367" t="s">
        <v>338</v>
      </c>
      <c r="E66" s="666" t="n">
        <v>0</v>
      </c>
      <c r="F66" s="666" t="n">
        <f aca="false">Allocation!$I$12*(CF!$G$15+CF!$G$16-CF!$G$14)+CF!$G$14*Allocation!$K$12</f>
        <v>-5170.84233397344</v>
      </c>
      <c r="G66" s="666" t="n">
        <f aca="false">Allocation!$I$12*(CF!H16+CF!H15)</f>
        <v>-15797.3484362434</v>
      </c>
      <c r="H66" s="666" t="n">
        <f aca="false">Allocation!$I$12*(CF!I16+CF!I15)</f>
        <v>-15703.5727336439</v>
      </c>
      <c r="I66" s="666" t="n">
        <f aca="false">Allocation!$I$12*(CF!J16+CF!J15)</f>
        <v>-13960.5465398331</v>
      </c>
      <c r="J66" s="666" t="n">
        <f aca="false">Allocation!$I$12*(CF!K16+CF!K15)</f>
        <v>-14134.9285896087</v>
      </c>
      <c r="K66" s="666" t="n">
        <f aca="false">Allocation!$I$12*(CF!L16+CF!L15)</f>
        <v>-14386.3026574164</v>
      </c>
      <c r="L66" s="666" t="n">
        <f aca="false">Allocation!$I$12*(CF!M16+CF!M15)</f>
        <v>-14479.811201629</v>
      </c>
      <c r="M66" s="666" t="n">
        <f aca="false">Allocation!$I$12*(CF!N16+CF!N15)</f>
        <v>-14808.1015704889</v>
      </c>
      <c r="N66" s="666" t="n">
        <f aca="false">Allocation!$I$12*(CF!O16+CF!O15)</f>
        <v>-14994.0367150218</v>
      </c>
      <c r="O66" s="666" t="n">
        <f aca="false">Allocation!$I$12*(CF!P16+CF!P15)</f>
        <v>-15296.7633053132</v>
      </c>
      <c r="P66" s="666" t="n">
        <f aca="false">Allocation!$I$12*(CF!Q16+CF!Q15)</f>
        <v>-13336.0857085367</v>
      </c>
      <c r="Q66" s="666" t="n">
        <f aca="false">Allocation!$I$12*(CF!R16+CF!R15)</f>
        <v>-12740.8999793014</v>
      </c>
      <c r="R66" s="666" t="n">
        <f aca="false">Allocation!$I$12*(CF!S16+CF!S15)</f>
        <v>-12708.5221425724</v>
      </c>
      <c r="S66" s="666" t="n">
        <f aca="false">Allocation!$I$12*(CF!T16+CF!T15)</f>
        <v>-12444.5429752177</v>
      </c>
      <c r="T66" s="666" t="n">
        <f aca="false">Allocation!$I$12*(CF!U16+CF!U15)</f>
        <v>-12178.5570022352</v>
      </c>
      <c r="U66" s="666" t="n">
        <f aca="false">Allocation!$I$12*(CF!V16+CF!V15)</f>
        <v>-12050.6899871856</v>
      </c>
      <c r="V66" s="666" t="n">
        <f aca="false">Allocation!$I$12*(CF!W16+CF!W15)</f>
        <v>-11345.7274252859</v>
      </c>
      <c r="W66" s="666" t="n">
        <f aca="false">Allocation!$I$12*(CF!X16+CF!X15)</f>
        <v>-10276.5196678739</v>
      </c>
      <c r="X66" s="666" t="n">
        <f aca="false">Allocation!$I$12*(CF!Y16+CF!Y15)</f>
        <v>-8469.78389644459</v>
      </c>
      <c r="Y66" s="666" t="n">
        <f aca="false">Allocation!$I$12*(CF!Z16+CF!Z15)</f>
        <v>-6710.06342270387</v>
      </c>
      <c r="Z66" s="666" t="n">
        <f aca="false">Allocation!$I$12*(CF!AA16+CF!AA15)</f>
        <v>-0</v>
      </c>
    </row>
    <row r="67" customFormat="false" ht="12.75" hidden="false" customHeight="false" outlineLevel="1" collapsed="false">
      <c r="A67" s="366" t="s">
        <v>308</v>
      </c>
      <c r="B67" s="323"/>
      <c r="C67" s="323"/>
      <c r="D67" s="323"/>
      <c r="E67" s="667" t="n">
        <f aca="false">SUM(E64:E66)</f>
        <v>0</v>
      </c>
      <c r="F67" s="667" t="n">
        <f aca="false">SUM(F64:F66)</f>
        <v>5672.98512068299</v>
      </c>
      <c r="G67" s="667" t="n">
        <f aca="false">SUM(G64:G66)</f>
        <v>6190.00039193814</v>
      </c>
      <c r="H67" s="667" t="n">
        <f aca="false">SUM(H64:H66)</f>
        <v>6218.47110169832</v>
      </c>
      <c r="I67" s="667" t="n">
        <f aca="false">SUM(I64:I66)</f>
        <v>16539.1171494015</v>
      </c>
      <c r="J67" s="667" t="n">
        <f aca="false">SUM(J64:J66)</f>
        <v>16674.2559328981</v>
      </c>
      <c r="K67" s="667" t="n">
        <f aca="false">SUM(K64:K66)</f>
        <v>16723.0421795434</v>
      </c>
      <c r="L67" s="667" t="n">
        <f aca="false">SUM(L64:L66)</f>
        <v>16919.4932310853</v>
      </c>
      <c r="M67" s="667" t="n">
        <f aca="false">SUM(M64:M66)</f>
        <v>17549.2510450515</v>
      </c>
      <c r="N67" s="667" t="n">
        <f aca="false">SUM(N64:N66)</f>
        <v>17650.5588908593</v>
      </c>
      <c r="O67" s="667" t="n">
        <f aca="false">SUM(O64:O66)</f>
        <v>18343.239218589</v>
      </c>
      <c r="P67" s="667" t="n">
        <f aca="false">SUM(P64:P66)</f>
        <v>20626.7406340394</v>
      </c>
      <c r="Q67" s="667" t="n">
        <f aca="false">SUM(Q64:Q66)</f>
        <v>22267.7416027735</v>
      </c>
      <c r="R67" s="667" t="n">
        <f aca="false">SUM(R64:R66)</f>
        <v>22578.2047969914</v>
      </c>
      <c r="S67" s="667" t="n">
        <f aca="false">SUM(S64:S66)</f>
        <v>23109.6617628477</v>
      </c>
      <c r="T67" s="667" t="n">
        <f aca="false">SUM(T64:T66)</f>
        <v>23626.7011503218</v>
      </c>
      <c r="U67" s="667" t="n">
        <f aca="false">SUM(U64:U66)</f>
        <v>23985.1358288331</v>
      </c>
      <c r="V67" s="667" t="n">
        <f aca="false">SUM(V64:V66)</f>
        <v>24913.3809658799</v>
      </c>
      <c r="W67" s="667" t="n">
        <f aca="false">SUM(W64:W66)</f>
        <v>26192.9325336007</v>
      </c>
      <c r="X67" s="667" t="n">
        <f aca="false">SUM(X64:X66)</f>
        <v>28203.2253373975</v>
      </c>
      <c r="Y67" s="667" t="n">
        <f aca="false">SUM(Y64:Y66)</f>
        <v>30142.3559371708</v>
      </c>
      <c r="Z67" s="667" t="n">
        <f aca="false">SUM(Z64:Z66)</f>
        <v>36926.4814125622</v>
      </c>
      <c r="AA67" s="395"/>
      <c r="AB67" s="395"/>
      <c r="AC67" s="395"/>
      <c r="AD67" s="395"/>
      <c r="AE67" s="395"/>
      <c r="AF67" s="395"/>
      <c r="AG67" s="395"/>
      <c r="AH67" s="395"/>
      <c r="AI67" s="395"/>
      <c r="AJ67" s="395"/>
      <c r="AK67" s="395"/>
      <c r="AL67" s="395"/>
      <c r="AM67" s="395"/>
      <c r="AN67" s="395"/>
      <c r="AO67" s="395"/>
      <c r="AP67" s="395"/>
      <c r="AQ67" s="395"/>
      <c r="AR67" s="395"/>
      <c r="AS67" s="395"/>
      <c r="AT67" s="395"/>
      <c r="AU67" s="395"/>
      <c r="AV67" s="395"/>
      <c r="AW67" s="395"/>
      <c r="AX67" s="395"/>
      <c r="AY67" s="395"/>
      <c r="AZ67" s="395"/>
      <c r="BA67" s="395"/>
      <c r="BB67" s="395"/>
      <c r="BC67" s="395"/>
      <c r="BD67" s="395"/>
      <c r="BE67" s="395"/>
      <c r="BF67" s="395"/>
      <c r="BG67" s="395"/>
      <c r="BH67" s="395"/>
      <c r="BI67" s="395"/>
      <c r="BJ67" s="395"/>
      <c r="BK67" s="395"/>
      <c r="BL67" s="395"/>
      <c r="BM67" s="395"/>
      <c r="BN67" s="395"/>
      <c r="BO67" s="395"/>
      <c r="BP67" s="395"/>
      <c r="BQ67" s="395"/>
      <c r="BR67" s="395"/>
      <c r="BS67" s="395"/>
      <c r="BT67" s="395"/>
      <c r="BU67" s="395"/>
      <c r="BV67" s="395"/>
      <c r="BW67" s="395"/>
      <c r="BX67" s="395"/>
      <c r="BY67" s="395"/>
      <c r="BZ67" s="395"/>
      <c r="CA67" s="395"/>
      <c r="CB67" s="395"/>
      <c r="CC67" s="395"/>
      <c r="CD67" s="395"/>
      <c r="CE67" s="395"/>
      <c r="CF67" s="395"/>
      <c r="CG67" s="395"/>
      <c r="CH67" s="395"/>
      <c r="CI67" s="395"/>
      <c r="CJ67" s="395"/>
      <c r="CK67" s="395"/>
      <c r="CL67" s="395"/>
      <c r="CM67" s="395"/>
      <c r="CN67" s="395"/>
      <c r="CO67" s="395"/>
      <c r="CP67" s="395"/>
      <c r="CQ67" s="395"/>
      <c r="CR67" s="395"/>
      <c r="CS67" s="395"/>
      <c r="CT67" s="395"/>
      <c r="CU67" s="395"/>
      <c r="CV67" s="395"/>
      <c r="CW67" s="395"/>
      <c r="CX67" s="395"/>
      <c r="CY67" s="395"/>
      <c r="CZ67" s="395"/>
      <c r="DA67" s="395"/>
      <c r="DB67" s="395"/>
      <c r="DC67" s="395"/>
      <c r="DD67" s="395"/>
      <c r="DE67" s="395"/>
      <c r="DF67" s="395"/>
      <c r="DG67" s="395"/>
      <c r="DH67" s="395"/>
      <c r="DI67" s="395"/>
      <c r="DJ67" s="395"/>
      <c r="DK67" s="395"/>
      <c r="DL67" s="395"/>
      <c r="DM67" s="395"/>
      <c r="DN67" s="395"/>
      <c r="DO67" s="395"/>
      <c r="DP67" s="395"/>
      <c r="DQ67" s="395"/>
      <c r="DR67" s="395"/>
      <c r="DS67" s="395"/>
      <c r="DT67" s="395"/>
      <c r="DU67" s="395"/>
      <c r="DV67" s="395"/>
      <c r="DW67" s="395"/>
      <c r="DX67" s="395"/>
      <c r="DY67" s="395"/>
      <c r="DZ67" s="395"/>
      <c r="EA67" s="395"/>
      <c r="EB67" s="395"/>
      <c r="EC67" s="395"/>
      <c r="ED67" s="395"/>
      <c r="EE67" s="395"/>
      <c r="EF67" s="395"/>
      <c r="EG67" s="395"/>
      <c r="EH67" s="395"/>
      <c r="EI67" s="395"/>
      <c r="EJ67" s="395"/>
      <c r="EK67" s="395"/>
      <c r="EL67" s="395"/>
      <c r="EM67" s="395"/>
      <c r="EN67" s="395"/>
      <c r="EO67" s="395"/>
      <c r="EP67" s="395"/>
      <c r="EQ67" s="395"/>
      <c r="ER67" s="395"/>
      <c r="ES67" s="395"/>
      <c r="ET67" s="395"/>
      <c r="EU67" s="395"/>
      <c r="EV67" s="395"/>
      <c r="EW67" s="395"/>
      <c r="EX67" s="395"/>
      <c r="EY67" s="395"/>
      <c r="EZ67" s="395"/>
      <c r="FA67" s="395"/>
      <c r="FB67" s="395"/>
      <c r="FC67" s="395"/>
      <c r="FD67" s="395"/>
      <c r="FE67" s="395"/>
      <c r="FF67" s="395"/>
      <c r="FG67" s="395"/>
      <c r="FH67" s="395"/>
      <c r="FI67" s="395"/>
      <c r="FJ67" s="395"/>
      <c r="FK67" s="395"/>
      <c r="FL67" s="395"/>
      <c r="FM67" s="395"/>
      <c r="FN67" s="395"/>
      <c r="FO67" s="395"/>
      <c r="FP67" s="395"/>
      <c r="FQ67" s="395"/>
      <c r="FR67" s="395"/>
      <c r="FS67" s="395"/>
      <c r="FT67" s="395"/>
      <c r="FU67" s="395"/>
      <c r="FV67" s="395"/>
      <c r="FW67" s="395"/>
      <c r="FX67" s="395"/>
      <c r="FY67" s="395"/>
      <c r="FZ67" s="395"/>
      <c r="GA67" s="395"/>
      <c r="GB67" s="395"/>
      <c r="GC67" s="395"/>
      <c r="GD67" s="395"/>
      <c r="GE67" s="395"/>
      <c r="GF67" s="395"/>
      <c r="GG67" s="395"/>
      <c r="GH67" s="395"/>
      <c r="GI67" s="395"/>
      <c r="GJ67" s="395"/>
      <c r="GK67" s="395"/>
      <c r="GL67" s="395"/>
      <c r="GM67" s="395"/>
      <c r="GN67" s="395"/>
      <c r="GO67" s="395"/>
      <c r="GP67" s="395"/>
      <c r="GQ67" s="395"/>
      <c r="GR67" s="395"/>
      <c r="GS67" s="395"/>
      <c r="GT67" s="395"/>
      <c r="GU67" s="395"/>
      <c r="GV67" s="395"/>
      <c r="GW67" s="395"/>
      <c r="GX67" s="395"/>
      <c r="GY67" s="395"/>
      <c r="GZ67" s="395"/>
      <c r="HA67" s="395"/>
      <c r="HB67" s="395"/>
      <c r="HC67" s="395"/>
      <c r="HD67" s="395"/>
      <c r="HE67" s="395"/>
      <c r="HF67" s="395"/>
      <c r="HG67" s="395"/>
      <c r="HH67" s="395"/>
      <c r="HI67" s="395"/>
      <c r="HJ67" s="395"/>
      <c r="HK67" s="395"/>
      <c r="HL67" s="395"/>
      <c r="HM67" s="395"/>
      <c r="HN67" s="395"/>
      <c r="HO67" s="395"/>
      <c r="HP67" s="395"/>
      <c r="HQ67" s="395"/>
      <c r="HR67" s="395"/>
      <c r="HS67" s="395"/>
      <c r="HT67" s="395"/>
      <c r="HU67" s="395"/>
      <c r="HV67" s="395"/>
      <c r="HW67" s="395"/>
      <c r="HX67" s="395"/>
      <c r="HY67" s="395"/>
      <c r="HZ67" s="395"/>
      <c r="IA67" s="395"/>
      <c r="IB67" s="395"/>
      <c r="IC67" s="395"/>
      <c r="ID67" s="395"/>
      <c r="IE67" s="395"/>
      <c r="IF67" s="395"/>
      <c r="IG67" s="395"/>
      <c r="IH67" s="395"/>
      <c r="II67" s="395"/>
      <c r="IJ67" s="395"/>
      <c r="IK67" s="395"/>
      <c r="IL67" s="395"/>
      <c r="IM67" s="395"/>
      <c r="IN67" s="395"/>
      <c r="IO67" s="395"/>
      <c r="IP67" s="395"/>
      <c r="IQ67" s="395"/>
      <c r="IR67" s="395"/>
      <c r="IS67" s="395"/>
      <c r="IT67" s="395"/>
      <c r="IU67" s="395"/>
      <c r="IV67" s="395"/>
      <c r="IW67" s="395"/>
    </row>
    <row r="68" customFormat="false" ht="12.75" hidden="false" customHeight="false" outlineLevel="1" collapsed="false">
      <c r="A68" s="366"/>
      <c r="E68" s="368"/>
      <c r="F68" s="368"/>
      <c r="G68" s="368"/>
      <c r="H68" s="368"/>
      <c r="I68" s="368"/>
      <c r="J68" s="368"/>
      <c r="K68" s="368"/>
      <c r="L68" s="368"/>
      <c r="M68" s="368"/>
      <c r="N68" s="368"/>
      <c r="O68" s="368"/>
      <c r="P68" s="368"/>
      <c r="Q68" s="368"/>
      <c r="R68" s="368"/>
      <c r="S68" s="368"/>
      <c r="T68" s="368"/>
      <c r="U68" s="368"/>
      <c r="V68" s="368"/>
      <c r="W68" s="368"/>
      <c r="X68" s="368"/>
      <c r="Y68" s="368"/>
      <c r="Z68" s="368"/>
    </row>
    <row r="69" customFormat="false" ht="15" hidden="false" customHeight="false" outlineLevel="1" collapsed="false">
      <c r="A69" s="367" t="s">
        <v>462</v>
      </c>
      <c r="E69" s="666" t="n">
        <v>0</v>
      </c>
      <c r="F69" s="666" t="n">
        <f aca="false">Allocation!$I$12*CF!G24*7/12</f>
        <v>-0</v>
      </c>
      <c r="G69" s="666" t="n">
        <f aca="false">Allocation!$I$12*CF!H24</f>
        <v>-0</v>
      </c>
      <c r="H69" s="666" t="n">
        <f aca="false">Allocation!$I$12*CF!I24</f>
        <v>-0</v>
      </c>
      <c r="I69" s="666" t="n">
        <f aca="false">Allocation!$I$12*CF!J24</f>
        <v>-0</v>
      </c>
      <c r="J69" s="666" t="n">
        <f aca="false">Allocation!$I$12*CF!K24</f>
        <v>-0</v>
      </c>
      <c r="K69" s="666" t="n">
        <f aca="false">Allocation!$I$12*CF!L24</f>
        <v>-0</v>
      </c>
      <c r="L69" s="666" t="n">
        <f aca="false">Allocation!$I$12*CF!M24</f>
        <v>-659.628849029627</v>
      </c>
      <c r="M69" s="666" t="n">
        <f aca="false">Allocation!$I$12*CF!N24</f>
        <v>-746.252068480674</v>
      </c>
      <c r="N69" s="666" t="n">
        <f aca="false">Allocation!$I$12*CF!O24</f>
        <v>-803.741897219548</v>
      </c>
      <c r="O69" s="666" t="n">
        <f aca="false">Allocation!$I$12*CF!P24</f>
        <v>-894.088813911219</v>
      </c>
      <c r="P69" s="666" t="n">
        <f aca="false">Allocation!$I$12*CF!Q24</f>
        <v>-942.074646204011</v>
      </c>
      <c r="Q69" s="666" t="n">
        <f aca="false">Allocation!$I$12*CF!R24</f>
        <v>-1026.69436313344</v>
      </c>
      <c r="R69" s="666" t="n">
        <f aca="false">Allocation!$I$12*CF!S24</f>
        <v>-1090.33535229554</v>
      </c>
      <c r="S69" s="666" t="n">
        <f aca="false">Allocation!$I$12*CF!T24</f>
        <v>-1146.88198787457</v>
      </c>
      <c r="T69" s="666" t="n">
        <f aca="false">Allocation!$I$12*CF!U24</f>
        <v>-1212.00834706272</v>
      </c>
      <c r="U69" s="666" t="n">
        <f aca="false">Allocation!$I$12*CF!V24</f>
        <v>-1647.20359959564</v>
      </c>
      <c r="V69" s="666" t="n">
        <f aca="false">Allocation!$I$12*CF!W24</f>
        <v>-2084.52106175291</v>
      </c>
      <c r="W69" s="666" t="n">
        <f aca="false">Allocation!$I$12*CF!X24</f>
        <v>-2156.5595559911</v>
      </c>
      <c r="X69" s="666" t="n">
        <f aca="false">Allocation!$I$12*CF!Y24</f>
        <v>-2221.30690111879</v>
      </c>
      <c r="Y69" s="666" t="n">
        <f aca="false">Allocation!$I$12*CF!Z24</f>
        <v>-2255.73774075695</v>
      </c>
      <c r="Z69" s="666" t="n">
        <f aca="false">Allocation!$I$12*CF!AA24</f>
        <v>-2308.93447059846</v>
      </c>
    </row>
    <row r="70" customFormat="false" ht="15" hidden="false" customHeight="false" outlineLevel="1" collapsed="false">
      <c r="A70" s="367" t="s">
        <v>463</v>
      </c>
      <c r="E70" s="666" t="n">
        <v>0</v>
      </c>
      <c r="F70" s="666" t="n">
        <f aca="false">Allocation!$I$12*(-Tax!E39)*7/12</f>
        <v>794.311249061157</v>
      </c>
      <c r="G70" s="666" t="n">
        <f aca="false">Allocation!$I$12*CF!H25</f>
        <v>3591.47028444805</v>
      </c>
      <c r="H70" s="666" t="n">
        <f aca="false">Allocation!$I$12*CF!I25</f>
        <v>2816.94070424178</v>
      </c>
      <c r="I70" s="666" t="n">
        <f aca="false">Allocation!$I$12*CF!J25</f>
        <v>-1771.02603359927</v>
      </c>
      <c r="J70" s="666" t="n">
        <f aca="false">Allocation!$I$12*CF!K25</f>
        <v>-2545.72797737501</v>
      </c>
      <c r="K70" s="666" t="n">
        <f aca="false">Allocation!$I$12*CF!L25</f>
        <v>-3388.88925488197</v>
      </c>
      <c r="L70" s="666" t="n">
        <f aca="false">Allocation!$I$12*CF!M25</f>
        <v>-3618.66720491384</v>
      </c>
      <c r="M70" s="666" t="n">
        <f aca="false">Allocation!$I$12*CF!N25</f>
        <v>-4020.96771635375</v>
      </c>
      <c r="N70" s="666" t="n">
        <f aca="false">Allocation!$I$12*CF!O25</f>
        <v>-4330.73536074816</v>
      </c>
      <c r="O70" s="666" t="n">
        <f aca="false">Allocation!$I$12*CF!P25</f>
        <v>-4817.54410893553</v>
      </c>
      <c r="P70" s="666" t="n">
        <f aca="false">Allocation!$I$12*CF!Q25</f>
        <v>-5076.1021627638</v>
      </c>
      <c r="Q70" s="666" t="n">
        <f aca="false">Allocation!$I$12*CF!R25</f>
        <v>-5532.05151863356</v>
      </c>
      <c r="R70" s="666" t="n">
        <f aca="false">Allocation!$I$12*CF!S25</f>
        <v>-5874.96294717885</v>
      </c>
      <c r="S70" s="666" t="n">
        <f aca="false">Allocation!$I$12*CF!T25</f>
        <v>-6179.64846261688</v>
      </c>
      <c r="T70" s="666" t="n">
        <f aca="false">Allocation!$I$12*CF!U25</f>
        <v>-6530.56338646074</v>
      </c>
      <c r="U70" s="666" t="n">
        <f aca="false">Allocation!$I$12*CF!V25</f>
        <v>-8875.48963143315</v>
      </c>
      <c r="V70" s="666" t="n">
        <f aca="false">Allocation!$I$12*CF!W25</f>
        <v>-11231.8508013421</v>
      </c>
      <c r="W70" s="666" t="n">
        <f aca="false">Allocation!$I$12*CF!X25</f>
        <v>-11620.0098053852</v>
      </c>
      <c r="X70" s="666" t="n">
        <f aca="false">Allocation!$I$12*CF!Y25</f>
        <v>-11968.8825194108</v>
      </c>
      <c r="Y70" s="666" t="n">
        <f aca="false">Allocation!$I$12*CF!Z25</f>
        <v>-12154.4033380181</v>
      </c>
      <c r="Z70" s="666" t="n">
        <f aca="false">Allocation!$I$12*CF!AA25</f>
        <v>-12441.0388360527</v>
      </c>
    </row>
    <row r="71" customFormat="false" ht="12.75" hidden="false" customHeight="false" outlineLevel="1" collapsed="false">
      <c r="A71" s="367"/>
      <c r="E71" s="368"/>
      <c r="F71" s="660"/>
      <c r="G71" s="660"/>
      <c r="H71" s="660"/>
      <c r="I71" s="660"/>
      <c r="J71" s="660"/>
      <c r="K71" s="660"/>
      <c r="L71" s="660"/>
      <c r="M71" s="660"/>
      <c r="N71" s="660"/>
      <c r="O71" s="660"/>
      <c r="P71" s="660"/>
      <c r="Q71" s="660"/>
      <c r="R71" s="660"/>
      <c r="S71" s="660"/>
      <c r="T71" s="660"/>
      <c r="U71" s="660"/>
      <c r="V71" s="660"/>
      <c r="W71" s="660"/>
      <c r="X71" s="660"/>
      <c r="Y71" s="660"/>
      <c r="Z71" s="660"/>
    </row>
    <row r="72" customFormat="false" ht="15.75" hidden="false" customHeight="false" outlineLevel="1" collapsed="false">
      <c r="A72" s="731" t="s">
        <v>313</v>
      </c>
      <c r="B72" s="344"/>
      <c r="C72" s="344"/>
      <c r="D72" s="344"/>
      <c r="E72" s="669" t="n">
        <f aca="false">E67+E70+E69</f>
        <v>0</v>
      </c>
      <c r="F72" s="669" t="n">
        <f aca="false">F67+F70+F69</f>
        <v>6467.29636974415</v>
      </c>
      <c r="G72" s="669" t="n">
        <f aca="false">G67+G70+G69</f>
        <v>9781.47067638619</v>
      </c>
      <c r="H72" s="669" t="n">
        <f aca="false">H67+H70+H69</f>
        <v>9035.4118059401</v>
      </c>
      <c r="I72" s="669" t="n">
        <f aca="false">I67+I70+I69</f>
        <v>14768.0911158022</v>
      </c>
      <c r="J72" s="669" t="n">
        <f aca="false">J67+J70+J69</f>
        <v>14128.5279555231</v>
      </c>
      <c r="K72" s="669" t="n">
        <f aca="false">K67+K70+K69</f>
        <v>13334.1529246614</v>
      </c>
      <c r="L72" s="669" t="n">
        <f aca="false">L67+L70+L69</f>
        <v>12641.1971771418</v>
      </c>
      <c r="M72" s="669" t="n">
        <f aca="false">M67+M70+M69</f>
        <v>12782.031260217</v>
      </c>
      <c r="N72" s="669" t="n">
        <f aca="false">N67+N70+N69</f>
        <v>12516.0816328916</v>
      </c>
      <c r="O72" s="669" t="n">
        <f aca="false">O67+O70+O69</f>
        <v>12631.6062957422</v>
      </c>
      <c r="P72" s="669" t="n">
        <f aca="false">P67+P70+P69</f>
        <v>14608.5638250716</v>
      </c>
      <c r="Q72" s="669" t="n">
        <f aca="false">Q67+Q70+Q69</f>
        <v>15708.9957210065</v>
      </c>
      <c r="R72" s="669" t="n">
        <f aca="false">R67+R70+R69</f>
        <v>15612.906497517</v>
      </c>
      <c r="S72" s="669" t="n">
        <f aca="false">S67+S70+S69</f>
        <v>15783.1313123562</v>
      </c>
      <c r="T72" s="669" t="n">
        <f aca="false">T67+T70+T69</f>
        <v>15884.1294167984</v>
      </c>
      <c r="U72" s="669" t="n">
        <f aca="false">U67+U70+U69</f>
        <v>13462.4425978044</v>
      </c>
      <c r="V72" s="669" t="n">
        <f aca="false">V67+V70+V69</f>
        <v>11597.0091027849</v>
      </c>
      <c r="W72" s="669" t="n">
        <f aca="false">W67+W70+W69</f>
        <v>12416.3631722245</v>
      </c>
      <c r="X72" s="669" t="n">
        <f aca="false">X67+X70+X69</f>
        <v>14013.0359168679</v>
      </c>
      <c r="Y72" s="669" t="n">
        <f aca="false">Y67+Y70+Y69</f>
        <v>15732.2148583957</v>
      </c>
      <c r="Z72" s="669" t="n">
        <f aca="false">Z67+Z70+Z69</f>
        <v>22176.5081059111</v>
      </c>
      <c r="AA72" s="662"/>
      <c r="AB72" s="662"/>
      <c r="AC72" s="662"/>
      <c r="AD72" s="662"/>
      <c r="AE72" s="662"/>
      <c r="AF72" s="662"/>
      <c r="AG72" s="662"/>
      <c r="AH72" s="662"/>
      <c r="AI72" s="662"/>
      <c r="AJ72" s="662"/>
      <c r="AK72" s="662"/>
      <c r="AL72" s="662"/>
      <c r="AM72" s="662"/>
      <c r="AN72" s="662"/>
      <c r="AO72" s="662"/>
      <c r="AP72" s="662"/>
      <c r="AQ72" s="662"/>
      <c r="AR72" s="662"/>
      <c r="AS72" s="662"/>
      <c r="AT72" s="662"/>
      <c r="AU72" s="662"/>
      <c r="AV72" s="662"/>
      <c r="AW72" s="662"/>
      <c r="AX72" s="662"/>
      <c r="AY72" s="662"/>
      <c r="AZ72" s="662"/>
      <c r="BA72" s="662"/>
      <c r="BB72" s="662"/>
      <c r="BC72" s="662"/>
      <c r="BD72" s="662"/>
      <c r="BE72" s="662"/>
      <c r="BF72" s="662"/>
      <c r="BG72" s="662"/>
      <c r="BH72" s="662"/>
      <c r="BI72" s="662"/>
      <c r="BJ72" s="662"/>
      <c r="BK72" s="662"/>
      <c r="BL72" s="662"/>
      <c r="BM72" s="662"/>
      <c r="BN72" s="662"/>
      <c r="BO72" s="662"/>
      <c r="BP72" s="662"/>
      <c r="BQ72" s="662"/>
      <c r="BR72" s="662"/>
      <c r="BS72" s="662"/>
      <c r="BT72" s="662"/>
      <c r="BU72" s="662"/>
      <c r="BV72" s="662"/>
      <c r="BW72" s="662"/>
      <c r="BX72" s="662"/>
      <c r="BY72" s="662"/>
      <c r="BZ72" s="662"/>
      <c r="CA72" s="662"/>
      <c r="CB72" s="662"/>
      <c r="CC72" s="662"/>
      <c r="CD72" s="662"/>
      <c r="CE72" s="662"/>
      <c r="CF72" s="662"/>
      <c r="CG72" s="662"/>
      <c r="CH72" s="662"/>
      <c r="CI72" s="662"/>
      <c r="CJ72" s="662"/>
      <c r="CK72" s="662"/>
      <c r="CL72" s="662"/>
      <c r="CM72" s="662"/>
      <c r="CN72" s="662"/>
      <c r="CO72" s="662"/>
      <c r="CP72" s="662"/>
      <c r="CQ72" s="662"/>
      <c r="CR72" s="662"/>
      <c r="CS72" s="662"/>
      <c r="CT72" s="662"/>
      <c r="CU72" s="662"/>
      <c r="CV72" s="662"/>
      <c r="CW72" s="662"/>
      <c r="CX72" s="662"/>
      <c r="CY72" s="662"/>
      <c r="CZ72" s="662"/>
      <c r="DA72" s="662"/>
      <c r="DB72" s="662"/>
      <c r="DC72" s="662"/>
      <c r="DD72" s="662"/>
      <c r="DE72" s="662"/>
      <c r="DF72" s="662"/>
      <c r="DG72" s="662"/>
      <c r="DH72" s="662"/>
      <c r="DI72" s="662"/>
      <c r="DJ72" s="662"/>
      <c r="DK72" s="662"/>
      <c r="DL72" s="662"/>
      <c r="DM72" s="662"/>
      <c r="DN72" s="662"/>
      <c r="DO72" s="662"/>
      <c r="DP72" s="662"/>
      <c r="DQ72" s="662"/>
      <c r="DR72" s="662"/>
      <c r="DS72" s="662"/>
      <c r="DT72" s="662"/>
      <c r="DU72" s="662"/>
      <c r="DV72" s="662"/>
      <c r="DW72" s="662"/>
      <c r="DX72" s="662"/>
      <c r="DY72" s="662"/>
      <c r="DZ72" s="662"/>
      <c r="EA72" s="662"/>
      <c r="EB72" s="662"/>
      <c r="EC72" s="662"/>
      <c r="ED72" s="662"/>
      <c r="EE72" s="662"/>
      <c r="EF72" s="662"/>
      <c r="EG72" s="662"/>
      <c r="EH72" s="662"/>
      <c r="EI72" s="662"/>
      <c r="EJ72" s="662"/>
      <c r="EK72" s="662"/>
      <c r="EL72" s="662"/>
      <c r="EM72" s="662"/>
      <c r="EN72" s="662"/>
      <c r="EO72" s="662"/>
      <c r="EP72" s="662"/>
      <c r="EQ72" s="662"/>
      <c r="ER72" s="662"/>
      <c r="ES72" s="662"/>
      <c r="ET72" s="662"/>
      <c r="EU72" s="662"/>
      <c r="EV72" s="662"/>
      <c r="EW72" s="662"/>
      <c r="EX72" s="662"/>
      <c r="EY72" s="662"/>
      <c r="EZ72" s="662"/>
      <c r="FA72" s="662"/>
      <c r="FB72" s="662"/>
      <c r="FC72" s="662"/>
      <c r="FD72" s="662"/>
      <c r="FE72" s="662"/>
      <c r="FF72" s="662"/>
      <c r="FG72" s="662"/>
      <c r="FH72" s="662"/>
      <c r="FI72" s="662"/>
      <c r="FJ72" s="662"/>
      <c r="FK72" s="662"/>
      <c r="FL72" s="662"/>
      <c r="FM72" s="662"/>
      <c r="FN72" s="662"/>
      <c r="FO72" s="662"/>
      <c r="FP72" s="662"/>
      <c r="FQ72" s="662"/>
      <c r="FR72" s="662"/>
      <c r="FS72" s="662"/>
      <c r="FT72" s="662"/>
      <c r="FU72" s="662"/>
      <c r="FV72" s="662"/>
      <c r="FW72" s="662"/>
      <c r="FX72" s="662"/>
      <c r="FY72" s="662"/>
      <c r="FZ72" s="662"/>
      <c r="GA72" s="662"/>
      <c r="GB72" s="662"/>
      <c r="GC72" s="662"/>
      <c r="GD72" s="662"/>
      <c r="GE72" s="662"/>
      <c r="GF72" s="662"/>
      <c r="GG72" s="662"/>
      <c r="GH72" s="662"/>
      <c r="GI72" s="662"/>
      <c r="GJ72" s="662"/>
      <c r="GK72" s="662"/>
      <c r="GL72" s="662"/>
      <c r="GM72" s="662"/>
      <c r="GN72" s="662"/>
      <c r="GO72" s="662"/>
      <c r="GP72" s="662"/>
      <c r="GQ72" s="662"/>
      <c r="GR72" s="662"/>
      <c r="GS72" s="662"/>
      <c r="GT72" s="662"/>
      <c r="GU72" s="662"/>
      <c r="GV72" s="662"/>
      <c r="GW72" s="662"/>
      <c r="GX72" s="662"/>
      <c r="GY72" s="662"/>
      <c r="GZ72" s="662"/>
      <c r="HA72" s="662"/>
      <c r="HB72" s="662"/>
      <c r="HC72" s="662"/>
      <c r="HD72" s="662"/>
      <c r="HE72" s="662"/>
      <c r="HF72" s="662"/>
      <c r="HG72" s="662"/>
      <c r="HH72" s="662"/>
      <c r="HI72" s="662"/>
      <c r="HJ72" s="662"/>
      <c r="HK72" s="662"/>
      <c r="HL72" s="662"/>
      <c r="HM72" s="662"/>
      <c r="HN72" s="662"/>
      <c r="HO72" s="662"/>
      <c r="HP72" s="662"/>
      <c r="HQ72" s="662"/>
      <c r="HR72" s="662"/>
      <c r="HS72" s="662"/>
      <c r="HT72" s="662"/>
      <c r="HU72" s="662"/>
      <c r="HV72" s="662"/>
      <c r="HW72" s="662"/>
      <c r="HX72" s="662"/>
      <c r="HY72" s="662"/>
      <c r="HZ72" s="662"/>
      <c r="IA72" s="662"/>
      <c r="IB72" s="662"/>
      <c r="IC72" s="662"/>
      <c r="ID72" s="662"/>
      <c r="IE72" s="662"/>
      <c r="IF72" s="662"/>
      <c r="IG72" s="662"/>
      <c r="IH72" s="662"/>
      <c r="II72" s="662"/>
      <c r="IJ72" s="662"/>
      <c r="IK72" s="662"/>
      <c r="IL72" s="662"/>
      <c r="IM72" s="662"/>
      <c r="IN72" s="662"/>
      <c r="IO72" s="662"/>
      <c r="IP72" s="662"/>
      <c r="IQ72" s="662"/>
      <c r="IR72" s="662"/>
      <c r="IS72" s="662"/>
      <c r="IT72" s="662"/>
      <c r="IU72" s="662"/>
      <c r="IV72" s="662"/>
      <c r="IW72" s="662"/>
    </row>
    <row r="73" customFormat="false" ht="12.75" hidden="false" customHeight="false" outlineLevel="1" collapsed="false">
      <c r="A73" s="670"/>
      <c r="E73" s="368"/>
      <c r="F73" s="368"/>
      <c r="G73" s="368"/>
      <c r="H73" s="368"/>
      <c r="I73" s="368"/>
      <c r="J73" s="368"/>
      <c r="K73" s="368"/>
      <c r="L73" s="368"/>
      <c r="M73" s="368"/>
      <c r="N73" s="368"/>
      <c r="O73" s="368"/>
      <c r="P73" s="368"/>
      <c r="Q73" s="368"/>
      <c r="R73" s="368"/>
      <c r="S73" s="368"/>
      <c r="T73" s="368"/>
      <c r="U73" s="368"/>
      <c r="V73" s="368"/>
      <c r="W73" s="368"/>
      <c r="X73" s="368"/>
      <c r="Y73" s="368"/>
      <c r="Z73" s="368"/>
    </row>
    <row r="74" customFormat="false" ht="12.75" hidden="false" customHeight="false" outlineLevel="1" collapsed="false">
      <c r="A74" s="388"/>
      <c r="E74" s="368"/>
      <c r="F74" s="368"/>
      <c r="G74" s="368"/>
      <c r="H74" s="368"/>
      <c r="I74" s="368"/>
      <c r="J74" s="368"/>
      <c r="K74" s="368"/>
      <c r="L74" s="368"/>
      <c r="M74" s="368"/>
      <c r="N74" s="368"/>
      <c r="O74" s="368"/>
      <c r="P74" s="368"/>
      <c r="Q74" s="368"/>
      <c r="R74" s="368"/>
      <c r="S74" s="368"/>
      <c r="T74" s="368"/>
      <c r="U74" s="368"/>
      <c r="V74" s="368"/>
      <c r="W74" s="368"/>
      <c r="X74" s="368"/>
      <c r="Y74" s="368"/>
      <c r="Z74" s="368"/>
    </row>
    <row r="75" customFormat="false" ht="12.75" hidden="false" customHeight="true" outlineLevel="1" collapsed="false">
      <c r="A75" s="388" t="s">
        <v>464</v>
      </c>
      <c r="B75" s="664"/>
      <c r="C75" s="665" t="n">
        <f aca="false">$C$60</f>
        <v>0.5</v>
      </c>
      <c r="D75" s="665"/>
      <c r="E75" s="667" t="n">
        <f aca="false">$C$75*E54</f>
        <v>0</v>
      </c>
      <c r="F75" s="667" t="n">
        <f aca="false">$C$75*F54</f>
        <v>-136.177482850051</v>
      </c>
      <c r="G75" s="667" t="n">
        <f aca="false">$C$75*G54</f>
        <v>1075.75832133119</v>
      </c>
      <c r="H75" s="667" t="n">
        <f aca="false">$C$75*H54</f>
        <v>1167.9114759792</v>
      </c>
      <c r="I75" s="667" t="n">
        <f aca="false">$C$75*I54</f>
        <v>3835.44774940984</v>
      </c>
      <c r="J75" s="667" t="n">
        <f aca="false">$C$75*J54</f>
        <v>3999.96658709463</v>
      </c>
      <c r="K75" s="667" t="n">
        <f aca="false">$C$75*K54</f>
        <v>4211.08828990642</v>
      </c>
      <c r="L75" s="667" t="n">
        <f aca="false">$C$75*L54</f>
        <v>4430.95923333778</v>
      </c>
      <c r="M75" s="667" t="n">
        <f aca="false">$C$75*M54</f>
        <v>4870.7634157081</v>
      </c>
      <c r="N75" s="667" t="n">
        <f aca="false">$C$75*N54</f>
        <v>5132.82896126075</v>
      </c>
      <c r="O75" s="667" t="n">
        <f aca="false">$C$75*O54</f>
        <v>5643.72845323782</v>
      </c>
      <c r="P75" s="667" t="n">
        <f aca="false">$C$75*P54</f>
        <v>5929.09350749481</v>
      </c>
      <c r="Q75" s="667" t="n">
        <f aca="false">$C$75*Q54</f>
        <v>6422.52221660386</v>
      </c>
      <c r="R75" s="667" t="n">
        <f aca="false">$C$75*R54</f>
        <v>6706.04235443676</v>
      </c>
      <c r="S75" s="667" t="n">
        <f aca="false">$C$75*S54</f>
        <v>7001.92515569651</v>
      </c>
      <c r="T75" s="667" t="n">
        <f aca="false">$C$75*T54</f>
        <v>7307.59037221914</v>
      </c>
      <c r="U75" s="667" t="n">
        <f aca="false">$C$75*U54</f>
        <v>7626.32034313674</v>
      </c>
      <c r="V75" s="667" t="n">
        <f aca="false">$C$75*V54</f>
        <v>7953.28472631735</v>
      </c>
      <c r="W75" s="667" t="n">
        <f aca="false">$C$75*W54</f>
        <v>8274.00849240439</v>
      </c>
      <c r="X75" s="667" t="n">
        <f aca="false">$C$75*X54</f>
        <v>8570.48266426958</v>
      </c>
      <c r="Y75" s="667" t="n">
        <f aca="false">$C$75*Y54</f>
        <v>8828.2961685165</v>
      </c>
      <c r="Z75" s="667" t="n">
        <f aca="false">$C$75*Z54</f>
        <v>8969.7782802811</v>
      </c>
    </row>
    <row r="76" customFormat="false" ht="12.75" hidden="false" customHeight="false" outlineLevel="1" collapsed="false">
      <c r="A76" s="388" t="s">
        <v>465</v>
      </c>
      <c r="B76" s="664"/>
      <c r="C76" s="665" t="n">
        <f aca="false">$C$60</f>
        <v>0.5</v>
      </c>
      <c r="D76" s="665"/>
      <c r="E76" s="667" t="n">
        <f aca="false">$C$76*E72</f>
        <v>0</v>
      </c>
      <c r="F76" s="667" t="n">
        <f aca="false">$C$76*F72</f>
        <v>3233.64818487207</v>
      </c>
      <c r="G76" s="667" t="n">
        <f aca="false">$C$76*G72</f>
        <v>4890.7353381931</v>
      </c>
      <c r="H76" s="667" t="n">
        <f aca="false">$C$76*H72</f>
        <v>4517.70590297005</v>
      </c>
      <c r="I76" s="667" t="n">
        <f aca="false">$C$76*I72</f>
        <v>7384.04555790109</v>
      </c>
      <c r="J76" s="667" t="n">
        <f aca="false">$C$76*J72</f>
        <v>7064.26397776156</v>
      </c>
      <c r="K76" s="667" t="n">
        <f aca="false">$C$76*K72</f>
        <v>6667.0764623307</v>
      </c>
      <c r="L76" s="667" t="n">
        <f aca="false">$C$76*L72</f>
        <v>6320.59858857091</v>
      </c>
      <c r="M76" s="667" t="n">
        <f aca="false">$C$76*M72</f>
        <v>6391.01563010852</v>
      </c>
      <c r="N76" s="667" t="n">
        <f aca="false">$C$76*N72</f>
        <v>6258.04081644582</v>
      </c>
      <c r="O76" s="667" t="n">
        <f aca="false">$C$76*O72</f>
        <v>6315.80314787111</v>
      </c>
      <c r="P76" s="667" t="n">
        <f aca="false">$C$76*P72</f>
        <v>7304.28191253578</v>
      </c>
      <c r="Q76" s="667" t="n">
        <f aca="false">$C$76*Q72</f>
        <v>7854.49786050326</v>
      </c>
      <c r="R76" s="667" t="n">
        <f aca="false">$C$76*R72</f>
        <v>7806.45324875849</v>
      </c>
      <c r="S76" s="667" t="n">
        <f aca="false">$C$76*S72</f>
        <v>7891.56565617811</v>
      </c>
      <c r="T76" s="667" t="n">
        <f aca="false">$C$76*T72</f>
        <v>7942.06470839919</v>
      </c>
      <c r="U76" s="667" t="n">
        <f aca="false">$C$76*U72</f>
        <v>6731.22129890218</v>
      </c>
      <c r="V76" s="667" t="n">
        <f aca="false">$C$76*V72</f>
        <v>5798.50455139243</v>
      </c>
      <c r="W76" s="667" t="n">
        <f aca="false">$C$76*W72</f>
        <v>6208.18158611223</v>
      </c>
      <c r="X76" s="667" t="n">
        <f aca="false">$C$76*X72</f>
        <v>7006.51795843396</v>
      </c>
      <c r="Y76" s="667" t="n">
        <f aca="false">$C$76*Y72</f>
        <v>7866.10742919785</v>
      </c>
      <c r="Z76" s="667" t="n">
        <f aca="false">$C$76*Z72</f>
        <v>11088.2540529555</v>
      </c>
    </row>
    <row r="77" customFormat="false" ht="12.75" hidden="false" customHeight="false" outlineLevel="1" collapsed="false">
      <c r="A77" s="388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</row>
    <row r="78" customFormat="false" ht="12.75" hidden="false" customHeight="false" outlineLevel="1" collapsed="false">
      <c r="A78" s="398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</row>
    <row r="79" customFormat="false" ht="12.75" hidden="false" customHeight="false" outlineLevel="1" collapsed="false">
      <c r="A79" s="398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</row>
    <row r="80" customFormat="false" ht="12.75" hidden="false" customHeight="false" outlineLevel="1" collapsed="false">
      <c r="A80" s="398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</row>
    <row r="81" customFormat="false" ht="12.75" hidden="false" customHeight="false" outlineLevel="1" collapsed="false">
      <c r="A81" s="245"/>
      <c r="B81" s="70"/>
      <c r="C81" s="70"/>
      <c r="D81" s="70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  <c r="Z81" s="102"/>
    </row>
    <row r="82" customFormat="false" ht="13.5" hidden="false" customHeight="false" outlineLevel="1" collapsed="false">
      <c r="A82" s="464"/>
      <c r="B82" s="671"/>
      <c r="C82" s="672"/>
      <c r="D82" s="672"/>
      <c r="E82" s="672"/>
      <c r="F82" s="672"/>
      <c r="G82" s="672"/>
      <c r="H82" s="672"/>
      <c r="I82" s="672"/>
      <c r="J82" s="672"/>
      <c r="K82" s="672"/>
      <c r="L82" s="672"/>
      <c r="M82" s="672"/>
      <c r="N82" s="672"/>
      <c r="O82" s="672"/>
      <c r="P82" s="672"/>
      <c r="Q82" s="102"/>
      <c r="R82" s="102"/>
      <c r="S82" s="102"/>
      <c r="T82" s="102"/>
      <c r="U82" s="102"/>
      <c r="V82" s="102"/>
      <c r="W82" s="102"/>
      <c r="X82" s="102"/>
      <c r="Y82" s="102"/>
      <c r="Z82" s="102"/>
    </row>
    <row r="83" customFormat="false" ht="12.75" hidden="false" customHeight="false" outlineLevel="1" collapsed="false">
      <c r="A83" s="464"/>
      <c r="B83" s="70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102"/>
      <c r="R83" s="102"/>
      <c r="S83" s="102"/>
      <c r="T83" s="102"/>
      <c r="U83" s="102"/>
      <c r="V83" s="102"/>
      <c r="W83" s="102"/>
      <c r="X83" s="102"/>
      <c r="Y83" s="102"/>
      <c r="Z83" s="102"/>
    </row>
    <row r="84" customFormat="false" ht="15.75" hidden="false" customHeight="false" outlineLevel="1" collapsed="false">
      <c r="A84" s="673"/>
      <c r="B84" s="70"/>
      <c r="C84" s="70"/>
      <c r="D84" s="70"/>
      <c r="E84" s="70"/>
      <c r="F84" s="70"/>
      <c r="G84" s="70"/>
      <c r="H84" s="70"/>
      <c r="I84" s="70"/>
      <c r="J84" s="674"/>
      <c r="K84" s="70"/>
      <c r="L84" s="70"/>
      <c r="M84" s="70"/>
      <c r="N84" s="70"/>
      <c r="O84" s="70"/>
      <c r="P84" s="70"/>
      <c r="Q84" s="102"/>
      <c r="R84" s="102"/>
      <c r="S84" s="102"/>
      <c r="T84" s="102"/>
      <c r="U84" s="102"/>
      <c r="V84" s="102"/>
      <c r="W84" s="102"/>
      <c r="X84" s="102"/>
      <c r="Y84" s="102"/>
      <c r="Z84" s="102"/>
    </row>
    <row r="85" customFormat="false" ht="12.75" hidden="false" customHeight="false" outlineLevel="1" collapsed="false">
      <c r="A85" s="395"/>
      <c r="B85" s="70"/>
      <c r="C85" s="674"/>
      <c r="D85" s="674"/>
      <c r="E85" s="674"/>
      <c r="F85" s="674"/>
      <c r="G85" s="674"/>
      <c r="H85" s="674"/>
      <c r="I85" s="674"/>
      <c r="J85" s="674"/>
      <c r="K85" s="674"/>
      <c r="L85" s="674"/>
      <c r="M85" s="674"/>
      <c r="N85" s="674"/>
      <c r="O85" s="674"/>
      <c r="P85" s="674"/>
      <c r="Q85" s="102"/>
      <c r="R85" s="102"/>
      <c r="S85" s="102"/>
      <c r="T85" s="102"/>
      <c r="U85" s="102"/>
      <c r="V85" s="102"/>
      <c r="W85" s="102"/>
      <c r="X85" s="102"/>
      <c r="Y85" s="102"/>
      <c r="Z85" s="102"/>
    </row>
    <row r="86" customFormat="false" ht="12.75" hidden="false" customHeight="false" outlineLevel="1" collapsed="false">
      <c r="A86" s="70"/>
      <c r="B86" s="70"/>
      <c r="C86" s="674"/>
      <c r="D86" s="674"/>
      <c r="E86" s="674"/>
      <c r="F86" s="674"/>
      <c r="G86" s="674"/>
      <c r="H86" s="674"/>
      <c r="I86" s="674"/>
      <c r="J86" s="674"/>
      <c r="K86" s="674"/>
      <c r="L86" s="674"/>
      <c r="M86" s="674"/>
      <c r="N86" s="674"/>
      <c r="O86" s="674"/>
      <c r="P86" s="674"/>
      <c r="Q86" s="102"/>
      <c r="R86" s="102"/>
      <c r="S86" s="102"/>
      <c r="T86" s="102"/>
      <c r="U86" s="102"/>
      <c r="V86" s="102"/>
      <c r="W86" s="102"/>
      <c r="X86" s="102"/>
      <c r="Y86" s="102"/>
      <c r="Z86" s="102"/>
    </row>
    <row r="87" customFormat="false" ht="12.75" hidden="false" customHeight="false" outlineLevel="1" collapsed="false">
      <c r="A87" s="70"/>
      <c r="B87" s="70"/>
      <c r="C87" s="674"/>
      <c r="D87" s="674"/>
      <c r="E87" s="70"/>
      <c r="F87" s="70"/>
      <c r="G87" s="70"/>
      <c r="H87" s="70"/>
      <c r="I87" s="674"/>
      <c r="J87" s="70"/>
      <c r="K87" s="70"/>
      <c r="L87" s="70"/>
      <c r="M87" s="70"/>
      <c r="N87" s="674"/>
      <c r="O87" s="674"/>
      <c r="P87" s="674"/>
      <c r="Q87" s="102"/>
      <c r="R87" s="102"/>
      <c r="S87" s="102"/>
      <c r="T87" s="102"/>
      <c r="U87" s="102"/>
      <c r="V87" s="102"/>
      <c r="W87" s="102"/>
      <c r="X87" s="102"/>
      <c r="Y87" s="102"/>
      <c r="Z87" s="102"/>
    </row>
    <row r="88" customFormat="false" ht="12.75" hidden="false" customHeight="false" outlineLevel="0" collapsed="false">
      <c r="A88" s="70"/>
      <c r="B88" s="70"/>
      <c r="C88" s="674"/>
      <c r="D88" s="674"/>
      <c r="E88" s="674"/>
      <c r="F88" s="674"/>
      <c r="G88" s="674"/>
      <c r="H88" s="674"/>
      <c r="I88" s="674"/>
      <c r="J88" s="674"/>
      <c r="K88" s="674"/>
      <c r="L88" s="674"/>
      <c r="M88" s="674"/>
      <c r="N88" s="674"/>
      <c r="O88" s="674"/>
      <c r="P88" s="674"/>
      <c r="Q88" s="321"/>
      <c r="R88" s="321"/>
      <c r="S88" s="321"/>
      <c r="T88" s="321"/>
      <c r="U88" s="321"/>
      <c r="V88" s="321"/>
      <c r="W88" s="321"/>
      <c r="X88" s="321"/>
      <c r="Y88" s="321"/>
      <c r="Z88" s="321"/>
    </row>
    <row r="89" customFormat="false" ht="12.75" hidden="false" customHeight="false" outlineLevel="1" collapsed="false">
      <c r="A89" s="70"/>
      <c r="B89" s="70"/>
      <c r="C89" s="674"/>
      <c r="D89" s="674"/>
      <c r="E89" s="674"/>
      <c r="F89" s="674"/>
      <c r="G89" s="674"/>
      <c r="H89" s="70"/>
      <c r="I89" s="674"/>
      <c r="J89" s="674"/>
      <c r="K89" s="674"/>
      <c r="L89" s="674"/>
      <c r="M89" s="674"/>
      <c r="N89" s="674"/>
      <c r="O89" s="674"/>
      <c r="P89" s="674"/>
      <c r="Q89" s="102"/>
      <c r="R89" s="102"/>
      <c r="S89" s="102"/>
      <c r="T89" s="102"/>
      <c r="U89" s="102"/>
      <c r="V89" s="102"/>
      <c r="W89" s="102"/>
      <c r="X89" s="102"/>
      <c r="Y89" s="102"/>
      <c r="Z89" s="102"/>
    </row>
    <row r="90" customFormat="false" ht="12.75" hidden="false" customHeight="false" outlineLevel="1" collapsed="false">
      <c r="A90" s="70"/>
      <c r="B90" s="70"/>
      <c r="C90" s="674"/>
      <c r="D90" s="674"/>
      <c r="E90" s="674"/>
      <c r="F90" s="674"/>
      <c r="G90" s="674"/>
      <c r="H90" s="70"/>
      <c r="I90" s="674"/>
      <c r="J90" s="674"/>
      <c r="K90" s="674"/>
      <c r="L90" s="674"/>
      <c r="M90" s="674"/>
      <c r="N90" s="674"/>
      <c r="O90" s="674"/>
      <c r="P90" s="674"/>
      <c r="Q90" s="102"/>
      <c r="R90" s="102"/>
      <c r="S90" s="102"/>
      <c r="T90" s="102"/>
      <c r="U90" s="102"/>
      <c r="V90" s="102"/>
      <c r="W90" s="102"/>
      <c r="X90" s="102"/>
      <c r="Y90" s="102"/>
      <c r="Z90" s="102"/>
    </row>
    <row r="91" customFormat="false" ht="12.75" hidden="false" customHeight="false" outlineLevel="1" collapsed="false">
      <c r="A91" s="70"/>
      <c r="B91" s="70"/>
      <c r="C91" s="674"/>
      <c r="D91" s="674"/>
      <c r="E91" s="674"/>
      <c r="F91" s="674"/>
      <c r="G91" s="674"/>
      <c r="H91" s="674"/>
      <c r="I91" s="674"/>
      <c r="J91" s="674"/>
      <c r="K91" s="674"/>
      <c r="L91" s="674"/>
      <c r="M91" s="674"/>
      <c r="N91" s="674"/>
      <c r="O91" s="674"/>
      <c r="P91" s="674"/>
      <c r="Q91" s="102"/>
      <c r="R91" s="102"/>
      <c r="S91" s="102"/>
      <c r="T91" s="102"/>
      <c r="U91" s="102"/>
      <c r="V91" s="102"/>
      <c r="W91" s="102"/>
      <c r="X91" s="102"/>
      <c r="Y91" s="102"/>
      <c r="Z91" s="102"/>
    </row>
    <row r="92" customFormat="false" ht="12.75" hidden="false" customHeight="false" outlineLevel="1" collapsed="false">
      <c r="A92" s="70"/>
      <c r="B92" s="70"/>
      <c r="C92" s="674"/>
      <c r="D92" s="674"/>
      <c r="E92" s="674"/>
      <c r="F92" s="674"/>
      <c r="G92" s="674"/>
      <c r="H92" s="674"/>
      <c r="I92" s="674"/>
      <c r="J92" s="674"/>
      <c r="K92" s="674"/>
      <c r="L92" s="674"/>
      <c r="M92" s="674"/>
      <c r="N92" s="674"/>
      <c r="O92" s="674"/>
      <c r="P92" s="674"/>
      <c r="Q92" s="102"/>
      <c r="R92" s="102"/>
      <c r="S92" s="102"/>
      <c r="T92" s="102"/>
      <c r="U92" s="102"/>
      <c r="V92" s="102"/>
      <c r="W92" s="102"/>
      <c r="X92" s="102"/>
      <c r="Y92" s="102"/>
      <c r="Z92" s="102"/>
    </row>
    <row r="93" customFormat="false" ht="12.75" hidden="false" customHeight="false" outlineLevel="1" collapsed="false">
      <c r="A93" s="70"/>
      <c r="B93" s="70"/>
      <c r="C93" s="674"/>
      <c r="D93" s="674"/>
      <c r="E93" s="674"/>
      <c r="F93" s="674"/>
      <c r="G93" s="674"/>
      <c r="H93" s="674"/>
      <c r="I93" s="674"/>
      <c r="J93" s="674"/>
      <c r="K93" s="674"/>
      <c r="L93" s="674"/>
      <c r="M93" s="674"/>
      <c r="N93" s="674"/>
      <c r="O93" s="674"/>
      <c r="P93" s="674"/>
      <c r="Q93" s="102"/>
      <c r="R93" s="102"/>
      <c r="S93" s="102"/>
      <c r="T93" s="102"/>
      <c r="U93" s="102"/>
      <c r="V93" s="102"/>
      <c r="W93" s="102"/>
      <c r="X93" s="102"/>
      <c r="Y93" s="102"/>
      <c r="Z93" s="102"/>
    </row>
    <row r="94" customFormat="false" ht="12.75" hidden="false" customHeight="false" outlineLevel="1" collapsed="false">
      <c r="A94" s="395"/>
      <c r="B94" s="70"/>
      <c r="C94" s="674"/>
      <c r="D94" s="674"/>
      <c r="E94" s="674"/>
      <c r="F94" s="674"/>
      <c r="G94" s="674"/>
      <c r="H94" s="674"/>
      <c r="I94" s="674"/>
      <c r="J94" s="674"/>
      <c r="K94" s="674"/>
      <c r="L94" s="674"/>
      <c r="M94" s="674"/>
      <c r="N94" s="674"/>
      <c r="O94" s="674"/>
      <c r="P94" s="674"/>
      <c r="Q94" s="102"/>
      <c r="R94" s="102"/>
      <c r="S94" s="102"/>
      <c r="T94" s="102"/>
      <c r="U94" s="102"/>
      <c r="V94" s="102"/>
      <c r="W94" s="102"/>
      <c r="X94" s="102"/>
      <c r="Y94" s="102"/>
      <c r="Z94" s="102"/>
    </row>
    <row r="95" customFormat="false" ht="12.75" hidden="false" customHeight="false" outlineLevel="1" collapsed="false">
      <c r="A95" s="395"/>
      <c r="B95" s="70"/>
      <c r="C95" s="674"/>
      <c r="D95" s="674"/>
      <c r="E95" s="674"/>
      <c r="F95" s="674"/>
      <c r="G95" s="674"/>
      <c r="H95" s="674"/>
      <c r="I95" s="674"/>
      <c r="J95" s="674"/>
      <c r="K95" s="674"/>
      <c r="L95" s="674"/>
      <c r="M95" s="674"/>
      <c r="N95" s="674"/>
      <c r="O95" s="674"/>
      <c r="P95" s="674"/>
      <c r="Q95" s="102"/>
      <c r="R95" s="102"/>
      <c r="S95" s="102"/>
      <c r="T95" s="102"/>
      <c r="U95" s="102"/>
      <c r="V95" s="102"/>
      <c r="W95" s="102"/>
      <c r="X95" s="102"/>
      <c r="Y95" s="102"/>
      <c r="Z95" s="102"/>
    </row>
    <row r="96" customFormat="false" ht="12.75" hidden="false" customHeight="false" outlineLevel="1" collapsed="false">
      <c r="A96" s="70"/>
      <c r="B96" s="70"/>
      <c r="C96" s="674"/>
      <c r="D96" s="674"/>
      <c r="E96" s="674"/>
      <c r="F96" s="674"/>
      <c r="G96" s="674"/>
      <c r="H96" s="674"/>
      <c r="I96" s="674"/>
      <c r="J96" s="674"/>
      <c r="K96" s="674"/>
      <c r="L96" s="674"/>
      <c r="M96" s="674"/>
      <c r="N96" s="674"/>
      <c r="O96" s="674"/>
      <c r="P96" s="674"/>
      <c r="Q96" s="102"/>
      <c r="R96" s="102"/>
      <c r="S96" s="102"/>
      <c r="T96" s="102"/>
      <c r="U96" s="102"/>
      <c r="V96" s="102"/>
      <c r="W96" s="102"/>
      <c r="X96" s="102"/>
      <c r="Y96" s="102"/>
      <c r="Z96" s="102"/>
    </row>
    <row r="97" customFormat="false" ht="12.75" hidden="false" customHeight="false" outlineLevel="1" collapsed="false">
      <c r="A97" s="395"/>
      <c r="B97" s="70"/>
      <c r="C97" s="674"/>
      <c r="D97" s="674"/>
      <c r="E97" s="674"/>
      <c r="F97" s="674"/>
      <c r="G97" s="674"/>
      <c r="H97" s="674"/>
      <c r="I97" s="674"/>
      <c r="J97" s="674"/>
      <c r="K97" s="674"/>
      <c r="L97" s="674"/>
      <c r="M97" s="674"/>
      <c r="N97" s="674"/>
      <c r="O97" s="674"/>
      <c r="P97" s="674"/>
      <c r="Q97" s="102"/>
      <c r="R97" s="102"/>
      <c r="S97" s="102"/>
      <c r="T97" s="102"/>
      <c r="U97" s="102"/>
      <c r="V97" s="102"/>
      <c r="W97" s="102"/>
      <c r="X97" s="102"/>
      <c r="Y97" s="102"/>
      <c r="Z97" s="102"/>
    </row>
    <row r="98" customFormat="false" ht="12.75" hidden="false" customHeight="false" outlineLevel="1" collapsed="false">
      <c r="A98" s="70"/>
      <c r="B98" s="70"/>
      <c r="C98" s="674"/>
      <c r="D98" s="674"/>
      <c r="E98" s="674"/>
      <c r="F98" s="674"/>
      <c r="G98" s="674"/>
      <c r="H98" s="674"/>
      <c r="I98" s="674"/>
      <c r="J98" s="674"/>
      <c r="K98" s="674"/>
      <c r="L98" s="674"/>
      <c r="M98" s="674"/>
      <c r="N98" s="674"/>
      <c r="O98" s="674"/>
      <c r="P98" s="674"/>
      <c r="Q98" s="102"/>
      <c r="R98" s="102"/>
      <c r="S98" s="102"/>
      <c r="T98" s="102"/>
      <c r="U98" s="102"/>
      <c r="V98" s="102"/>
      <c r="W98" s="102"/>
      <c r="X98" s="102"/>
      <c r="Y98" s="102"/>
      <c r="Z98" s="102"/>
    </row>
    <row r="99" customFormat="false" ht="12.75" hidden="false" customHeight="false" outlineLevel="1" collapsed="false">
      <c r="A99" s="70"/>
      <c r="B99" s="395"/>
      <c r="C99" s="675"/>
      <c r="D99" s="675"/>
      <c r="E99" s="675"/>
      <c r="F99" s="675"/>
      <c r="G99" s="675"/>
      <c r="H99" s="675"/>
      <c r="I99" s="675"/>
      <c r="J99" s="675"/>
      <c r="K99" s="675"/>
      <c r="L99" s="675"/>
      <c r="M99" s="675"/>
      <c r="N99" s="675"/>
      <c r="O99" s="675"/>
      <c r="P99" s="675"/>
      <c r="Q99" s="102"/>
      <c r="R99" s="102"/>
      <c r="S99" s="102"/>
      <c r="T99" s="102"/>
      <c r="U99" s="102"/>
      <c r="V99" s="102"/>
      <c r="W99" s="102"/>
      <c r="X99" s="102"/>
      <c r="Y99" s="102"/>
      <c r="Z99" s="102"/>
    </row>
    <row r="100" customFormat="false" ht="12.75" hidden="false" customHeight="false" outlineLevel="1" collapsed="false">
      <c r="A100" s="70"/>
      <c r="B100" s="395"/>
      <c r="C100" s="675"/>
      <c r="D100" s="675"/>
      <c r="E100" s="675"/>
      <c r="F100" s="675"/>
      <c r="G100" s="675"/>
      <c r="H100" s="675"/>
      <c r="I100" s="675"/>
      <c r="J100" s="675"/>
      <c r="K100" s="675"/>
      <c r="L100" s="675"/>
      <c r="M100" s="675"/>
      <c r="N100" s="675"/>
      <c r="O100" s="675"/>
      <c r="P100" s="675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</row>
    <row r="101" customFormat="false" ht="12.75" hidden="false" customHeight="false" outlineLevel="1" collapsed="false">
      <c r="A101" s="395"/>
      <c r="B101" s="395"/>
      <c r="C101" s="675"/>
      <c r="D101" s="675"/>
      <c r="E101" s="675"/>
      <c r="F101" s="675"/>
      <c r="G101" s="675"/>
      <c r="H101" s="675"/>
      <c r="I101" s="675"/>
      <c r="J101" s="675"/>
      <c r="K101" s="675"/>
      <c r="L101" s="675"/>
      <c r="M101" s="675"/>
      <c r="N101" s="675"/>
      <c r="O101" s="675"/>
      <c r="P101" s="675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</row>
    <row r="102" customFormat="false" ht="12.75" hidden="false" customHeight="false" outlineLevel="1" collapsed="false">
      <c r="A102" s="395"/>
      <c r="B102" s="70"/>
      <c r="C102" s="675"/>
      <c r="D102" s="675"/>
      <c r="E102" s="675"/>
      <c r="F102" s="675"/>
      <c r="G102" s="675"/>
      <c r="H102" s="675"/>
      <c r="I102" s="675"/>
      <c r="J102" s="675"/>
      <c r="K102" s="675"/>
      <c r="L102" s="675"/>
      <c r="M102" s="675"/>
      <c r="N102" s="675"/>
      <c r="O102" s="675"/>
      <c r="P102" s="675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</row>
    <row r="103" customFormat="false" ht="14.25" hidden="false" customHeight="false" outlineLevel="1" collapsed="false">
      <c r="A103" s="676"/>
      <c r="B103" s="70"/>
      <c r="C103" s="675"/>
      <c r="D103" s="675"/>
      <c r="E103" s="675"/>
      <c r="F103" s="675"/>
      <c r="G103" s="675"/>
      <c r="H103" s="675"/>
      <c r="I103" s="675"/>
      <c r="J103" s="675"/>
      <c r="K103" s="675"/>
      <c r="L103" s="675"/>
      <c r="M103" s="675"/>
      <c r="N103" s="675"/>
      <c r="O103" s="675"/>
      <c r="P103" s="675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</row>
    <row r="104" customFormat="false" ht="14.25" hidden="false" customHeight="false" outlineLevel="1" collapsed="false">
      <c r="A104" s="70"/>
      <c r="B104" s="676"/>
      <c r="C104" s="675"/>
      <c r="D104" s="675"/>
      <c r="E104" s="675"/>
      <c r="F104" s="675"/>
      <c r="G104" s="675"/>
      <c r="H104" s="675"/>
      <c r="I104" s="675"/>
      <c r="J104" s="675"/>
      <c r="K104" s="675"/>
      <c r="L104" s="675"/>
      <c r="M104" s="675"/>
      <c r="N104" s="675"/>
      <c r="O104" s="675"/>
      <c r="P104" s="675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</row>
    <row r="105" customFormat="false" ht="15.75" hidden="false" customHeight="false" outlineLevel="1" collapsed="false">
      <c r="A105" s="673"/>
      <c r="B105" s="70"/>
      <c r="C105" s="70"/>
      <c r="D105" s="70"/>
      <c r="E105" s="674"/>
      <c r="F105" s="70"/>
      <c r="G105" s="70"/>
      <c r="H105" s="674"/>
      <c r="I105" s="70"/>
      <c r="J105" s="70"/>
      <c r="K105" s="70"/>
      <c r="L105" s="70"/>
      <c r="M105" s="70"/>
      <c r="N105" s="70"/>
      <c r="O105" s="70"/>
      <c r="P105" s="70"/>
      <c r="Q105" s="102"/>
      <c r="R105" s="102"/>
      <c r="S105" s="102"/>
      <c r="T105" s="102"/>
      <c r="U105" s="102"/>
      <c r="V105" s="102"/>
      <c r="W105" s="102"/>
      <c r="X105" s="102"/>
      <c r="Y105" s="102"/>
      <c r="Z105" s="102"/>
    </row>
    <row r="106" customFormat="false" ht="12.75" hidden="false" customHeight="false" outlineLevel="1" collapsed="false">
      <c r="A106" s="395"/>
      <c r="B106" s="70"/>
      <c r="C106" s="677"/>
      <c r="D106" s="677"/>
      <c r="E106" s="674"/>
      <c r="F106" s="674"/>
      <c r="G106" s="674"/>
      <c r="H106" s="678"/>
      <c r="I106" s="679"/>
      <c r="J106" s="679"/>
      <c r="K106" s="679"/>
      <c r="L106" s="679"/>
      <c r="M106" s="679"/>
      <c r="N106" s="679"/>
      <c r="O106" s="679"/>
      <c r="P106" s="679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</row>
    <row r="107" customFormat="false" ht="12.75" hidden="false" customHeight="false" outlineLevel="1" collapsed="false">
      <c r="A107" s="395"/>
      <c r="B107" s="198"/>
      <c r="C107" s="680"/>
      <c r="D107" s="680"/>
      <c r="E107" s="680"/>
      <c r="F107" s="680"/>
      <c r="G107" s="680"/>
      <c r="H107" s="680"/>
      <c r="I107" s="680"/>
      <c r="J107" s="680"/>
      <c r="K107" s="680"/>
      <c r="L107" s="680"/>
      <c r="M107" s="680"/>
      <c r="N107" s="680"/>
      <c r="O107" s="680"/>
      <c r="P107" s="680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</row>
    <row r="108" customFormat="false" ht="12.75" hidden="false" customHeight="false" outlineLevel="1" collapsed="false">
      <c r="A108" s="198"/>
      <c r="B108" s="198"/>
      <c r="C108" s="680"/>
      <c r="D108" s="680"/>
      <c r="E108" s="680"/>
      <c r="F108" s="680"/>
      <c r="G108" s="680"/>
      <c r="H108" s="680"/>
      <c r="I108" s="680"/>
      <c r="J108" s="680"/>
      <c r="K108" s="680"/>
      <c r="L108" s="680"/>
      <c r="M108" s="680"/>
      <c r="N108" s="680"/>
      <c r="O108" s="680"/>
      <c r="P108" s="680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</row>
    <row r="109" customFormat="false" ht="12.75" hidden="false" customHeight="false" outlineLevel="1" collapsed="false">
      <c r="A109" s="198"/>
      <c r="B109" s="198"/>
      <c r="C109" s="680"/>
      <c r="D109" s="680"/>
      <c r="E109" s="680"/>
      <c r="F109" s="680"/>
      <c r="G109" s="680"/>
      <c r="H109" s="680"/>
      <c r="I109" s="680"/>
      <c r="J109" s="680"/>
      <c r="K109" s="680"/>
      <c r="L109" s="680"/>
      <c r="M109" s="680"/>
      <c r="N109" s="680"/>
      <c r="O109" s="680"/>
      <c r="P109" s="680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</row>
    <row r="110" customFormat="false" ht="12.75" hidden="false" customHeight="false" outlineLevel="1" collapsed="false">
      <c r="A110" s="198"/>
      <c r="B110" s="70"/>
      <c r="C110" s="674"/>
      <c r="D110" s="674"/>
      <c r="E110" s="674"/>
      <c r="F110" s="674"/>
      <c r="G110" s="674"/>
      <c r="H110" s="674"/>
      <c r="I110" s="674"/>
      <c r="J110" s="674"/>
      <c r="K110" s="674"/>
      <c r="L110" s="674"/>
      <c r="M110" s="674"/>
      <c r="N110" s="674"/>
      <c r="O110" s="674"/>
      <c r="P110" s="674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</row>
    <row r="111" customFormat="false" ht="12.75" hidden="false" customHeight="false" outlineLevel="1" collapsed="false">
      <c r="A111" s="70"/>
      <c r="B111" s="395"/>
      <c r="C111" s="675"/>
      <c r="D111" s="675"/>
      <c r="E111" s="675"/>
      <c r="F111" s="675"/>
      <c r="G111" s="675"/>
      <c r="H111" s="675"/>
      <c r="I111" s="675"/>
      <c r="J111" s="675"/>
      <c r="K111" s="675"/>
      <c r="L111" s="675"/>
      <c r="M111" s="675"/>
      <c r="N111" s="675"/>
      <c r="O111" s="675"/>
      <c r="P111" s="675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</row>
    <row r="112" customFormat="false" ht="12.75" hidden="false" customHeight="false" outlineLevel="1" collapsed="false">
      <c r="A112" s="395"/>
      <c r="B112" s="395"/>
      <c r="C112" s="675"/>
      <c r="D112" s="675"/>
      <c r="E112" s="675"/>
      <c r="F112" s="675"/>
      <c r="G112" s="675"/>
      <c r="H112" s="675"/>
      <c r="I112" s="675"/>
      <c r="J112" s="675"/>
      <c r="K112" s="675"/>
      <c r="L112" s="675"/>
      <c r="M112" s="675"/>
      <c r="N112" s="675"/>
      <c r="O112" s="675"/>
      <c r="P112" s="675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</row>
    <row r="113" customFormat="false" ht="12.75" hidden="false" customHeight="false" outlineLevel="1" collapsed="false">
      <c r="A113" s="395"/>
      <c r="B113" s="70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</row>
    <row r="114" customFormat="false" ht="12.75" hidden="false" customHeight="false" outlineLevel="1" collapsed="false">
      <c r="A114" s="70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</row>
    <row r="115" customFormat="false" ht="12.75" hidden="false" customHeight="false" outlineLevel="1" collapsed="false">
      <c r="A115" s="70"/>
      <c r="B115" s="395"/>
      <c r="C115" s="675"/>
      <c r="D115" s="675"/>
      <c r="E115" s="675"/>
      <c r="F115" s="675"/>
      <c r="G115" s="675"/>
      <c r="H115" s="675"/>
      <c r="I115" s="675"/>
      <c r="J115" s="675"/>
      <c r="K115" s="675"/>
      <c r="L115" s="675"/>
      <c r="M115" s="675"/>
      <c r="N115" s="675"/>
      <c r="O115" s="675"/>
      <c r="P115" s="675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</row>
    <row r="116" customFormat="false" ht="14.25" hidden="false" customHeight="false" outlineLevel="1" collapsed="false">
      <c r="A116" s="676"/>
      <c r="B116" s="70"/>
      <c r="C116" s="674"/>
      <c r="D116" s="674"/>
      <c r="E116" s="674"/>
      <c r="F116" s="674"/>
      <c r="G116" s="674"/>
      <c r="H116" s="674"/>
      <c r="I116" s="674"/>
      <c r="J116" s="674"/>
      <c r="K116" s="674"/>
      <c r="L116" s="674"/>
      <c r="M116" s="674"/>
      <c r="N116" s="674"/>
      <c r="O116" s="674"/>
      <c r="P116" s="674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</row>
    <row r="117" customFormat="false" ht="12.75" hidden="false" customHeight="false" outlineLevel="1" collapsed="false">
      <c r="A117" s="366"/>
      <c r="B117" s="70"/>
      <c r="C117" s="70"/>
      <c r="D117" s="70"/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</row>
    <row r="118" customFormat="false" ht="12.75" hidden="false" customHeight="false" outlineLevel="1" collapsed="false">
      <c r="A118" s="367"/>
      <c r="B118" s="70"/>
      <c r="C118" s="70"/>
      <c r="D118" s="70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</row>
    <row r="119" customFormat="false" ht="12.75" hidden="false" customHeight="false" outlineLevel="1" collapsed="false">
      <c r="A119" s="367"/>
      <c r="B119" s="70"/>
      <c r="C119" s="70"/>
      <c r="D119" s="70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</row>
    <row r="120" customFormat="false" ht="12.75" hidden="false" customHeight="false" outlineLevel="1" collapsed="false">
      <c r="A120" s="367"/>
      <c r="B120" s="70"/>
      <c r="C120" s="70"/>
      <c r="D120" s="70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  <c r="Z120" s="102"/>
    </row>
    <row r="121" customFormat="false" ht="12.75" hidden="false" customHeight="false" outlineLevel="1" collapsed="false">
      <c r="A121" s="367"/>
      <c r="B121" s="70"/>
      <c r="C121" s="70"/>
      <c r="D121" s="70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</row>
    <row r="122" customFormat="false" ht="12.75" hidden="false" customHeight="false" outlineLevel="1" collapsed="false">
      <c r="A122" s="367"/>
      <c r="B122" s="70"/>
      <c r="C122" s="70"/>
      <c r="D122" s="70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</row>
    <row r="123" customFormat="false" ht="12.75" hidden="false" customHeight="false" outlineLevel="1" collapsed="false">
      <c r="A123" s="367"/>
      <c r="B123" s="70"/>
      <c r="C123" s="70"/>
      <c r="D123" s="70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</row>
    <row r="124" customFormat="false" ht="12.75" hidden="false" customHeight="false" outlineLevel="1" collapsed="false">
      <c r="A124" s="367"/>
      <c r="B124" s="70"/>
      <c r="C124" s="70"/>
      <c r="D124" s="70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</row>
    <row r="125" customFormat="false" ht="12.75" hidden="false" customHeight="false" outlineLevel="1" collapsed="false">
      <c r="A125" s="388"/>
      <c r="B125" s="70"/>
      <c r="C125" s="70"/>
      <c r="D125" s="70"/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</row>
    <row r="126" customFormat="false" ht="12.75" hidden="false" customHeight="false" outlineLevel="1" collapsed="false">
      <c r="A126" s="670"/>
      <c r="B126" s="70"/>
      <c r="C126" s="70"/>
      <c r="D126" s="70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</row>
    <row r="127" customFormat="false" ht="12.75" hidden="false" customHeight="false" outlineLevel="1" collapsed="false">
      <c r="A127" s="367"/>
      <c r="B127" s="70"/>
      <c r="C127" s="70"/>
      <c r="D127" s="70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</row>
    <row r="128" customFormat="false" ht="12.75" hidden="false" customHeight="false" outlineLevel="1" collapsed="false">
      <c r="A128" s="367"/>
      <c r="B128" s="70"/>
      <c r="C128" s="70"/>
      <c r="D128" s="70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</row>
    <row r="129" customFormat="false" ht="12.75" hidden="false" customHeight="false" outlineLevel="1" collapsed="false">
      <c r="A129" s="681"/>
      <c r="B129" s="70"/>
      <c r="C129" s="70"/>
      <c r="D129" s="70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  <c r="Z129" s="102"/>
    </row>
    <row r="130" customFormat="false" ht="12.75" hidden="false" customHeight="false" outlineLevel="1" collapsed="false">
      <c r="A130" s="681"/>
      <c r="B130" s="70"/>
      <c r="C130" s="70"/>
      <c r="D130" s="70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  <c r="Z130" s="102"/>
    </row>
    <row r="131" customFormat="false" ht="12.75" hidden="false" customHeight="false" outlineLevel="1" collapsed="false">
      <c r="A131" s="367"/>
      <c r="B131" s="70"/>
      <c r="C131" s="70"/>
      <c r="D131" s="70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</row>
    <row r="132" customFormat="false" ht="12.75" hidden="false" customHeight="false" outlineLevel="1" collapsed="false">
      <c r="A132" s="681"/>
      <c r="B132" s="70"/>
      <c r="C132" s="70"/>
      <c r="D132" s="70"/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</row>
    <row r="133" customFormat="false" ht="12.75" hidden="false" customHeight="false" outlineLevel="1" collapsed="false">
      <c r="A133" s="367"/>
      <c r="B133" s="70"/>
      <c r="C133" s="70"/>
      <c r="D133" s="70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</row>
    <row r="134" customFormat="false" ht="12.75" hidden="false" customHeight="false" outlineLevel="1" collapsed="false">
      <c r="A134" s="367"/>
      <c r="B134" s="70"/>
      <c r="C134" s="70"/>
      <c r="D134" s="70"/>
      <c r="E134" s="102"/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</row>
    <row r="135" customFormat="false" ht="12.75" hidden="false" customHeight="false" outlineLevel="1" collapsed="false">
      <c r="A135" s="367"/>
      <c r="B135" s="70"/>
      <c r="C135" s="70"/>
      <c r="D135" s="70"/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102"/>
      <c r="Y135" s="102"/>
      <c r="Z135" s="102"/>
    </row>
    <row r="136" customFormat="false" ht="12.75" hidden="false" customHeight="false" outlineLevel="1" collapsed="false">
      <c r="A136" s="681"/>
      <c r="B136" s="70"/>
      <c r="C136" s="70"/>
      <c r="D136" s="70"/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102"/>
      <c r="Y136" s="102"/>
      <c r="Z136" s="102"/>
    </row>
    <row r="137" customFormat="false" ht="12.75" hidden="false" customHeight="false" outlineLevel="1" collapsed="false">
      <c r="A137" s="366"/>
      <c r="B137" s="70"/>
      <c r="C137" s="70"/>
      <c r="D137" s="70"/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  <c r="Z137" s="102"/>
    </row>
    <row r="138" customFormat="false" ht="12.75" hidden="false" customHeight="false" outlineLevel="1" collapsed="false">
      <c r="A138" s="388"/>
      <c r="B138" s="70"/>
      <c r="C138" s="70"/>
      <c r="D138" s="70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</row>
    <row r="139" customFormat="false" ht="12.75" hidden="false" customHeight="false" outlineLevel="1" collapsed="false">
      <c r="A139" s="388"/>
      <c r="B139" s="70"/>
      <c r="C139" s="70"/>
      <c r="D139" s="70"/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  <c r="Z139" s="102"/>
    </row>
    <row r="140" customFormat="false" ht="15" hidden="false" customHeight="true" outlineLevel="1" collapsed="false">
      <c r="A140" s="388"/>
      <c r="B140" s="70"/>
      <c r="C140" s="70"/>
      <c r="D140" s="70"/>
      <c r="E140" s="70"/>
      <c r="F140" s="245"/>
      <c r="G140" s="245"/>
      <c r="H140" s="245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</row>
    <row r="141" customFormat="false" ht="12.75" hidden="false" customHeight="false" outlineLevel="1" collapsed="false">
      <c r="A141" s="388"/>
      <c r="B141" s="70"/>
      <c r="C141" s="70"/>
      <c r="D141" s="70"/>
      <c r="E141" s="70"/>
      <c r="F141" s="245"/>
      <c r="G141" s="245"/>
      <c r="H141" s="245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102"/>
      <c r="Y141" s="102"/>
      <c r="Z141" s="102"/>
    </row>
    <row r="142" customFormat="false" ht="14.25" hidden="false" customHeight="true" outlineLevel="1" collapsed="false">
      <c r="A142" s="388"/>
      <c r="B142" s="70"/>
      <c r="C142" s="70"/>
      <c r="D142" s="70"/>
      <c r="E142" s="70"/>
      <c r="F142" s="245"/>
      <c r="G142" s="245"/>
      <c r="H142" s="245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  <c r="Z142" s="102"/>
    </row>
    <row r="143" customFormat="false" ht="12.75" hidden="false" customHeight="false" outlineLevel="1" collapsed="false">
      <c r="A143" s="388"/>
      <c r="B143" s="70"/>
      <c r="C143" s="70"/>
      <c r="D143" s="70"/>
      <c r="E143" s="70"/>
      <c r="F143" s="245"/>
      <c r="G143" s="245"/>
      <c r="H143" s="245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</row>
    <row r="144" customFormat="false" ht="12.75" hidden="false" customHeight="false" outlineLevel="1" collapsed="false">
      <c r="A144" s="388"/>
      <c r="B144" s="70"/>
      <c r="C144" s="70"/>
      <c r="D144" s="70"/>
      <c r="E144" s="70"/>
      <c r="F144" s="245"/>
      <c r="G144" s="245"/>
      <c r="H144" s="245"/>
      <c r="I144" s="245"/>
      <c r="J144" s="245"/>
      <c r="K144" s="245"/>
      <c r="L144" s="245"/>
      <c r="M144" s="245"/>
      <c r="N144" s="245"/>
      <c r="O144" s="245"/>
      <c r="P144" s="245"/>
      <c r="Q144" s="245"/>
      <c r="R144" s="245"/>
      <c r="S144" s="245"/>
      <c r="T144" s="245"/>
      <c r="U144" s="245"/>
      <c r="V144" s="245"/>
      <c r="W144" s="245"/>
      <c r="X144" s="245"/>
      <c r="Y144" s="245"/>
      <c r="Z144" s="245"/>
    </row>
    <row r="145" customFormat="false" ht="12.75" hidden="false" customHeight="false" outlineLevel="1" collapsed="false">
      <c r="A145" s="398"/>
      <c r="B145" s="70"/>
      <c r="C145" s="70"/>
      <c r="D145" s="70"/>
      <c r="E145" s="70"/>
      <c r="F145" s="245"/>
      <c r="G145" s="245"/>
      <c r="H145" s="245"/>
      <c r="I145" s="245"/>
      <c r="J145" s="245"/>
      <c r="K145" s="245"/>
      <c r="L145" s="245"/>
      <c r="M145" s="245"/>
      <c r="N145" s="245"/>
      <c r="O145" s="245"/>
      <c r="P145" s="245"/>
      <c r="Q145" s="245"/>
      <c r="R145" s="245"/>
      <c r="S145" s="245"/>
      <c r="T145" s="245"/>
      <c r="U145" s="245"/>
      <c r="V145" s="245"/>
      <c r="W145" s="245"/>
      <c r="X145" s="245"/>
      <c r="Y145" s="245"/>
      <c r="Z145" s="245"/>
    </row>
    <row r="146" customFormat="false" ht="12.75" hidden="false" customHeight="false" outlineLevel="1" collapsed="false">
      <c r="A146" s="398"/>
      <c r="B146" s="70"/>
      <c r="C146" s="70"/>
      <c r="D146" s="70"/>
      <c r="E146" s="70"/>
      <c r="F146" s="245"/>
      <c r="G146" s="245"/>
      <c r="H146" s="245"/>
      <c r="I146" s="245"/>
      <c r="J146" s="245"/>
      <c r="K146" s="245"/>
      <c r="L146" s="245"/>
      <c r="M146" s="245"/>
      <c r="N146" s="245"/>
      <c r="O146" s="245"/>
      <c r="P146" s="245"/>
      <c r="Q146" s="245"/>
      <c r="R146" s="245"/>
      <c r="S146" s="245"/>
      <c r="T146" s="245"/>
      <c r="U146" s="245"/>
      <c r="V146" s="245"/>
      <c r="W146" s="245"/>
      <c r="X146" s="245"/>
      <c r="Y146" s="245"/>
      <c r="Z146" s="245"/>
    </row>
    <row r="147" customFormat="false" ht="12.75" hidden="false" customHeight="false" outlineLevel="1" collapsed="false">
      <c r="A147" s="398"/>
      <c r="B147" s="70"/>
      <c r="C147" s="70"/>
      <c r="D147" s="70"/>
      <c r="E147" s="70"/>
      <c r="F147" s="245"/>
      <c r="G147" s="245"/>
      <c r="H147" s="245"/>
      <c r="I147" s="245"/>
      <c r="J147" s="245"/>
      <c r="K147" s="245"/>
      <c r="L147" s="245"/>
      <c r="M147" s="245"/>
      <c r="N147" s="245"/>
      <c r="O147" s="245"/>
      <c r="P147" s="245"/>
      <c r="Q147" s="245"/>
      <c r="R147" s="245"/>
      <c r="S147" s="245"/>
      <c r="T147" s="245"/>
      <c r="U147" s="245"/>
      <c r="V147" s="245"/>
      <c r="W147" s="245"/>
      <c r="X147" s="245"/>
      <c r="Y147" s="245"/>
      <c r="Z147" s="245"/>
    </row>
    <row r="148" customFormat="false" ht="12.75" hidden="false" customHeight="false" outlineLevel="1" collapsed="false">
      <c r="A148" s="245"/>
      <c r="B148" s="70"/>
      <c r="C148" s="70"/>
      <c r="D148" s="70"/>
      <c r="E148" s="70"/>
      <c r="F148" s="245"/>
      <c r="G148" s="245"/>
      <c r="H148" s="245"/>
      <c r="I148" s="245"/>
      <c r="J148" s="245"/>
      <c r="K148" s="245"/>
      <c r="L148" s="245"/>
      <c r="M148" s="245"/>
      <c r="N148" s="245"/>
      <c r="O148" s="245"/>
      <c r="P148" s="245"/>
      <c r="Q148" s="245"/>
      <c r="R148" s="245"/>
      <c r="S148" s="245"/>
      <c r="T148" s="245"/>
      <c r="U148" s="245"/>
      <c r="V148" s="245"/>
      <c r="W148" s="245"/>
      <c r="X148" s="245"/>
      <c r="Y148" s="245"/>
      <c r="Z148" s="245"/>
    </row>
    <row r="149" customFormat="false" ht="12.75" hidden="false" customHeight="false" outlineLevel="1" collapsed="false">
      <c r="A149" s="70"/>
      <c r="B149" s="70"/>
      <c r="C149" s="70"/>
      <c r="D149" s="70"/>
      <c r="E149" s="70"/>
      <c r="F149" s="245"/>
      <c r="G149" s="245"/>
      <c r="H149" s="245"/>
      <c r="I149" s="245"/>
      <c r="J149" s="245"/>
      <c r="K149" s="245"/>
      <c r="L149" s="245"/>
      <c r="M149" s="245"/>
      <c r="N149" s="245"/>
      <c r="O149" s="245"/>
      <c r="P149" s="245"/>
      <c r="Q149" s="245"/>
      <c r="R149" s="245"/>
      <c r="S149" s="245"/>
      <c r="T149" s="245"/>
      <c r="U149" s="245"/>
      <c r="V149" s="245"/>
      <c r="W149" s="245"/>
      <c r="X149" s="245"/>
      <c r="Y149" s="245"/>
      <c r="Z149" s="245"/>
    </row>
    <row r="150" customFormat="false" ht="12.75" hidden="false" customHeight="false" outlineLevel="1" collapsed="false">
      <c r="A150" s="70"/>
      <c r="B150" s="70"/>
      <c r="C150" s="70"/>
      <c r="D150" s="70"/>
      <c r="E150" s="70"/>
      <c r="F150" s="245"/>
      <c r="G150" s="245"/>
      <c r="H150" s="245"/>
      <c r="I150" s="245"/>
      <c r="J150" s="245"/>
      <c r="K150" s="245"/>
      <c r="L150" s="245"/>
      <c r="M150" s="245"/>
      <c r="N150" s="245"/>
      <c r="O150" s="245"/>
      <c r="P150" s="245"/>
      <c r="Q150" s="245"/>
      <c r="R150" s="245"/>
      <c r="S150" s="245"/>
      <c r="T150" s="245"/>
      <c r="U150" s="245"/>
      <c r="V150" s="245"/>
      <c r="W150" s="245"/>
      <c r="X150" s="245"/>
      <c r="Y150" s="245"/>
      <c r="Z150" s="245"/>
    </row>
    <row r="151" customFormat="false" ht="12.75" hidden="false" customHeight="false" outlineLevel="1" collapsed="false">
      <c r="A151" s="70"/>
      <c r="B151" s="70"/>
      <c r="C151" s="70"/>
      <c r="D151" s="70"/>
      <c r="E151" s="70"/>
      <c r="F151" s="245"/>
      <c r="G151" s="245"/>
      <c r="H151" s="245"/>
      <c r="I151" s="245"/>
      <c r="J151" s="245"/>
      <c r="K151" s="245"/>
      <c r="L151" s="245"/>
      <c r="M151" s="245"/>
      <c r="N151" s="245"/>
      <c r="O151" s="245"/>
      <c r="P151" s="245"/>
      <c r="Q151" s="245"/>
      <c r="R151" s="245"/>
      <c r="S151" s="245"/>
      <c r="T151" s="245"/>
      <c r="U151" s="245"/>
      <c r="V151" s="245"/>
      <c r="W151" s="245"/>
      <c r="X151" s="245"/>
      <c r="Y151" s="245"/>
      <c r="Z151" s="245"/>
    </row>
    <row r="152" customFormat="false" ht="18.75" hidden="false" customHeight="false" outlineLevel="1" collapsed="false">
      <c r="A152" s="682"/>
      <c r="B152" s="70"/>
      <c r="C152" s="70"/>
      <c r="D152" s="70"/>
      <c r="E152" s="70"/>
      <c r="F152" s="245"/>
      <c r="G152" s="245"/>
      <c r="H152" s="245"/>
      <c r="I152" s="245"/>
      <c r="J152" s="245"/>
      <c r="K152" s="245"/>
      <c r="L152" s="245"/>
      <c r="M152" s="245"/>
      <c r="N152" s="245"/>
      <c r="O152" s="245"/>
      <c r="P152" s="245"/>
      <c r="Q152" s="245"/>
      <c r="R152" s="245"/>
      <c r="S152" s="245"/>
      <c r="T152" s="245"/>
      <c r="U152" s="245"/>
      <c r="V152" s="245"/>
      <c r="W152" s="245"/>
      <c r="X152" s="245"/>
      <c r="Y152" s="245"/>
      <c r="Z152" s="245"/>
    </row>
    <row r="153" customFormat="false" ht="12.75" hidden="false" customHeight="false" outlineLevel="1" collapsed="false">
      <c r="A153" s="395"/>
      <c r="B153" s="70"/>
      <c r="C153" s="70"/>
      <c r="D153" s="70"/>
      <c r="E153" s="70"/>
      <c r="F153" s="245"/>
      <c r="G153" s="245"/>
      <c r="H153" s="245"/>
      <c r="I153" s="245"/>
      <c r="J153" s="245"/>
      <c r="K153" s="245"/>
      <c r="L153" s="245"/>
      <c r="M153" s="245"/>
      <c r="N153" s="245"/>
      <c r="O153" s="245"/>
      <c r="P153" s="245"/>
      <c r="Q153" s="245"/>
      <c r="R153" s="245"/>
      <c r="S153" s="245"/>
      <c r="T153" s="245"/>
      <c r="U153" s="245"/>
      <c r="V153" s="245"/>
      <c r="W153" s="245"/>
      <c r="X153" s="245"/>
      <c r="Y153" s="245"/>
      <c r="Z153" s="245"/>
    </row>
    <row r="154" customFormat="false" ht="12.75" hidden="false" customHeight="false" outlineLevel="1" collapsed="false">
      <c r="A154" s="395"/>
      <c r="B154" s="70"/>
      <c r="C154" s="70"/>
      <c r="D154" s="70"/>
      <c r="E154" s="70"/>
      <c r="F154" s="245"/>
      <c r="G154" s="245"/>
      <c r="H154" s="245"/>
      <c r="I154" s="245"/>
      <c r="J154" s="245"/>
      <c r="K154" s="245"/>
      <c r="L154" s="245"/>
      <c r="M154" s="245"/>
      <c r="N154" s="245"/>
      <c r="O154" s="245"/>
      <c r="P154" s="245"/>
      <c r="Q154" s="245"/>
      <c r="R154" s="245"/>
      <c r="S154" s="245"/>
      <c r="T154" s="245"/>
      <c r="U154" s="245"/>
      <c r="V154" s="245"/>
      <c r="W154" s="245"/>
      <c r="X154" s="245"/>
      <c r="Y154" s="245"/>
      <c r="Z154" s="245"/>
    </row>
    <row r="155" customFormat="false" ht="12.75" hidden="false" customHeight="false" outlineLevel="1" collapsed="false">
      <c r="A155" s="70"/>
      <c r="B155" s="70"/>
      <c r="C155" s="70"/>
      <c r="D155" s="70"/>
      <c r="E155" s="70"/>
      <c r="F155" s="245"/>
      <c r="G155" s="245"/>
      <c r="H155" s="245"/>
      <c r="I155" s="245"/>
      <c r="J155" s="245"/>
      <c r="K155" s="245"/>
      <c r="L155" s="245"/>
      <c r="M155" s="245"/>
      <c r="N155" s="245"/>
      <c r="O155" s="245"/>
      <c r="P155" s="245"/>
      <c r="Q155" s="245"/>
      <c r="R155" s="245"/>
      <c r="S155" s="245"/>
      <c r="T155" s="245"/>
      <c r="U155" s="245"/>
      <c r="V155" s="245"/>
      <c r="W155" s="245"/>
      <c r="X155" s="245"/>
      <c r="Y155" s="245"/>
      <c r="Z155" s="245"/>
    </row>
    <row r="156" customFormat="false" ht="12.75" hidden="false" customHeight="false" outlineLevel="1" collapsed="false">
      <c r="A156" s="70"/>
      <c r="B156" s="70"/>
      <c r="C156" s="70"/>
      <c r="D156" s="70"/>
      <c r="E156" s="70"/>
      <c r="F156" s="245"/>
      <c r="G156" s="245"/>
      <c r="H156" s="245"/>
      <c r="I156" s="245"/>
      <c r="J156" s="245"/>
      <c r="K156" s="245"/>
      <c r="L156" s="245"/>
      <c r="M156" s="245"/>
      <c r="N156" s="245"/>
      <c r="O156" s="245"/>
      <c r="P156" s="245"/>
      <c r="Q156" s="245"/>
      <c r="R156" s="245"/>
      <c r="S156" s="245"/>
      <c r="T156" s="245"/>
      <c r="U156" s="245"/>
      <c r="V156" s="245"/>
      <c r="W156" s="245"/>
      <c r="X156" s="245"/>
      <c r="Y156" s="245"/>
      <c r="Z156" s="245"/>
    </row>
    <row r="157" customFormat="false" ht="12.75" hidden="false" customHeight="false" outlineLevel="1" collapsed="false">
      <c r="A157" s="322"/>
      <c r="B157" s="322"/>
      <c r="C157" s="322"/>
      <c r="D157" s="322"/>
      <c r="E157" s="321"/>
      <c r="F157" s="321"/>
      <c r="G157" s="321"/>
      <c r="H157" s="321"/>
      <c r="I157" s="321"/>
      <c r="J157" s="321"/>
      <c r="K157" s="321"/>
      <c r="L157" s="321"/>
      <c r="M157" s="321"/>
      <c r="N157" s="321"/>
      <c r="O157" s="321"/>
      <c r="P157" s="321"/>
      <c r="Q157" s="321"/>
      <c r="R157" s="321"/>
      <c r="S157" s="321"/>
      <c r="T157" s="321"/>
      <c r="U157" s="321"/>
      <c r="V157" s="321"/>
      <c r="W157" s="321"/>
      <c r="X157" s="321"/>
      <c r="Y157" s="321"/>
      <c r="Z157" s="321"/>
    </row>
    <row r="158" customFormat="false" ht="12.75" hidden="false" customHeight="false" outlineLevel="1" collapsed="false">
      <c r="A158" s="388"/>
      <c r="B158" s="70"/>
      <c r="C158" s="70"/>
      <c r="D158" s="70"/>
      <c r="E158" s="70"/>
      <c r="F158" s="245"/>
      <c r="G158" s="245"/>
      <c r="H158" s="245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</row>
    <row r="159" customFormat="false" ht="12.75" hidden="false" customHeight="false" outlineLevel="1" collapsed="false">
      <c r="A159" s="367"/>
      <c r="B159" s="70"/>
      <c r="C159" s="70"/>
      <c r="D159" s="70"/>
      <c r="E159" s="70"/>
      <c r="F159" s="245"/>
      <c r="G159" s="245"/>
      <c r="H159" s="245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</row>
    <row r="160" customFormat="false" ht="12.75" hidden="false" customHeight="false" outlineLevel="1" collapsed="false">
      <c r="A160" s="367"/>
      <c r="B160" s="70"/>
      <c r="C160" s="70"/>
      <c r="D160" s="70"/>
      <c r="E160" s="70"/>
      <c r="F160" s="245"/>
      <c r="G160" s="245"/>
      <c r="H160" s="245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</row>
    <row r="161" customFormat="false" ht="12.75" hidden="false" customHeight="false" outlineLevel="1" collapsed="false">
      <c r="A161" s="366"/>
      <c r="B161" s="70"/>
      <c r="C161" s="70"/>
      <c r="D161" s="70"/>
      <c r="E161" s="70"/>
      <c r="F161" s="245"/>
      <c r="G161" s="245"/>
      <c r="H161" s="245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</row>
    <row r="162" customFormat="false" ht="12.75" hidden="false" customHeight="false" outlineLevel="1" collapsed="false">
      <c r="A162" s="245"/>
      <c r="B162" s="70"/>
      <c r="C162" s="70"/>
      <c r="D162" s="70"/>
      <c r="E162" s="70"/>
      <c r="F162" s="245"/>
      <c r="G162" s="245"/>
      <c r="H162" s="245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</row>
    <row r="163" customFormat="false" ht="12.75" hidden="false" customHeight="false" outlineLevel="1" collapsed="false">
      <c r="A163" s="388"/>
      <c r="B163" s="70"/>
      <c r="C163" s="70"/>
      <c r="D163" s="70"/>
      <c r="E163" s="70"/>
      <c r="F163" s="245"/>
      <c r="G163" s="245"/>
      <c r="H163" s="245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</row>
    <row r="164" customFormat="false" ht="12.75" hidden="false" customHeight="false" outlineLevel="1" collapsed="false">
      <c r="A164" s="367"/>
      <c r="B164" s="70"/>
      <c r="C164" s="70"/>
      <c r="D164" s="70"/>
      <c r="E164" s="70"/>
      <c r="F164" s="245"/>
      <c r="G164" s="245"/>
      <c r="H164" s="245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</row>
    <row r="165" customFormat="false" ht="12.75" hidden="false" customHeight="false" outlineLevel="1" collapsed="false">
      <c r="A165" s="367"/>
      <c r="B165" s="70"/>
      <c r="C165" s="70"/>
      <c r="D165" s="70"/>
      <c r="E165" s="70"/>
      <c r="F165" s="245"/>
      <c r="G165" s="245"/>
      <c r="H165" s="245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</row>
    <row r="166" customFormat="false" ht="12.75" hidden="false" customHeight="false" outlineLevel="1" collapsed="false">
      <c r="A166" s="367"/>
      <c r="B166" s="70"/>
      <c r="C166" s="70"/>
      <c r="D166" s="70"/>
      <c r="E166" s="102"/>
      <c r="F166" s="245"/>
      <c r="G166" s="245"/>
      <c r="H166" s="245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</row>
    <row r="167" customFormat="false" ht="12.75" hidden="false" customHeight="false" outlineLevel="1" collapsed="false">
      <c r="A167" s="367"/>
      <c r="B167" s="70"/>
      <c r="C167" s="70"/>
      <c r="D167" s="70"/>
      <c r="E167" s="70"/>
      <c r="F167" s="245"/>
      <c r="G167" s="245"/>
      <c r="H167" s="245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</row>
    <row r="168" customFormat="false" ht="12.75" hidden="false" customHeight="false" outlineLevel="1" collapsed="false">
      <c r="A168" s="245"/>
      <c r="B168" s="70"/>
      <c r="C168" s="70"/>
      <c r="D168" s="70"/>
      <c r="E168" s="70"/>
      <c r="F168" s="245"/>
      <c r="G168" s="245"/>
      <c r="H168" s="245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</row>
    <row r="169" customFormat="false" ht="12.75" hidden="false" customHeight="false" outlineLevel="1" collapsed="false">
      <c r="A169" s="388"/>
      <c r="B169" s="70"/>
      <c r="C169" s="70"/>
      <c r="D169" s="70"/>
      <c r="E169" s="70"/>
      <c r="F169" s="245"/>
      <c r="G169" s="245"/>
      <c r="H169" s="245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</row>
    <row r="170" customFormat="false" ht="12.75" hidden="false" customHeight="false" outlineLevel="1" collapsed="false">
      <c r="A170" s="245"/>
      <c r="B170" s="70"/>
      <c r="C170" s="70"/>
      <c r="D170" s="70"/>
      <c r="E170" s="70"/>
      <c r="F170" s="245"/>
      <c r="G170" s="245"/>
      <c r="H170" s="245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</row>
    <row r="171" customFormat="false" ht="12.75" hidden="false" customHeight="false" outlineLevel="1" collapsed="false">
      <c r="A171" s="388"/>
      <c r="B171" s="70"/>
      <c r="C171" s="70"/>
      <c r="D171" s="70"/>
      <c r="E171" s="70"/>
      <c r="F171" s="245"/>
      <c r="G171" s="245"/>
      <c r="H171" s="245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</row>
    <row r="172" customFormat="false" ht="12.75" hidden="false" customHeight="false" outlineLevel="1" collapsed="false">
      <c r="A172" s="367"/>
      <c r="B172" s="70"/>
      <c r="C172" s="70"/>
      <c r="D172" s="70"/>
      <c r="E172" s="70"/>
      <c r="F172" s="245"/>
      <c r="G172" s="245"/>
      <c r="H172" s="245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</row>
    <row r="173" customFormat="false" ht="12.75" hidden="false" customHeight="false" outlineLevel="1" collapsed="false">
      <c r="A173" s="388"/>
      <c r="B173" s="70"/>
      <c r="C173" s="70"/>
      <c r="D173" s="70"/>
      <c r="E173" s="70"/>
      <c r="F173" s="245"/>
      <c r="G173" s="245"/>
      <c r="H173" s="245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</row>
    <row r="174" customFormat="false" ht="12.75" hidden="false" customHeight="false" outlineLevel="1" collapsed="false">
      <c r="A174" s="681"/>
      <c r="B174" s="70"/>
      <c r="C174" s="70"/>
      <c r="D174" s="70"/>
      <c r="E174" s="70"/>
      <c r="F174" s="245"/>
      <c r="G174" s="245"/>
      <c r="H174" s="245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</row>
    <row r="175" customFormat="false" ht="12.75" hidden="false" customHeight="false" outlineLevel="1" collapsed="false">
      <c r="A175" s="367"/>
      <c r="B175" s="70"/>
      <c r="C175" s="70"/>
      <c r="D175" s="70"/>
      <c r="E175" s="70"/>
      <c r="F175" s="245"/>
      <c r="G175" s="245"/>
      <c r="H175" s="245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</row>
    <row r="176" customFormat="false" ht="12.75" hidden="false" customHeight="false" outlineLevel="1" collapsed="false">
      <c r="A176" s="366"/>
      <c r="B176" s="70"/>
      <c r="C176" s="70"/>
      <c r="D176" s="70"/>
      <c r="E176" s="70"/>
      <c r="F176" s="245"/>
      <c r="G176" s="245"/>
      <c r="H176" s="245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</row>
    <row r="177" customFormat="false" ht="12.75" hidden="false" customHeight="false" outlineLevel="1" collapsed="false">
      <c r="A177" s="367"/>
      <c r="B177" s="70"/>
      <c r="C177" s="70"/>
      <c r="D177" s="70"/>
      <c r="E177" s="70"/>
      <c r="F177" s="245"/>
      <c r="G177" s="245"/>
      <c r="H177" s="245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</row>
    <row r="178" customFormat="false" ht="12.75" hidden="false" customHeight="false" outlineLevel="1" collapsed="false">
      <c r="A178" s="366"/>
      <c r="B178" s="70"/>
      <c r="C178" s="70"/>
      <c r="D178" s="70"/>
      <c r="E178" s="70"/>
      <c r="F178" s="245"/>
      <c r="G178" s="245"/>
      <c r="H178" s="245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</row>
    <row r="179" customFormat="false" ht="12.75" hidden="false" customHeight="false" outlineLevel="1" collapsed="false">
      <c r="A179" s="367"/>
      <c r="B179" s="70"/>
      <c r="C179" s="70"/>
      <c r="D179" s="70"/>
      <c r="E179" s="70"/>
      <c r="F179" s="245"/>
      <c r="G179" s="245"/>
      <c r="H179" s="245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</row>
    <row r="180" customFormat="false" ht="12.75" hidden="false" customHeight="false" outlineLevel="1" collapsed="false">
      <c r="A180" s="367"/>
      <c r="B180" s="70"/>
      <c r="C180" s="70"/>
      <c r="D180" s="70"/>
      <c r="E180" s="70"/>
      <c r="F180" s="245"/>
      <c r="G180" s="245"/>
      <c r="H180" s="245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</row>
    <row r="181" customFormat="false" ht="12.75" hidden="false" customHeight="false" outlineLevel="1" collapsed="false">
      <c r="A181" s="367"/>
      <c r="B181" s="70"/>
      <c r="C181" s="70"/>
      <c r="D181" s="70"/>
      <c r="E181" s="70"/>
      <c r="F181" s="245"/>
      <c r="G181" s="245"/>
      <c r="H181" s="245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</row>
    <row r="182" customFormat="false" ht="12.75" hidden="false" customHeight="false" outlineLevel="1" collapsed="false">
      <c r="A182" s="367"/>
      <c r="B182" s="70"/>
      <c r="C182" s="70"/>
      <c r="D182" s="70"/>
      <c r="E182" s="70"/>
      <c r="F182" s="245"/>
      <c r="G182" s="245"/>
      <c r="H182" s="245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</row>
    <row r="183" customFormat="false" ht="12.75" hidden="false" customHeight="false" outlineLevel="1" collapsed="false">
      <c r="A183" s="367"/>
      <c r="B183" s="70"/>
      <c r="C183" s="70"/>
      <c r="D183" s="70"/>
      <c r="E183" s="70"/>
      <c r="F183" s="245"/>
      <c r="G183" s="245"/>
      <c r="H183" s="245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</row>
    <row r="184" customFormat="false" ht="12.75" hidden="false" customHeight="false" outlineLevel="1" collapsed="false">
      <c r="A184" s="367"/>
      <c r="B184" s="70"/>
      <c r="C184" s="70"/>
      <c r="D184" s="70"/>
      <c r="E184" s="70"/>
      <c r="F184" s="245"/>
      <c r="G184" s="245"/>
      <c r="H184" s="245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</row>
    <row r="185" customFormat="false" ht="12.75" hidden="false" customHeight="false" outlineLevel="1" collapsed="false">
      <c r="A185" s="388"/>
      <c r="B185" s="70"/>
      <c r="C185" s="70"/>
      <c r="D185" s="70"/>
      <c r="E185" s="70"/>
      <c r="F185" s="245"/>
      <c r="G185" s="245"/>
      <c r="H185" s="245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</row>
    <row r="186" customFormat="false" ht="12.75" hidden="false" customHeight="false" outlineLevel="1" collapsed="false">
      <c r="A186" s="670"/>
      <c r="B186" s="70"/>
      <c r="C186" s="70"/>
      <c r="D186" s="70"/>
      <c r="E186" s="70"/>
      <c r="F186" s="245"/>
      <c r="G186" s="245"/>
      <c r="H186" s="245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</row>
    <row r="187" customFormat="false" ht="12.75" hidden="false" customHeight="false" outlineLevel="1" collapsed="false">
      <c r="A187" s="367"/>
      <c r="B187" s="70"/>
      <c r="C187" s="70"/>
      <c r="D187" s="70"/>
      <c r="E187" s="70"/>
      <c r="F187" s="245"/>
      <c r="G187" s="245"/>
      <c r="H187" s="245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</row>
    <row r="188" customFormat="false" ht="12.75" hidden="false" customHeight="false" outlineLevel="1" collapsed="false">
      <c r="A188" s="681"/>
      <c r="B188" s="70"/>
      <c r="C188" s="70"/>
      <c r="D188" s="70"/>
      <c r="E188" s="70"/>
      <c r="F188" s="245"/>
      <c r="G188" s="245"/>
      <c r="H188" s="245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</row>
    <row r="189" customFormat="false" ht="12.75" hidden="false" customHeight="false" outlineLevel="1" collapsed="false">
      <c r="A189" s="681"/>
      <c r="B189" s="70"/>
      <c r="C189" s="70"/>
      <c r="D189" s="70"/>
      <c r="E189" s="70"/>
      <c r="F189" s="245"/>
      <c r="G189" s="245"/>
      <c r="H189" s="245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</row>
    <row r="190" customFormat="false" ht="12.75" hidden="false" customHeight="false" outlineLevel="1" collapsed="false">
      <c r="A190" s="367"/>
      <c r="B190" s="70"/>
      <c r="C190" s="70"/>
      <c r="D190" s="70"/>
      <c r="E190" s="70"/>
      <c r="F190" s="245"/>
      <c r="G190" s="245"/>
      <c r="H190" s="245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</row>
    <row r="191" customFormat="false" ht="12.75" hidden="false" customHeight="false" outlineLevel="1" collapsed="false">
      <c r="A191" s="367"/>
      <c r="B191" s="70"/>
      <c r="C191" s="70"/>
      <c r="D191" s="70"/>
      <c r="E191" s="70"/>
      <c r="F191" s="245"/>
      <c r="G191" s="245"/>
      <c r="H191" s="245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</row>
    <row r="192" customFormat="false" ht="12.75" hidden="false" customHeight="false" outlineLevel="1" collapsed="false">
      <c r="A192" s="366"/>
      <c r="B192" s="70"/>
      <c r="C192" s="70"/>
      <c r="D192" s="70"/>
      <c r="E192" s="70"/>
      <c r="F192" s="245"/>
      <c r="G192" s="245"/>
      <c r="H192" s="245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</row>
    <row r="193" customFormat="false" ht="12.75" hidden="false" customHeight="false" outlineLevel="1" collapsed="false">
      <c r="A193" s="388"/>
      <c r="B193" s="70"/>
      <c r="C193" s="70"/>
      <c r="D193" s="70"/>
      <c r="E193" s="70"/>
      <c r="F193" s="245"/>
      <c r="G193" s="245"/>
      <c r="H193" s="245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</row>
    <row r="194" customFormat="false" ht="12.75" hidden="false" customHeight="false" outlineLevel="1" collapsed="false">
      <c r="A194" s="388"/>
      <c r="B194" s="70"/>
      <c r="C194" s="70"/>
      <c r="D194" s="70"/>
      <c r="E194" s="70"/>
      <c r="F194" s="245"/>
      <c r="G194" s="245"/>
      <c r="H194" s="245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</row>
    <row r="195" customFormat="false" ht="12.75" hidden="false" customHeight="false" outlineLevel="1" collapsed="false">
      <c r="A195" s="388"/>
      <c r="B195" s="70"/>
      <c r="C195" s="70"/>
      <c r="D195" s="70"/>
      <c r="E195" s="70"/>
      <c r="F195" s="245"/>
      <c r="G195" s="245"/>
      <c r="H195" s="245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</row>
    <row r="196" customFormat="false" ht="12.75" hidden="false" customHeight="false" outlineLevel="1" collapsed="false">
      <c r="A196" s="388"/>
      <c r="B196" s="70"/>
      <c r="C196" s="70"/>
      <c r="D196" s="70"/>
      <c r="E196" s="70"/>
      <c r="F196" s="245"/>
      <c r="G196" s="245"/>
      <c r="H196" s="245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</row>
    <row r="197" customFormat="false" ht="12.75" hidden="false" customHeight="false" outlineLevel="1" collapsed="false">
      <c r="A197" s="388"/>
      <c r="B197" s="70"/>
      <c r="C197" s="70"/>
      <c r="D197" s="70"/>
      <c r="E197" s="70"/>
      <c r="F197" s="245"/>
      <c r="G197" s="245"/>
      <c r="H197" s="245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</row>
    <row r="198" customFormat="false" ht="12.75" hidden="false" customHeight="false" outlineLevel="1" collapsed="false">
      <c r="A198" s="388"/>
      <c r="B198" s="70"/>
      <c r="C198" s="70"/>
      <c r="D198" s="70"/>
      <c r="E198" s="70"/>
      <c r="F198" s="245"/>
      <c r="G198" s="245"/>
      <c r="H198" s="245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</row>
    <row r="199" customFormat="false" ht="12.75" hidden="false" customHeight="false" outlineLevel="1" collapsed="false">
      <c r="A199" s="388"/>
      <c r="B199" s="70"/>
      <c r="C199" s="70"/>
      <c r="D199" s="70"/>
      <c r="E199" s="70"/>
      <c r="F199" s="245"/>
      <c r="G199" s="245"/>
      <c r="H199" s="245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</row>
    <row r="200" customFormat="false" ht="12.75" hidden="false" customHeight="false" outlineLevel="1" collapsed="false">
      <c r="A200" s="70"/>
      <c r="B200" s="70"/>
      <c r="C200" s="70"/>
      <c r="D200" s="70"/>
      <c r="E200" s="70"/>
      <c r="F200" s="245"/>
      <c r="G200" s="245"/>
      <c r="H200" s="245"/>
      <c r="I200" s="245"/>
      <c r="J200" s="245"/>
      <c r="K200" s="245"/>
      <c r="L200" s="245"/>
      <c r="M200" s="245"/>
      <c r="N200" s="245"/>
      <c r="O200" s="245"/>
      <c r="P200" s="245"/>
      <c r="Q200" s="245"/>
      <c r="R200" s="245"/>
      <c r="S200" s="245"/>
      <c r="T200" s="245"/>
      <c r="U200" s="245"/>
      <c r="V200" s="245"/>
      <c r="W200" s="245"/>
      <c r="X200" s="245"/>
      <c r="Y200" s="245"/>
      <c r="Z200" s="245"/>
    </row>
    <row r="201" customFormat="false" ht="12.75" hidden="false" customHeight="false" outlineLevel="1" collapsed="false">
      <c r="A201" s="70"/>
      <c r="B201" s="70"/>
      <c r="C201" s="70"/>
      <c r="D201" s="70"/>
      <c r="E201" s="70"/>
      <c r="F201" s="245"/>
      <c r="G201" s="245"/>
      <c r="H201" s="245"/>
      <c r="I201" s="245"/>
      <c r="J201" s="245"/>
      <c r="K201" s="245"/>
      <c r="L201" s="245"/>
      <c r="M201" s="245"/>
      <c r="N201" s="245"/>
      <c r="O201" s="245"/>
      <c r="P201" s="245"/>
      <c r="Q201" s="245"/>
      <c r="R201" s="245"/>
      <c r="S201" s="245"/>
      <c r="T201" s="245"/>
      <c r="U201" s="245"/>
      <c r="V201" s="245"/>
      <c r="W201" s="245"/>
      <c r="X201" s="245"/>
      <c r="Y201" s="245"/>
      <c r="Z201" s="245"/>
    </row>
    <row r="202" customFormat="false" ht="12.75" hidden="false" customHeight="false" outlineLevel="1" collapsed="false">
      <c r="A202" s="70"/>
      <c r="B202" s="70"/>
      <c r="C202" s="70"/>
      <c r="D202" s="70"/>
      <c r="E202" s="70"/>
      <c r="F202" s="70"/>
      <c r="G202" s="70"/>
      <c r="H202" s="70"/>
      <c r="I202" s="245"/>
      <c r="J202" s="245"/>
      <c r="K202" s="245"/>
      <c r="L202" s="245"/>
      <c r="M202" s="245"/>
      <c r="N202" s="245"/>
      <c r="O202" s="245"/>
      <c r="P202" s="245"/>
      <c r="Q202" s="245"/>
      <c r="R202" s="245"/>
      <c r="S202" s="245"/>
      <c r="T202" s="245"/>
      <c r="U202" s="245"/>
      <c r="V202" s="245"/>
      <c r="W202" s="245"/>
      <c r="X202" s="245"/>
      <c r="Y202" s="245"/>
      <c r="Z202" s="245"/>
    </row>
    <row r="203" customFormat="false" ht="18.75" hidden="false" customHeight="false" outlineLevel="1" collapsed="false">
      <c r="A203" s="683"/>
      <c r="B203" s="683"/>
      <c r="C203" s="683"/>
      <c r="D203" s="683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</row>
    <row r="204" customFormat="false" ht="12.75" hidden="false" customHeight="false" outlineLevel="1" collapsed="false">
      <c r="A204" s="395"/>
      <c r="B204" s="395"/>
      <c r="C204" s="395"/>
      <c r="D204" s="395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</row>
    <row r="205" customFormat="false" ht="12.75" hidden="false" customHeight="false" outlineLevel="1" collapsed="false">
      <c r="A205" s="395"/>
      <c r="B205" s="684"/>
      <c r="C205" s="684"/>
      <c r="D205" s="684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</row>
    <row r="206" customFormat="false" ht="12.75" hidden="false" customHeight="false" outlineLevel="1" collapsed="false">
      <c r="A206" s="70"/>
      <c r="B206" s="70"/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</row>
    <row r="207" customFormat="false" ht="12.75" hidden="false" customHeight="false" outlineLevel="1" collapsed="false">
      <c r="A207" s="322"/>
      <c r="B207" s="321"/>
      <c r="C207" s="321"/>
      <c r="D207" s="321"/>
      <c r="E207" s="321"/>
      <c r="F207" s="321"/>
      <c r="G207" s="321"/>
      <c r="H207" s="321"/>
      <c r="I207" s="321"/>
      <c r="J207" s="321"/>
      <c r="K207" s="321"/>
      <c r="L207" s="321"/>
      <c r="M207" s="321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</row>
    <row r="208" customFormat="false" ht="12.75" hidden="false" customHeight="false" outlineLevel="1" collapsed="false">
      <c r="A208" s="395"/>
      <c r="B208" s="395"/>
      <c r="C208" s="395"/>
      <c r="D208" s="395"/>
      <c r="E208" s="395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</row>
    <row r="209" customFormat="false" ht="12.75" hidden="false" customHeight="false" outlineLevel="1" collapsed="false">
      <c r="A209" s="685"/>
      <c r="B209" s="395"/>
      <c r="C209" s="395"/>
      <c r="D209" s="395"/>
      <c r="E209" s="395"/>
      <c r="F209" s="686"/>
      <c r="G209" s="686"/>
      <c r="H209" s="686"/>
      <c r="I209" s="686"/>
      <c r="J209" s="686"/>
      <c r="K209" s="686"/>
      <c r="L209" s="686"/>
      <c r="M209" s="686"/>
      <c r="N209" s="70"/>
      <c r="O209" s="686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</row>
    <row r="210" customFormat="false" ht="12.75" hidden="false" customHeight="false" outlineLevel="1" collapsed="false">
      <c r="A210" s="685"/>
      <c r="B210" s="395"/>
      <c r="C210" s="395"/>
      <c r="D210" s="395"/>
      <c r="E210" s="395"/>
      <c r="F210" s="686"/>
      <c r="G210" s="686"/>
      <c r="H210" s="686"/>
      <c r="I210" s="686"/>
      <c r="J210" s="686"/>
      <c r="K210" s="686"/>
      <c r="L210" s="686"/>
      <c r="M210" s="686"/>
      <c r="N210" s="70"/>
      <c r="O210" s="686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</row>
    <row r="211" customFormat="false" ht="12.75" hidden="false" customHeight="false" outlineLevel="1" collapsed="false">
      <c r="A211" s="685"/>
      <c r="B211" s="685"/>
      <c r="C211" s="685"/>
      <c r="D211" s="685"/>
      <c r="E211" s="685"/>
      <c r="F211" s="686"/>
      <c r="G211" s="686"/>
      <c r="H211" s="686"/>
      <c r="I211" s="686"/>
      <c r="J211" s="686"/>
      <c r="K211" s="686"/>
      <c r="L211" s="686"/>
      <c r="M211" s="686"/>
      <c r="N211" s="70"/>
      <c r="O211" s="686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</row>
    <row r="212" customFormat="false" ht="12.75" hidden="false" customHeight="false" outlineLevel="1" collapsed="false">
      <c r="A212" s="685"/>
      <c r="B212" s="685"/>
      <c r="C212" s="685"/>
      <c r="D212" s="685"/>
      <c r="E212" s="685"/>
      <c r="F212" s="686"/>
      <c r="G212" s="686"/>
      <c r="H212" s="686"/>
      <c r="I212" s="686"/>
      <c r="J212" s="686"/>
      <c r="K212" s="686"/>
      <c r="L212" s="686"/>
      <c r="M212" s="686"/>
      <c r="N212" s="70"/>
      <c r="O212" s="686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</row>
    <row r="213" customFormat="false" ht="12.75" hidden="false" customHeight="false" outlineLevel="1" collapsed="false">
      <c r="A213" s="685"/>
      <c r="B213" s="322"/>
      <c r="C213" s="322"/>
      <c r="D213" s="322"/>
      <c r="E213" s="322"/>
      <c r="F213" s="686"/>
      <c r="G213" s="686"/>
      <c r="H213" s="686"/>
      <c r="I213" s="686"/>
      <c r="J213" s="686"/>
      <c r="K213" s="686"/>
      <c r="L213" s="686"/>
      <c r="M213" s="686"/>
      <c r="N213" s="70"/>
      <c r="O213" s="686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</row>
    <row r="214" customFormat="false" ht="12.75" hidden="false" customHeight="false" outlineLevel="1" collapsed="false">
      <c r="A214" s="70"/>
      <c r="B214" s="70"/>
      <c r="C214" s="70"/>
      <c r="D214" s="70"/>
      <c r="E214" s="70"/>
      <c r="F214" s="686"/>
      <c r="G214" s="686"/>
      <c r="H214" s="686"/>
      <c r="I214" s="686"/>
      <c r="J214" s="686"/>
      <c r="K214" s="686"/>
      <c r="L214" s="686"/>
      <c r="M214" s="686"/>
      <c r="N214" s="70"/>
      <c r="O214" s="686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</row>
    <row r="215" customFormat="false" ht="12.75" hidden="false" customHeight="false" outlineLevel="1" collapsed="false">
      <c r="A215" s="395"/>
      <c r="B215" s="395"/>
      <c r="C215" s="395"/>
      <c r="D215" s="395"/>
      <c r="E215" s="395"/>
      <c r="F215" s="686"/>
      <c r="G215" s="686"/>
      <c r="H215" s="686"/>
      <c r="I215" s="686"/>
      <c r="J215" s="686"/>
      <c r="K215" s="686"/>
      <c r="L215" s="686"/>
      <c r="M215" s="686"/>
      <c r="N215" s="70"/>
      <c r="O215" s="686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</row>
    <row r="216" customFormat="false" ht="12.75" hidden="false" customHeight="false" outlineLevel="1" collapsed="false">
      <c r="A216" s="685"/>
      <c r="B216" s="395"/>
      <c r="C216" s="395"/>
      <c r="D216" s="395"/>
      <c r="E216" s="395"/>
      <c r="F216" s="686"/>
      <c r="G216" s="686"/>
      <c r="H216" s="686"/>
      <c r="I216" s="686"/>
      <c r="J216" s="686"/>
      <c r="K216" s="686"/>
      <c r="L216" s="686"/>
      <c r="M216" s="686"/>
      <c r="N216" s="70"/>
      <c r="O216" s="686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</row>
    <row r="217" customFormat="false" ht="12.75" hidden="false" customHeight="false" outlineLevel="1" collapsed="false">
      <c r="A217" s="685"/>
      <c r="B217" s="395"/>
      <c r="C217" s="395"/>
      <c r="D217" s="395"/>
      <c r="E217" s="395"/>
      <c r="F217" s="686"/>
      <c r="G217" s="686"/>
      <c r="H217" s="686"/>
      <c r="I217" s="686"/>
      <c r="J217" s="686"/>
      <c r="K217" s="686"/>
      <c r="L217" s="686"/>
      <c r="M217" s="686"/>
      <c r="N217" s="70"/>
      <c r="O217" s="686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</row>
    <row r="218" customFormat="false" ht="12.75" hidden="false" customHeight="false" outlineLevel="1" collapsed="false">
      <c r="A218" s="685"/>
      <c r="B218" s="395"/>
      <c r="C218" s="395"/>
      <c r="D218" s="395"/>
      <c r="E218" s="395"/>
      <c r="F218" s="686"/>
      <c r="G218" s="686"/>
      <c r="H218" s="686"/>
      <c r="I218" s="686"/>
      <c r="J218" s="686"/>
      <c r="K218" s="686"/>
      <c r="L218" s="686"/>
      <c r="M218" s="686"/>
      <c r="N218" s="70"/>
      <c r="O218" s="686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</row>
    <row r="219" customFormat="false" ht="12.75" hidden="false" customHeight="false" outlineLevel="1" collapsed="false">
      <c r="A219" s="685"/>
      <c r="B219" s="395"/>
      <c r="C219" s="395"/>
      <c r="D219" s="395"/>
      <c r="E219" s="395"/>
      <c r="F219" s="686"/>
      <c r="G219" s="686"/>
      <c r="H219" s="686"/>
      <c r="I219" s="686"/>
      <c r="J219" s="686"/>
      <c r="K219" s="686"/>
      <c r="L219" s="686"/>
      <c r="M219" s="686"/>
      <c r="N219" s="70"/>
      <c r="O219" s="686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</row>
    <row r="220" customFormat="false" ht="12.75" hidden="false" customHeight="false" outlineLevel="1" collapsed="false">
      <c r="A220" s="685"/>
      <c r="B220" s="395"/>
      <c r="C220" s="395"/>
      <c r="D220" s="395"/>
      <c r="E220" s="395"/>
      <c r="F220" s="686"/>
      <c r="G220" s="686"/>
      <c r="H220" s="686"/>
      <c r="I220" s="686"/>
      <c r="J220" s="686"/>
      <c r="K220" s="686"/>
      <c r="L220" s="686"/>
      <c r="M220" s="686"/>
      <c r="N220" s="70"/>
      <c r="O220" s="686"/>
      <c r="P220" s="70"/>
      <c r="Q220" s="70"/>
      <c r="R220" s="70"/>
      <c r="S220" s="70"/>
      <c r="T220" s="70"/>
      <c r="U220" s="70"/>
      <c r="V220" s="70"/>
      <c r="W220" s="70"/>
      <c r="X220" s="70"/>
      <c r="Y220" s="70"/>
      <c r="Z220" s="70"/>
    </row>
    <row r="221" customFormat="false" ht="12.75" hidden="false" customHeight="false" outlineLevel="1" collapsed="false">
      <c r="A221" s="685"/>
      <c r="B221" s="395"/>
      <c r="C221" s="395"/>
      <c r="D221" s="395"/>
      <c r="E221" s="395"/>
      <c r="F221" s="686"/>
      <c r="G221" s="686"/>
      <c r="H221" s="686"/>
      <c r="I221" s="686"/>
      <c r="J221" s="686"/>
      <c r="K221" s="686"/>
      <c r="L221" s="686"/>
      <c r="M221" s="686"/>
      <c r="N221" s="70"/>
      <c r="O221" s="686"/>
      <c r="P221" s="70"/>
      <c r="Q221" s="70"/>
      <c r="R221" s="70"/>
      <c r="S221" s="70"/>
      <c r="T221" s="70"/>
      <c r="U221" s="70"/>
      <c r="V221" s="70"/>
      <c r="W221" s="70"/>
      <c r="X221" s="70"/>
      <c r="Y221" s="70"/>
      <c r="Z221" s="70"/>
    </row>
    <row r="222" customFormat="false" ht="12.75" hidden="false" customHeight="false" outlineLevel="1" collapsed="false">
      <c r="A222" s="685"/>
      <c r="B222" s="395"/>
      <c r="C222" s="395"/>
      <c r="D222" s="395"/>
      <c r="E222" s="395"/>
      <c r="F222" s="686"/>
      <c r="G222" s="686"/>
      <c r="H222" s="686"/>
      <c r="I222" s="686"/>
      <c r="J222" s="686"/>
      <c r="K222" s="686"/>
      <c r="L222" s="686"/>
      <c r="M222" s="686"/>
      <c r="N222" s="70"/>
      <c r="O222" s="686"/>
      <c r="P222" s="70"/>
      <c r="Q222" s="70"/>
      <c r="R222" s="70"/>
      <c r="S222" s="70"/>
      <c r="T222" s="70"/>
      <c r="U222" s="70"/>
      <c r="V222" s="70"/>
      <c r="W222" s="70"/>
      <c r="X222" s="70"/>
      <c r="Y222" s="70"/>
      <c r="Z222" s="70"/>
    </row>
    <row r="223" customFormat="false" ht="12.75" hidden="false" customHeight="false" outlineLevel="1" collapsed="false">
      <c r="A223" s="685"/>
      <c r="B223" s="395"/>
      <c r="C223" s="395"/>
      <c r="D223" s="395"/>
      <c r="E223" s="395"/>
      <c r="F223" s="686"/>
      <c r="G223" s="686"/>
      <c r="H223" s="686"/>
      <c r="I223" s="686"/>
      <c r="J223" s="686"/>
      <c r="K223" s="686"/>
      <c r="L223" s="686"/>
      <c r="M223" s="686"/>
      <c r="N223" s="70"/>
      <c r="O223" s="686"/>
      <c r="P223" s="70"/>
      <c r="Q223" s="70"/>
      <c r="R223" s="70"/>
      <c r="S223" s="70"/>
      <c r="T223" s="70"/>
      <c r="U223" s="70"/>
      <c r="V223" s="70"/>
      <c r="W223" s="70"/>
      <c r="X223" s="70"/>
      <c r="Y223" s="70"/>
      <c r="Z223" s="70"/>
    </row>
    <row r="224" customFormat="false" ht="12.75" hidden="false" customHeight="false" outlineLevel="1" collapsed="false">
      <c r="A224" s="685"/>
      <c r="B224" s="395"/>
      <c r="C224" s="395"/>
      <c r="D224" s="395"/>
      <c r="E224" s="395"/>
      <c r="F224" s="686"/>
      <c r="G224" s="686"/>
      <c r="H224" s="686"/>
      <c r="I224" s="686"/>
      <c r="J224" s="686"/>
      <c r="K224" s="686"/>
      <c r="L224" s="686"/>
      <c r="M224" s="686"/>
      <c r="N224" s="70"/>
      <c r="O224" s="686"/>
      <c r="P224" s="70"/>
      <c r="Q224" s="70"/>
      <c r="R224" s="70"/>
      <c r="S224" s="70"/>
      <c r="T224" s="70"/>
      <c r="U224" s="70"/>
      <c r="V224" s="70"/>
      <c r="W224" s="70"/>
      <c r="X224" s="70"/>
      <c r="Y224" s="70"/>
      <c r="Z224" s="70"/>
    </row>
    <row r="225" customFormat="false" ht="12.75" hidden="false" customHeight="false" outlineLevel="1" collapsed="false">
      <c r="A225" s="685"/>
      <c r="B225" s="685"/>
      <c r="C225" s="685"/>
      <c r="D225" s="685"/>
      <c r="E225" s="685"/>
      <c r="F225" s="686"/>
      <c r="G225" s="686"/>
      <c r="H225" s="686"/>
      <c r="I225" s="686"/>
      <c r="J225" s="686"/>
      <c r="K225" s="686"/>
      <c r="L225" s="686"/>
      <c r="M225" s="686"/>
      <c r="N225" s="70"/>
      <c r="O225" s="686"/>
      <c r="P225" s="70"/>
      <c r="Q225" s="70"/>
      <c r="R225" s="70"/>
      <c r="S225" s="70"/>
      <c r="T225" s="70"/>
      <c r="U225" s="70"/>
      <c r="V225" s="70"/>
      <c r="W225" s="70"/>
      <c r="X225" s="70"/>
      <c r="Y225" s="70"/>
      <c r="Z225" s="70"/>
    </row>
    <row r="226" customFormat="false" ht="12.75" hidden="false" customHeight="false" outlineLevel="1" collapsed="false">
      <c r="A226" s="685"/>
      <c r="B226" s="685"/>
      <c r="C226" s="685"/>
      <c r="D226" s="685"/>
      <c r="E226" s="685"/>
      <c r="F226" s="686"/>
      <c r="G226" s="686"/>
      <c r="H226" s="686"/>
      <c r="I226" s="686"/>
      <c r="J226" s="686"/>
      <c r="K226" s="686"/>
      <c r="L226" s="686"/>
      <c r="M226" s="686"/>
      <c r="N226" s="70"/>
      <c r="O226" s="686"/>
      <c r="P226" s="70"/>
      <c r="Q226" s="70"/>
      <c r="R226" s="70"/>
      <c r="S226" s="70"/>
      <c r="T226" s="70"/>
      <c r="U226" s="70"/>
      <c r="V226" s="70"/>
      <c r="W226" s="70"/>
      <c r="X226" s="70"/>
      <c r="Y226" s="70"/>
      <c r="Z226" s="70"/>
    </row>
    <row r="227" customFormat="false" ht="12.75" hidden="false" customHeight="false" outlineLevel="1" collapsed="false">
      <c r="A227" s="395"/>
      <c r="B227" s="395"/>
      <c r="C227" s="395"/>
      <c r="D227" s="395"/>
      <c r="E227" s="395"/>
      <c r="F227" s="686"/>
      <c r="G227" s="686"/>
      <c r="H227" s="686"/>
      <c r="I227" s="686"/>
      <c r="J227" s="686"/>
      <c r="K227" s="686"/>
      <c r="L227" s="686"/>
      <c r="M227" s="686"/>
      <c r="N227" s="70"/>
      <c r="O227" s="686"/>
      <c r="P227" s="70"/>
      <c r="Q227" s="70"/>
      <c r="R227" s="70"/>
      <c r="S227" s="70"/>
      <c r="T227" s="70"/>
      <c r="U227" s="70"/>
      <c r="V227" s="70"/>
      <c r="W227" s="70"/>
      <c r="X227" s="70"/>
      <c r="Y227" s="70"/>
      <c r="Z227" s="70"/>
    </row>
    <row r="228" customFormat="false" ht="12.75" hidden="false" customHeight="false" outlineLevel="1" collapsed="false">
      <c r="A228" s="685"/>
      <c r="B228" s="685"/>
      <c r="C228" s="685"/>
      <c r="D228" s="685"/>
      <c r="E228" s="685"/>
      <c r="F228" s="686"/>
      <c r="G228" s="686"/>
      <c r="H228" s="686"/>
      <c r="I228" s="686"/>
      <c r="J228" s="686"/>
      <c r="K228" s="686"/>
      <c r="L228" s="686"/>
      <c r="M228" s="686"/>
      <c r="N228" s="70"/>
      <c r="O228" s="686"/>
      <c r="P228" s="70"/>
      <c r="Q228" s="70"/>
      <c r="R228" s="70"/>
      <c r="S228" s="70"/>
      <c r="T228" s="70"/>
      <c r="U228" s="70"/>
      <c r="V228" s="70"/>
      <c r="W228" s="70"/>
      <c r="X228" s="70"/>
      <c r="Y228" s="70"/>
      <c r="Z228" s="70"/>
    </row>
    <row r="229" customFormat="false" ht="12.75" hidden="false" customHeight="false" outlineLevel="1" collapsed="false">
      <c r="A229" s="685"/>
      <c r="B229" s="685"/>
      <c r="C229" s="685"/>
      <c r="D229" s="685"/>
      <c r="E229" s="685"/>
      <c r="F229" s="686"/>
      <c r="G229" s="686"/>
      <c r="H229" s="686"/>
      <c r="I229" s="686"/>
      <c r="J229" s="686"/>
      <c r="K229" s="686"/>
      <c r="L229" s="686"/>
      <c r="M229" s="686"/>
      <c r="N229" s="70"/>
      <c r="O229" s="686"/>
      <c r="P229" s="70"/>
      <c r="Q229" s="70"/>
      <c r="R229" s="70"/>
      <c r="S229" s="70"/>
      <c r="T229" s="70"/>
      <c r="U229" s="70"/>
      <c r="V229" s="70"/>
      <c r="W229" s="70"/>
      <c r="X229" s="70"/>
      <c r="Y229" s="70"/>
      <c r="Z229" s="70"/>
    </row>
    <row r="230" customFormat="false" ht="12.75" hidden="false" customHeight="false" outlineLevel="1" collapsed="false">
      <c r="A230" s="395"/>
      <c r="B230" s="395"/>
      <c r="C230" s="395"/>
      <c r="D230" s="395"/>
      <c r="E230" s="395"/>
      <c r="F230" s="686"/>
      <c r="G230" s="686"/>
      <c r="H230" s="686"/>
      <c r="I230" s="686"/>
      <c r="J230" s="686"/>
      <c r="K230" s="686"/>
      <c r="L230" s="686"/>
      <c r="M230" s="686"/>
      <c r="N230" s="70"/>
      <c r="O230" s="686"/>
      <c r="P230" s="70"/>
      <c r="Q230" s="70"/>
      <c r="R230" s="70"/>
      <c r="S230" s="70"/>
      <c r="T230" s="70"/>
      <c r="U230" s="70"/>
      <c r="V230" s="70"/>
      <c r="W230" s="70"/>
      <c r="X230" s="70"/>
      <c r="Y230" s="70"/>
      <c r="Z230" s="70"/>
    </row>
    <row r="231" customFormat="false" ht="12.75" hidden="false" customHeight="false" outlineLevel="1" collapsed="false">
      <c r="A231" s="395"/>
      <c r="B231" s="395"/>
      <c r="C231" s="395"/>
      <c r="D231" s="395"/>
      <c r="E231" s="395"/>
      <c r="F231" s="686"/>
      <c r="G231" s="686"/>
      <c r="H231" s="686"/>
      <c r="I231" s="686"/>
      <c r="J231" s="686"/>
      <c r="K231" s="686"/>
      <c r="L231" s="686"/>
      <c r="M231" s="686"/>
      <c r="N231" s="70"/>
      <c r="O231" s="686"/>
      <c r="P231" s="70"/>
      <c r="Q231" s="70"/>
      <c r="R231" s="70"/>
      <c r="S231" s="70"/>
      <c r="T231" s="70"/>
      <c r="U231" s="70"/>
      <c r="V231" s="70"/>
      <c r="W231" s="70"/>
      <c r="X231" s="70"/>
      <c r="Y231" s="70"/>
      <c r="Z231" s="70"/>
    </row>
    <row r="232" customFormat="false" ht="12.75" hidden="false" customHeight="false" outlineLevel="1" collapsed="false">
      <c r="A232" s="70"/>
      <c r="B232" s="395"/>
      <c r="C232" s="395"/>
      <c r="D232" s="395"/>
      <c r="E232" s="395"/>
      <c r="F232" s="686"/>
      <c r="G232" s="686"/>
      <c r="H232" s="686"/>
      <c r="I232" s="686"/>
      <c r="J232" s="686"/>
      <c r="K232" s="686"/>
      <c r="L232" s="686"/>
      <c r="M232" s="686"/>
      <c r="N232" s="70"/>
      <c r="O232" s="686"/>
      <c r="P232" s="70"/>
      <c r="Q232" s="70"/>
      <c r="R232" s="70"/>
      <c r="S232" s="70"/>
      <c r="T232" s="70"/>
      <c r="U232" s="70"/>
      <c r="V232" s="70"/>
      <c r="W232" s="70"/>
      <c r="X232" s="70"/>
      <c r="Y232" s="70"/>
      <c r="Z232" s="70"/>
    </row>
    <row r="233" customFormat="false" ht="12.75" hidden="false" customHeight="false" outlineLevel="1" collapsed="false">
      <c r="A233" s="70"/>
      <c r="B233" s="687"/>
      <c r="C233" s="687"/>
      <c r="D233" s="687"/>
      <c r="E233" s="687"/>
      <c r="F233" s="686"/>
      <c r="G233" s="686"/>
      <c r="H233" s="686"/>
      <c r="I233" s="686"/>
      <c r="J233" s="686"/>
      <c r="K233" s="686"/>
      <c r="L233" s="686"/>
      <c r="M233" s="686"/>
      <c r="N233" s="70"/>
      <c r="O233" s="686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</row>
    <row r="234" customFormat="false" ht="12.75" hidden="false" customHeight="false" outlineLevel="1" collapsed="false">
      <c r="A234" s="395"/>
      <c r="B234" s="687"/>
      <c r="C234" s="687"/>
      <c r="D234" s="687"/>
      <c r="E234" s="687"/>
      <c r="F234" s="686"/>
      <c r="G234" s="686"/>
      <c r="H234" s="686"/>
      <c r="I234" s="686"/>
      <c r="J234" s="686"/>
      <c r="K234" s="686"/>
      <c r="L234" s="686"/>
      <c r="M234" s="686"/>
      <c r="N234" s="70"/>
      <c r="O234" s="686"/>
      <c r="P234" s="70"/>
      <c r="Q234" s="70"/>
      <c r="R234" s="70"/>
      <c r="S234" s="70"/>
      <c r="T234" s="70"/>
      <c r="U234" s="70"/>
      <c r="V234" s="70"/>
      <c r="W234" s="70"/>
      <c r="X234" s="70"/>
      <c r="Y234" s="70"/>
      <c r="Z234" s="70"/>
    </row>
    <row r="235" customFormat="false" ht="12.75" hidden="false" customHeight="false" outlineLevel="1" collapsed="false">
      <c r="A235" s="685"/>
      <c r="B235" s="687"/>
      <c r="C235" s="687"/>
      <c r="D235" s="687"/>
      <c r="E235" s="687"/>
      <c r="F235" s="686"/>
      <c r="G235" s="686"/>
      <c r="H235" s="686"/>
      <c r="I235" s="686"/>
      <c r="J235" s="686"/>
      <c r="K235" s="686"/>
      <c r="L235" s="686"/>
      <c r="M235" s="686"/>
      <c r="N235" s="70"/>
      <c r="O235" s="686"/>
      <c r="P235" s="70"/>
      <c r="Q235" s="70"/>
      <c r="R235" s="70"/>
      <c r="S235" s="70"/>
      <c r="T235" s="70"/>
      <c r="U235" s="70"/>
      <c r="V235" s="70"/>
      <c r="W235" s="70"/>
      <c r="X235" s="70"/>
      <c r="Y235" s="70"/>
      <c r="Z235" s="70"/>
    </row>
    <row r="236" customFormat="false" ht="12.75" hidden="false" customHeight="false" outlineLevel="1" collapsed="false">
      <c r="A236" s="395"/>
      <c r="B236" s="395"/>
      <c r="C236" s="395"/>
      <c r="D236" s="395"/>
      <c r="E236" s="395"/>
      <c r="F236" s="686"/>
      <c r="G236" s="686"/>
      <c r="H236" s="686"/>
      <c r="I236" s="686"/>
      <c r="J236" s="686"/>
      <c r="K236" s="686"/>
      <c r="L236" s="686"/>
      <c r="M236" s="686"/>
      <c r="N236" s="70"/>
      <c r="O236" s="686"/>
      <c r="P236" s="70"/>
      <c r="Q236" s="70"/>
      <c r="R236" s="70"/>
      <c r="S236" s="70"/>
      <c r="T236" s="70"/>
      <c r="U236" s="70"/>
      <c r="V236" s="70"/>
      <c r="W236" s="70"/>
      <c r="X236" s="70"/>
      <c r="Y236" s="70"/>
      <c r="Z236" s="70"/>
    </row>
    <row r="237" customFormat="false" ht="12.75" hidden="false" customHeight="false" outlineLevel="1" collapsed="false">
      <c r="A237" s="70"/>
      <c r="B237" s="70"/>
      <c r="C237" s="70"/>
      <c r="D237" s="70"/>
      <c r="E237" s="70"/>
      <c r="F237" s="686"/>
      <c r="G237" s="686"/>
      <c r="H237" s="686"/>
      <c r="I237" s="686"/>
      <c r="J237" s="686"/>
      <c r="K237" s="686"/>
      <c r="L237" s="686"/>
      <c r="M237" s="686"/>
      <c r="N237" s="70"/>
      <c r="O237" s="686"/>
      <c r="P237" s="70"/>
      <c r="Q237" s="70"/>
      <c r="R237" s="70"/>
      <c r="S237" s="70"/>
      <c r="T237" s="70"/>
      <c r="U237" s="70"/>
      <c r="V237" s="70"/>
      <c r="W237" s="70"/>
      <c r="X237" s="70"/>
      <c r="Y237" s="70"/>
      <c r="Z237" s="70"/>
    </row>
    <row r="238" customFormat="false" ht="12.75" hidden="false" customHeight="false" outlineLevel="1" collapsed="false">
      <c r="A238" s="395"/>
      <c r="B238" s="395"/>
      <c r="C238" s="395"/>
      <c r="D238" s="395"/>
      <c r="E238" s="395"/>
      <c r="F238" s="686"/>
      <c r="G238" s="686"/>
      <c r="H238" s="686"/>
      <c r="I238" s="686"/>
      <c r="J238" s="686"/>
      <c r="K238" s="686"/>
      <c r="L238" s="686"/>
      <c r="M238" s="686"/>
      <c r="N238" s="70"/>
      <c r="O238" s="686"/>
      <c r="P238" s="70"/>
      <c r="Q238" s="70"/>
      <c r="R238" s="70"/>
      <c r="S238" s="70"/>
      <c r="T238" s="70"/>
      <c r="U238" s="70"/>
      <c r="V238" s="70"/>
      <c r="W238" s="70"/>
      <c r="X238" s="70"/>
      <c r="Y238" s="70"/>
      <c r="Z238" s="70"/>
    </row>
    <row r="239" customFormat="false" ht="12.75" hidden="false" customHeight="false" outlineLevel="1" collapsed="false">
      <c r="A239" s="685"/>
      <c r="B239" s="685"/>
      <c r="C239" s="685"/>
      <c r="D239" s="685"/>
      <c r="E239" s="685"/>
      <c r="F239" s="686"/>
      <c r="G239" s="686"/>
      <c r="H239" s="686"/>
      <c r="I239" s="686"/>
      <c r="J239" s="686"/>
      <c r="K239" s="686"/>
      <c r="L239" s="686"/>
      <c r="M239" s="686"/>
      <c r="N239" s="70"/>
      <c r="O239" s="686"/>
      <c r="P239" s="70"/>
      <c r="Q239" s="70"/>
      <c r="R239" s="70"/>
      <c r="S239" s="70"/>
      <c r="T239" s="70"/>
      <c r="U239" s="70"/>
      <c r="V239" s="70"/>
      <c r="W239" s="70"/>
      <c r="X239" s="70"/>
      <c r="Y239" s="70"/>
      <c r="Z239" s="70"/>
    </row>
    <row r="240" customFormat="false" ht="12.75" hidden="false" customHeight="false" outlineLevel="1" collapsed="false">
      <c r="A240" s="685"/>
      <c r="B240" s="685"/>
      <c r="C240" s="685"/>
      <c r="D240" s="685"/>
      <c r="E240" s="685"/>
      <c r="F240" s="686"/>
      <c r="G240" s="686"/>
      <c r="H240" s="686"/>
      <c r="I240" s="686"/>
      <c r="J240" s="686"/>
      <c r="K240" s="686"/>
      <c r="L240" s="686"/>
      <c r="M240" s="686"/>
      <c r="N240" s="70"/>
      <c r="O240" s="686"/>
      <c r="P240" s="70"/>
      <c r="Q240" s="70"/>
      <c r="R240" s="70"/>
      <c r="S240" s="70"/>
      <c r="T240" s="70"/>
      <c r="U240" s="70"/>
      <c r="V240" s="70"/>
      <c r="W240" s="70"/>
      <c r="X240" s="70"/>
      <c r="Y240" s="70"/>
      <c r="Z240" s="70"/>
    </row>
    <row r="241" customFormat="false" ht="12.75" hidden="false" customHeight="false" outlineLevel="1" collapsed="false">
      <c r="A241" s="685"/>
      <c r="B241" s="685"/>
      <c r="C241" s="685"/>
      <c r="D241" s="685"/>
      <c r="E241" s="685"/>
      <c r="F241" s="686"/>
      <c r="G241" s="686"/>
      <c r="H241" s="686"/>
      <c r="I241" s="686"/>
      <c r="J241" s="686"/>
      <c r="K241" s="686"/>
      <c r="L241" s="686"/>
      <c r="M241" s="686"/>
      <c r="N241" s="70"/>
      <c r="O241" s="686"/>
      <c r="P241" s="70"/>
      <c r="Q241" s="70"/>
      <c r="R241" s="70"/>
      <c r="S241" s="70"/>
      <c r="T241" s="70"/>
      <c r="U241" s="70"/>
      <c r="V241" s="70"/>
      <c r="W241" s="70"/>
      <c r="X241" s="70"/>
      <c r="Y241" s="70"/>
      <c r="Z241" s="70"/>
    </row>
    <row r="242" customFormat="false" ht="12.75" hidden="false" customHeight="false" outlineLevel="1" collapsed="false">
      <c r="A242" s="685"/>
      <c r="B242" s="685"/>
      <c r="C242" s="685"/>
      <c r="D242" s="685"/>
      <c r="E242" s="685"/>
      <c r="F242" s="686"/>
      <c r="G242" s="686"/>
      <c r="H242" s="686"/>
      <c r="I242" s="686"/>
      <c r="J242" s="686"/>
      <c r="K242" s="686"/>
      <c r="L242" s="686"/>
      <c r="M242" s="686"/>
      <c r="N242" s="70"/>
      <c r="O242" s="686"/>
      <c r="P242" s="70"/>
      <c r="Q242" s="70"/>
      <c r="R242" s="70"/>
      <c r="S242" s="70"/>
      <c r="T242" s="70"/>
      <c r="U242" s="70"/>
      <c r="V242" s="70"/>
      <c r="W242" s="70"/>
      <c r="X242" s="70"/>
      <c r="Y242" s="70"/>
      <c r="Z242" s="70"/>
    </row>
    <row r="243" customFormat="false" ht="12.75" hidden="false" customHeight="false" outlineLevel="1" collapsed="false">
      <c r="A243" s="685"/>
      <c r="B243" s="685"/>
      <c r="C243" s="685"/>
      <c r="D243" s="685"/>
      <c r="E243" s="685"/>
      <c r="F243" s="686"/>
      <c r="G243" s="686"/>
      <c r="H243" s="686"/>
      <c r="I243" s="686"/>
      <c r="J243" s="686"/>
      <c r="K243" s="686"/>
      <c r="L243" s="686"/>
      <c r="M243" s="686"/>
      <c r="N243" s="70"/>
      <c r="O243" s="686"/>
      <c r="P243" s="70"/>
      <c r="Q243" s="70"/>
      <c r="R243" s="70"/>
      <c r="S243" s="70"/>
      <c r="T243" s="70"/>
      <c r="U243" s="70"/>
      <c r="V243" s="70"/>
      <c r="W243" s="70"/>
      <c r="X243" s="70"/>
      <c r="Y243" s="70"/>
      <c r="Z243" s="70"/>
    </row>
    <row r="244" customFormat="false" ht="12.75" hidden="false" customHeight="false" outlineLevel="1" collapsed="false">
      <c r="A244" s="685"/>
      <c r="B244" s="70"/>
      <c r="C244" s="70"/>
      <c r="D244" s="70"/>
      <c r="E244" s="70"/>
      <c r="F244" s="686"/>
      <c r="G244" s="686"/>
      <c r="H244" s="686"/>
      <c r="I244" s="686"/>
      <c r="J244" s="686"/>
      <c r="K244" s="686"/>
      <c r="L244" s="686"/>
      <c r="M244" s="686"/>
      <c r="N244" s="70"/>
      <c r="O244" s="686"/>
      <c r="P244" s="70"/>
      <c r="Q244" s="70"/>
      <c r="R244" s="70"/>
      <c r="S244" s="70"/>
      <c r="T244" s="70"/>
      <c r="U244" s="70"/>
      <c r="V244" s="70"/>
      <c r="W244" s="70"/>
      <c r="X244" s="70"/>
      <c r="Y244" s="70"/>
      <c r="Z244" s="70"/>
    </row>
    <row r="245" customFormat="false" ht="12.75" hidden="false" customHeight="false" outlineLevel="1" collapsed="false">
      <c r="A245" s="395"/>
      <c r="B245" s="395"/>
      <c r="C245" s="395"/>
      <c r="D245" s="395"/>
      <c r="E245" s="395"/>
      <c r="F245" s="686"/>
      <c r="G245" s="686"/>
      <c r="H245" s="686"/>
      <c r="I245" s="686"/>
      <c r="J245" s="686"/>
      <c r="K245" s="686"/>
      <c r="L245" s="686"/>
      <c r="M245" s="686"/>
      <c r="N245" s="70"/>
      <c r="O245" s="686"/>
      <c r="P245" s="70"/>
      <c r="Q245" s="70"/>
      <c r="R245" s="70"/>
      <c r="S245" s="70"/>
      <c r="T245" s="70"/>
      <c r="U245" s="70"/>
      <c r="V245" s="70"/>
      <c r="W245" s="70"/>
      <c r="X245" s="70"/>
      <c r="Y245" s="70"/>
      <c r="Z245" s="70"/>
    </row>
    <row r="246" customFormat="false" ht="12.75" hidden="false" customHeight="false" outlineLevel="1" collapsed="false">
      <c r="A246" s="395"/>
      <c r="B246" s="395"/>
      <c r="C246" s="395"/>
      <c r="D246" s="395"/>
      <c r="E246" s="395"/>
      <c r="F246" s="686"/>
      <c r="G246" s="686"/>
      <c r="H246" s="686"/>
      <c r="I246" s="686"/>
      <c r="J246" s="686"/>
      <c r="K246" s="686"/>
      <c r="L246" s="686"/>
      <c r="M246" s="686"/>
      <c r="N246" s="70"/>
      <c r="O246" s="686"/>
      <c r="P246" s="70"/>
      <c r="Q246" s="70"/>
      <c r="R246" s="70"/>
      <c r="S246" s="70"/>
      <c r="T246" s="70"/>
      <c r="U246" s="70"/>
      <c r="V246" s="70"/>
      <c r="W246" s="70"/>
      <c r="X246" s="70"/>
      <c r="Y246" s="70"/>
      <c r="Z246" s="70"/>
    </row>
    <row r="247" customFormat="false" ht="12.75" hidden="false" customHeight="false" outlineLevel="1" collapsed="false">
      <c r="A247" s="70"/>
      <c r="B247" s="70"/>
      <c r="C247" s="70"/>
      <c r="D247" s="70"/>
      <c r="E247" s="70"/>
      <c r="F247" s="686"/>
      <c r="G247" s="686"/>
      <c r="H247" s="686"/>
      <c r="I247" s="686"/>
      <c r="J247" s="686"/>
      <c r="K247" s="686"/>
      <c r="L247" s="686"/>
      <c r="M247" s="686"/>
      <c r="N247" s="70"/>
      <c r="O247" s="686"/>
      <c r="P247" s="70"/>
      <c r="Q247" s="70"/>
      <c r="R247" s="70"/>
      <c r="S247" s="70"/>
      <c r="T247" s="70"/>
      <c r="U247" s="70"/>
      <c r="V247" s="70"/>
      <c r="W247" s="70"/>
      <c r="X247" s="70"/>
      <c r="Y247" s="70"/>
      <c r="Z247" s="70"/>
    </row>
    <row r="248" customFormat="false" ht="12.75" hidden="false" customHeight="false" outlineLevel="1" collapsed="false">
      <c r="A248" s="395"/>
      <c r="B248" s="688"/>
      <c r="C248" s="688"/>
      <c r="D248" s="688"/>
      <c r="E248" s="70"/>
      <c r="F248" s="686"/>
      <c r="G248" s="686"/>
      <c r="H248" s="686"/>
      <c r="I248" s="686"/>
      <c r="J248" s="686"/>
      <c r="K248" s="686"/>
      <c r="L248" s="686"/>
      <c r="M248" s="686"/>
      <c r="N248" s="70"/>
      <c r="O248" s="686"/>
      <c r="P248" s="70"/>
      <c r="Q248" s="70"/>
      <c r="R248" s="70"/>
      <c r="S248" s="70"/>
      <c r="T248" s="70"/>
      <c r="U248" s="70"/>
      <c r="V248" s="70"/>
      <c r="W248" s="70"/>
      <c r="X248" s="70"/>
      <c r="Y248" s="70"/>
      <c r="Z248" s="70"/>
    </row>
    <row r="249" customFormat="false" ht="12.75" hidden="false" customHeight="false" outlineLevel="1" collapsed="false">
      <c r="A249" s="395"/>
      <c r="B249" s="684"/>
      <c r="C249" s="684"/>
      <c r="D249" s="684"/>
      <c r="E249" s="684"/>
      <c r="F249" s="686"/>
      <c r="G249" s="686"/>
      <c r="H249" s="686"/>
      <c r="I249" s="686"/>
      <c r="J249" s="686"/>
      <c r="K249" s="686"/>
      <c r="L249" s="686"/>
      <c r="M249" s="686"/>
      <c r="N249" s="70"/>
      <c r="O249" s="686"/>
      <c r="P249" s="70"/>
      <c r="Q249" s="70"/>
      <c r="R249" s="70"/>
      <c r="S249" s="70"/>
      <c r="T249" s="70"/>
      <c r="U249" s="70"/>
      <c r="V249" s="70"/>
      <c r="W249" s="70"/>
      <c r="X249" s="70"/>
      <c r="Y249" s="70"/>
      <c r="Z249" s="70"/>
    </row>
    <row r="250" customFormat="false" ht="12.75" hidden="false" customHeight="false" outlineLevel="1" collapsed="false">
      <c r="A250" s="70"/>
      <c r="B250" s="70"/>
      <c r="C250" s="70"/>
      <c r="D250" s="70"/>
      <c r="E250" s="70"/>
      <c r="F250" s="70"/>
      <c r="G250" s="70"/>
      <c r="H250" s="70"/>
      <c r="I250" s="70"/>
      <c r="J250" s="70"/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  <c r="Z250" s="70"/>
    </row>
    <row r="251" customFormat="false" ht="12.75" hidden="false" customHeight="false" outlineLevel="1" collapsed="false">
      <c r="A251" s="395"/>
      <c r="B251" s="689"/>
      <c r="C251" s="689"/>
      <c r="D251" s="689"/>
      <c r="E251" s="70"/>
      <c r="F251" s="70"/>
      <c r="G251" s="70"/>
      <c r="H251" s="102"/>
      <c r="I251" s="102"/>
      <c r="J251" s="102"/>
      <c r="K251" s="102"/>
      <c r="L251" s="102"/>
      <c r="M251" s="102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  <c r="Z251" s="70"/>
    </row>
    <row r="252" customFormat="false" ht="12.75" hidden="false" customHeight="false" outlineLevel="1" collapsed="false">
      <c r="A252" s="395"/>
      <c r="B252" s="70"/>
      <c r="C252" s="70"/>
      <c r="D252" s="70"/>
      <c r="E252" s="70"/>
      <c r="F252" s="70"/>
      <c r="G252" s="70"/>
      <c r="H252" s="102"/>
      <c r="I252" s="102"/>
      <c r="J252" s="102"/>
      <c r="K252" s="102"/>
      <c r="L252" s="102"/>
      <c r="M252" s="102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  <c r="Z252" s="70"/>
    </row>
    <row r="253" customFormat="false" ht="12.75" hidden="false" customHeight="false" outlineLevel="1" collapsed="false">
      <c r="A253" s="395"/>
      <c r="B253" s="70"/>
      <c r="C253" s="70"/>
      <c r="D253" s="70"/>
      <c r="E253" s="70"/>
      <c r="F253" s="70"/>
      <c r="G253" s="70"/>
      <c r="H253" s="102"/>
      <c r="I253" s="102"/>
      <c r="J253" s="102"/>
      <c r="K253" s="102"/>
      <c r="L253" s="102"/>
      <c r="M253" s="102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  <c r="Z253" s="70"/>
    </row>
    <row r="254" customFormat="false" ht="12.75" hidden="false" customHeight="false" outlineLevel="1" collapsed="false">
      <c r="A254" s="395"/>
      <c r="B254" s="70"/>
      <c r="C254" s="70"/>
      <c r="D254" s="70"/>
      <c r="E254" s="70"/>
      <c r="F254" s="70"/>
      <c r="G254" s="70"/>
      <c r="H254" s="102"/>
      <c r="I254" s="102"/>
      <c r="J254" s="102"/>
      <c r="K254" s="102"/>
      <c r="L254" s="102"/>
      <c r="M254" s="102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  <c r="Z254" s="70"/>
    </row>
    <row r="255" customFormat="false" ht="12.75" hidden="false" customHeight="false" outlineLevel="1" collapsed="false">
      <c r="A255" s="70"/>
      <c r="B255" s="70"/>
      <c r="C255" s="70"/>
      <c r="D255" s="70"/>
      <c r="E255" s="70"/>
      <c r="F255" s="70"/>
      <c r="G255" s="70"/>
      <c r="H255" s="70"/>
      <c r="I255" s="70"/>
      <c r="J255" s="70"/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  <c r="Z255" s="70"/>
    </row>
    <row r="256" customFormat="false" ht="18.75" hidden="false" customHeight="false" outlineLevel="1" collapsed="false">
      <c r="A256" s="682"/>
      <c r="B256" s="70"/>
      <c r="C256" s="70"/>
      <c r="D256" s="70"/>
      <c r="E256" s="70"/>
      <c r="F256" s="70"/>
      <c r="G256" s="70"/>
      <c r="H256" s="70"/>
      <c r="I256" s="70"/>
      <c r="J256" s="70"/>
      <c r="K256" s="70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  <c r="Z256" s="70"/>
    </row>
    <row r="257" customFormat="false" ht="12.75" hidden="false" customHeight="false" outlineLevel="1" collapsed="false">
      <c r="A257" s="395"/>
      <c r="B257" s="70"/>
      <c r="C257" s="70"/>
      <c r="D257" s="70"/>
      <c r="E257" s="70"/>
      <c r="F257" s="70"/>
      <c r="G257" s="70"/>
      <c r="H257" s="70"/>
      <c r="I257" s="70"/>
      <c r="J257" s="70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  <c r="Z257" s="70"/>
    </row>
    <row r="258" customFormat="false" ht="12.75" hidden="false" customHeight="false" outlineLevel="1" collapsed="false">
      <c r="A258" s="70"/>
      <c r="B258" s="70"/>
      <c r="C258" s="70"/>
      <c r="D258" s="70"/>
      <c r="E258" s="70"/>
      <c r="F258" s="70"/>
      <c r="G258" s="70"/>
      <c r="H258" s="70"/>
      <c r="I258" s="70"/>
      <c r="J258" s="70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  <c r="Z258" s="70"/>
    </row>
    <row r="259" customFormat="false" ht="12.75" hidden="false" customHeight="false" outlineLevel="1" collapsed="false">
      <c r="A259" s="70"/>
      <c r="B259" s="70"/>
      <c r="C259" s="70"/>
      <c r="D259" s="70"/>
      <c r="E259" s="70"/>
      <c r="F259" s="70"/>
      <c r="G259" s="70"/>
      <c r="H259" s="70"/>
      <c r="I259" s="70"/>
      <c r="J259" s="70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  <c r="Z259" s="70"/>
    </row>
    <row r="260" customFormat="false" ht="12.75" hidden="false" customHeight="false" outlineLevel="1" collapsed="false">
      <c r="A260" s="690"/>
      <c r="B260" s="691"/>
      <c r="C260" s="691"/>
      <c r="D260" s="691"/>
      <c r="E260" s="691"/>
      <c r="F260" s="691"/>
      <c r="G260" s="691"/>
      <c r="H260" s="691"/>
      <c r="I260" s="691"/>
      <c r="J260" s="691"/>
      <c r="K260" s="691"/>
      <c r="L260" s="691"/>
      <c r="M260" s="691"/>
      <c r="N260" s="691"/>
      <c r="O260" s="691"/>
      <c r="P260" s="691"/>
      <c r="Q260" s="691"/>
      <c r="R260" s="691"/>
      <c r="S260" s="691"/>
      <c r="T260" s="691"/>
      <c r="U260" s="691"/>
      <c r="V260" s="691"/>
      <c r="W260" s="691"/>
      <c r="X260" s="691"/>
      <c r="Y260" s="691"/>
      <c r="Z260" s="691"/>
      <c r="AA260" s="691"/>
      <c r="AB260" s="691"/>
      <c r="AC260" s="691"/>
      <c r="AD260" s="691"/>
      <c r="AE260" s="691"/>
      <c r="AF260" s="691"/>
      <c r="AG260" s="691"/>
      <c r="AH260" s="691"/>
      <c r="AI260" s="691"/>
      <c r="AJ260" s="691"/>
      <c r="AK260" s="691"/>
      <c r="AL260" s="691"/>
      <c r="AM260" s="691"/>
      <c r="AN260" s="691"/>
      <c r="AO260" s="691"/>
      <c r="AP260" s="691"/>
      <c r="AQ260" s="691"/>
      <c r="AR260" s="691"/>
      <c r="AS260" s="691"/>
      <c r="AT260" s="691"/>
      <c r="AU260" s="691"/>
      <c r="AV260" s="691"/>
      <c r="AW260" s="691"/>
      <c r="AX260" s="691"/>
      <c r="AY260" s="691"/>
      <c r="AZ260" s="691"/>
      <c r="BA260" s="691"/>
      <c r="BB260" s="691"/>
      <c r="BC260" s="691"/>
      <c r="BD260" s="691"/>
      <c r="BE260" s="691"/>
      <c r="BF260" s="691"/>
      <c r="BG260" s="691"/>
      <c r="BH260" s="691"/>
      <c r="BI260" s="691"/>
      <c r="BJ260" s="691"/>
      <c r="BK260" s="691"/>
      <c r="BL260" s="691"/>
      <c r="BM260" s="691"/>
      <c r="BN260" s="691"/>
      <c r="BO260" s="691"/>
      <c r="BP260" s="691"/>
      <c r="BQ260" s="691"/>
      <c r="BR260" s="691"/>
      <c r="BS260" s="691"/>
      <c r="BT260" s="691"/>
      <c r="BU260" s="691"/>
      <c r="BV260" s="691"/>
      <c r="BW260" s="691"/>
      <c r="BX260" s="691"/>
      <c r="BY260" s="691"/>
      <c r="BZ260" s="691"/>
      <c r="CA260" s="691"/>
      <c r="CB260" s="691"/>
      <c r="CC260" s="691"/>
      <c r="CD260" s="691"/>
      <c r="CE260" s="691"/>
      <c r="CF260" s="691"/>
      <c r="CG260" s="691"/>
      <c r="CH260" s="691"/>
      <c r="CI260" s="691"/>
      <c r="CJ260" s="691"/>
      <c r="CK260" s="691"/>
      <c r="CL260" s="691"/>
      <c r="CM260" s="691"/>
      <c r="CN260" s="691"/>
      <c r="CO260" s="691"/>
      <c r="CP260" s="691"/>
      <c r="CQ260" s="691"/>
      <c r="CR260" s="691"/>
      <c r="CS260" s="691"/>
      <c r="CT260" s="691"/>
      <c r="CU260" s="691"/>
      <c r="CV260" s="691"/>
      <c r="CW260" s="691"/>
      <c r="CX260" s="691"/>
      <c r="CY260" s="691"/>
      <c r="CZ260" s="691"/>
      <c r="DA260" s="691"/>
      <c r="DB260" s="691"/>
      <c r="DC260" s="691"/>
      <c r="DD260" s="691"/>
      <c r="DE260" s="691"/>
      <c r="DF260" s="691"/>
      <c r="DG260" s="691"/>
      <c r="DH260" s="691"/>
      <c r="DI260" s="691"/>
      <c r="DJ260" s="691"/>
      <c r="DK260" s="691"/>
      <c r="DL260" s="691"/>
      <c r="DM260" s="691"/>
      <c r="DN260" s="691"/>
      <c r="DO260" s="691"/>
      <c r="DP260" s="691"/>
      <c r="DQ260" s="691"/>
      <c r="DR260" s="691"/>
      <c r="DS260" s="691"/>
      <c r="DT260" s="691"/>
      <c r="DU260" s="691"/>
      <c r="DV260" s="691"/>
      <c r="DW260" s="691"/>
      <c r="DX260" s="691"/>
      <c r="DY260" s="691"/>
      <c r="DZ260" s="691"/>
      <c r="EA260" s="691"/>
      <c r="EB260" s="691"/>
      <c r="EC260" s="691"/>
      <c r="ED260" s="691"/>
      <c r="EE260" s="691"/>
      <c r="EF260" s="691"/>
      <c r="EG260" s="691"/>
      <c r="EH260" s="691"/>
      <c r="EI260" s="691"/>
      <c r="EJ260" s="691"/>
      <c r="EK260" s="691"/>
      <c r="EL260" s="691"/>
      <c r="EM260" s="691"/>
      <c r="EN260" s="691"/>
      <c r="EO260" s="691"/>
      <c r="EP260" s="691"/>
      <c r="EQ260" s="691"/>
      <c r="ER260" s="691"/>
      <c r="ES260" s="691"/>
      <c r="ET260" s="691"/>
      <c r="EU260" s="691"/>
      <c r="EV260" s="691"/>
      <c r="EW260" s="691"/>
      <c r="EX260" s="691"/>
      <c r="EY260" s="691"/>
      <c r="EZ260" s="691"/>
      <c r="FA260" s="691"/>
      <c r="FB260" s="691"/>
      <c r="FC260" s="691"/>
      <c r="FD260" s="691"/>
      <c r="FE260" s="691"/>
      <c r="FF260" s="691"/>
      <c r="FG260" s="691"/>
      <c r="FH260" s="691"/>
      <c r="FI260" s="691"/>
      <c r="FJ260" s="691"/>
      <c r="FK260" s="691"/>
      <c r="FL260" s="691"/>
      <c r="FM260" s="691"/>
      <c r="FN260" s="691"/>
      <c r="FO260" s="691"/>
      <c r="FP260" s="691"/>
      <c r="FQ260" s="691"/>
      <c r="FR260" s="691"/>
      <c r="FS260" s="691"/>
      <c r="FT260" s="691"/>
      <c r="FU260" s="691"/>
      <c r="FV260" s="691"/>
      <c r="FW260" s="691"/>
      <c r="FX260" s="691"/>
      <c r="FY260" s="691"/>
      <c r="FZ260" s="691"/>
      <c r="GA260" s="691"/>
      <c r="GB260" s="691"/>
      <c r="GC260" s="691"/>
      <c r="GD260" s="691"/>
      <c r="GE260" s="691"/>
      <c r="GF260" s="691"/>
      <c r="GG260" s="691"/>
      <c r="GH260" s="691"/>
      <c r="GI260" s="691"/>
      <c r="GJ260" s="691"/>
      <c r="GK260" s="691"/>
      <c r="GL260" s="691"/>
      <c r="GM260" s="691"/>
      <c r="GN260" s="691"/>
      <c r="GO260" s="691"/>
      <c r="GP260" s="691"/>
      <c r="GQ260" s="691"/>
      <c r="GR260" s="691"/>
      <c r="GS260" s="691"/>
      <c r="GT260" s="691"/>
      <c r="GU260" s="691"/>
      <c r="GV260" s="691"/>
      <c r="GW260" s="691"/>
      <c r="GX260" s="691"/>
      <c r="GY260" s="691"/>
      <c r="GZ260" s="691"/>
      <c r="HA260" s="691"/>
      <c r="HB260" s="691"/>
      <c r="HC260" s="691"/>
      <c r="HD260" s="691"/>
      <c r="HE260" s="691"/>
      <c r="HF260" s="691"/>
      <c r="HG260" s="691"/>
      <c r="HH260" s="691"/>
      <c r="HI260" s="691"/>
      <c r="HJ260" s="691"/>
      <c r="HK260" s="691"/>
      <c r="HL260" s="691"/>
      <c r="HM260" s="691"/>
      <c r="HN260" s="691"/>
      <c r="HO260" s="691"/>
      <c r="HP260" s="691"/>
      <c r="HQ260" s="691"/>
      <c r="HR260" s="691"/>
      <c r="HS260" s="691"/>
      <c r="HT260" s="691"/>
      <c r="HU260" s="691"/>
      <c r="HV260" s="691"/>
      <c r="HW260" s="691"/>
      <c r="HX260" s="691"/>
      <c r="HY260" s="691"/>
      <c r="HZ260" s="691"/>
      <c r="IA260" s="691"/>
      <c r="IB260" s="691"/>
      <c r="IC260" s="691"/>
      <c r="ID260" s="691"/>
      <c r="IE260" s="691"/>
      <c r="IF260" s="691"/>
      <c r="IG260" s="691"/>
      <c r="IH260" s="691"/>
      <c r="II260" s="691"/>
      <c r="IJ260" s="691"/>
      <c r="IK260" s="691"/>
      <c r="IL260" s="691"/>
      <c r="IM260" s="691"/>
      <c r="IN260" s="691"/>
      <c r="IO260" s="691"/>
      <c r="IP260" s="691"/>
      <c r="IQ260" s="691"/>
      <c r="IR260" s="691"/>
      <c r="IS260" s="691"/>
      <c r="IT260" s="691"/>
      <c r="IU260" s="691"/>
      <c r="IV260" s="691"/>
      <c r="IW260" s="691"/>
    </row>
    <row r="261" customFormat="false" ht="12.75" hidden="false" customHeight="false" outlineLevel="1" collapsed="false">
      <c r="A261" s="395"/>
      <c r="B261" s="70"/>
      <c r="C261" s="70"/>
      <c r="D261" s="70"/>
      <c r="E261" s="70"/>
      <c r="F261" s="70"/>
      <c r="G261" s="70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  <c r="Z261" s="70"/>
    </row>
    <row r="262" customFormat="false" ht="12.75" hidden="false" customHeight="false" outlineLevel="1" collapsed="false">
      <c r="A262" s="395"/>
      <c r="B262" s="70"/>
      <c r="C262" s="70"/>
      <c r="D262" s="70"/>
      <c r="E262" s="70"/>
      <c r="F262" s="70"/>
      <c r="G262" s="70"/>
      <c r="H262" s="417"/>
      <c r="I262" s="417"/>
      <c r="J262" s="417"/>
      <c r="K262" s="417"/>
      <c r="L262" s="417"/>
      <c r="M262" s="417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  <c r="Y262" s="70"/>
      <c r="Z262" s="70"/>
    </row>
    <row r="263" customFormat="false" ht="12.75" hidden="false" customHeight="false" outlineLevel="1" collapsed="false">
      <c r="A263" s="395"/>
      <c r="B263" s="70"/>
      <c r="C263" s="70"/>
      <c r="D263" s="70"/>
      <c r="E263" s="70"/>
      <c r="F263" s="70"/>
      <c r="G263" s="70"/>
      <c r="H263" s="417"/>
      <c r="I263" s="417"/>
      <c r="J263" s="417"/>
      <c r="K263" s="417"/>
      <c r="L263" s="417"/>
      <c r="M263" s="417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  <c r="Z263" s="70"/>
    </row>
    <row r="264" customFormat="false" ht="12.75" hidden="false" customHeight="false" outlineLevel="1" collapsed="false">
      <c r="A264" s="70"/>
      <c r="B264" s="692"/>
      <c r="C264" s="692"/>
      <c r="D264" s="692"/>
      <c r="E264" s="692"/>
      <c r="F264" s="70"/>
      <c r="G264" s="70"/>
      <c r="H264" s="693"/>
      <c r="I264" s="693"/>
      <c r="J264" s="693"/>
      <c r="K264" s="693"/>
      <c r="L264" s="693"/>
      <c r="M264" s="693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  <c r="Z264" s="70"/>
    </row>
    <row r="265" customFormat="false" ht="12.75" hidden="false" customHeight="false" outlineLevel="1" collapsed="false">
      <c r="A265" s="395"/>
      <c r="B265" s="694"/>
      <c r="C265" s="694"/>
      <c r="D265" s="694"/>
      <c r="E265" s="694"/>
      <c r="F265" s="70"/>
      <c r="G265" s="70"/>
      <c r="H265" s="70"/>
      <c r="I265" s="70"/>
      <c r="J265" s="70"/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  <c r="Z265" s="70"/>
    </row>
    <row r="266" customFormat="false" ht="12.75" hidden="false" customHeight="false" outlineLevel="1" collapsed="false">
      <c r="A266" s="690"/>
      <c r="B266" s="70"/>
      <c r="C266" s="70"/>
      <c r="D266" s="70"/>
      <c r="E266" s="70"/>
      <c r="F266" s="70"/>
      <c r="G266" s="70"/>
      <c r="H266" s="70"/>
      <c r="I266" s="70"/>
      <c r="J266" s="70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  <c r="Z266" s="70"/>
    </row>
    <row r="267" customFormat="false" ht="12.75" hidden="false" customHeight="false" outlineLevel="1" collapsed="false">
      <c r="A267" s="695"/>
      <c r="B267" s="70"/>
      <c r="C267" s="70"/>
      <c r="D267" s="70"/>
      <c r="E267" s="70"/>
      <c r="F267" s="70"/>
      <c r="G267" s="70"/>
      <c r="H267" s="102"/>
      <c r="I267" s="102"/>
      <c r="J267" s="102"/>
      <c r="K267" s="102"/>
      <c r="L267" s="102"/>
      <c r="M267" s="102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  <c r="Z267" s="70"/>
    </row>
    <row r="268" customFormat="false" ht="12.75" hidden="false" customHeight="false" outlineLevel="1" collapsed="false">
      <c r="A268" s="695"/>
      <c r="B268" s="70"/>
      <c r="C268" s="70"/>
      <c r="D268" s="70"/>
      <c r="E268" s="70"/>
      <c r="F268" s="70"/>
      <c r="G268" s="70"/>
      <c r="H268" s="102"/>
      <c r="I268" s="102"/>
      <c r="J268" s="102"/>
      <c r="K268" s="102"/>
      <c r="L268" s="102"/>
      <c r="M268" s="102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  <c r="Y268" s="70"/>
      <c r="Z268" s="70"/>
    </row>
    <row r="269" customFormat="false" ht="12.75" hidden="false" customHeight="false" outlineLevel="1" collapsed="false">
      <c r="A269" s="695"/>
      <c r="B269" s="70"/>
      <c r="C269" s="70"/>
      <c r="D269" s="70"/>
      <c r="E269" s="70"/>
      <c r="F269" s="70"/>
      <c r="G269" s="70"/>
      <c r="H269" s="102"/>
      <c r="I269" s="102"/>
      <c r="J269" s="102"/>
      <c r="K269" s="102"/>
      <c r="L269" s="102"/>
      <c r="M269" s="102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  <c r="Z269" s="70"/>
    </row>
    <row r="270" customFormat="false" ht="12.75" hidden="false" customHeight="false" outlineLevel="1" collapsed="false">
      <c r="A270" s="695"/>
      <c r="B270" s="70"/>
      <c r="C270" s="70"/>
      <c r="D270" s="70"/>
      <c r="E270" s="70"/>
      <c r="F270" s="70"/>
      <c r="G270" s="70"/>
      <c r="H270" s="102"/>
      <c r="I270" s="102"/>
      <c r="J270" s="102"/>
      <c r="K270" s="102"/>
      <c r="L270" s="102"/>
      <c r="M270" s="102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  <c r="Z270" s="70"/>
    </row>
    <row r="271" customFormat="false" ht="12.75" hidden="false" customHeight="false" outlineLevel="1" collapsed="false">
      <c r="A271" s="695"/>
      <c r="B271" s="70"/>
      <c r="C271" s="70"/>
      <c r="D271" s="70"/>
      <c r="E271" s="70"/>
      <c r="F271" s="70"/>
      <c r="G271" s="70"/>
      <c r="H271" s="417"/>
      <c r="I271" s="417"/>
      <c r="J271" s="417"/>
      <c r="K271" s="417"/>
      <c r="L271" s="417"/>
      <c r="M271" s="417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  <c r="Z271" s="70"/>
    </row>
    <row r="272" customFormat="false" ht="12.75" hidden="false" customHeight="false" outlineLevel="1" collapsed="false">
      <c r="A272" s="395"/>
      <c r="B272" s="70"/>
      <c r="C272" s="70"/>
      <c r="D272" s="70"/>
      <c r="E272" s="70"/>
      <c r="F272" s="70"/>
      <c r="G272" s="70"/>
      <c r="H272" s="696"/>
      <c r="I272" s="696"/>
      <c r="J272" s="696"/>
      <c r="K272" s="696"/>
      <c r="L272" s="696"/>
      <c r="M272" s="696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  <c r="Z272" s="70"/>
    </row>
    <row r="273" customFormat="false" ht="12.75" hidden="false" customHeight="false" outlineLevel="1" collapsed="false">
      <c r="A273" s="695"/>
      <c r="B273" s="697"/>
      <c r="C273" s="697"/>
      <c r="D273" s="697"/>
      <c r="E273" s="697"/>
      <c r="F273" s="70"/>
      <c r="G273" s="70"/>
      <c r="H273" s="698"/>
      <c r="I273" s="698"/>
      <c r="J273" s="698"/>
      <c r="K273" s="698"/>
      <c r="L273" s="698"/>
      <c r="M273" s="698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  <c r="Z273" s="70"/>
    </row>
    <row r="274" customFormat="false" ht="12.75" hidden="false" customHeight="false" outlineLevel="1" collapsed="false">
      <c r="A274" s="695"/>
      <c r="B274" s="70"/>
      <c r="C274" s="70"/>
      <c r="D274" s="70"/>
      <c r="E274" s="70"/>
      <c r="F274" s="70"/>
      <c r="G274" s="70"/>
      <c r="H274" s="698"/>
      <c r="I274" s="698"/>
      <c r="J274" s="698"/>
      <c r="K274" s="698"/>
      <c r="L274" s="698"/>
      <c r="M274" s="698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  <c r="Z274" s="70"/>
    </row>
    <row r="275" customFormat="false" ht="12.75" hidden="false" customHeight="false" outlineLevel="1" collapsed="false">
      <c r="A275" s="695"/>
      <c r="B275" s="70"/>
      <c r="C275" s="70"/>
      <c r="D275" s="70"/>
      <c r="E275" s="70"/>
      <c r="F275" s="70"/>
      <c r="G275" s="70"/>
      <c r="H275" s="698"/>
      <c r="I275" s="698"/>
      <c r="J275" s="698"/>
      <c r="K275" s="698"/>
      <c r="L275" s="698"/>
      <c r="M275" s="698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  <c r="Z275" s="70"/>
    </row>
    <row r="276" customFormat="false" ht="12.75" hidden="false" customHeight="false" outlineLevel="1" collapsed="false">
      <c r="A276" s="695"/>
      <c r="B276" s="70"/>
      <c r="C276" s="70"/>
      <c r="D276" s="70"/>
      <c r="E276" s="70"/>
      <c r="F276" s="70"/>
      <c r="G276" s="70"/>
      <c r="H276" s="698"/>
      <c r="I276" s="698"/>
      <c r="J276" s="698"/>
      <c r="K276" s="698"/>
      <c r="L276" s="698"/>
      <c r="M276" s="698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/>
    </row>
    <row r="277" customFormat="false" ht="12.75" hidden="false" customHeight="false" outlineLevel="1" collapsed="false">
      <c r="A277" s="695"/>
      <c r="B277" s="70"/>
      <c r="C277" s="70"/>
      <c r="D277" s="70"/>
      <c r="E277" s="70"/>
      <c r="F277" s="70"/>
      <c r="G277" s="70"/>
      <c r="H277" s="696"/>
      <c r="I277" s="696"/>
      <c r="J277" s="696"/>
      <c r="K277" s="696"/>
      <c r="L277" s="696"/>
      <c r="M277" s="696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/>
    </row>
    <row r="278" customFormat="false" ht="12.75" hidden="false" customHeight="false" outlineLevel="1" collapsed="false">
      <c r="A278" s="395"/>
      <c r="B278" s="70"/>
      <c r="C278" s="70"/>
      <c r="D278" s="70"/>
      <c r="E278" s="70"/>
      <c r="F278" s="70"/>
      <c r="G278" s="70"/>
      <c r="H278" s="70"/>
      <c r="I278" s="70"/>
      <c r="J278" s="70"/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/>
    </row>
    <row r="279" customFormat="false" ht="12.75" hidden="false" customHeight="false" outlineLevel="1" collapsed="false">
      <c r="A279" s="70"/>
      <c r="B279" s="70"/>
      <c r="C279" s="70"/>
      <c r="D279" s="70"/>
      <c r="E279" s="70"/>
      <c r="F279" s="70"/>
      <c r="G279" s="70"/>
      <c r="H279" s="102"/>
      <c r="I279" s="102"/>
      <c r="J279" s="102"/>
      <c r="K279" s="102"/>
      <c r="L279" s="102"/>
      <c r="M279" s="102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/>
    </row>
    <row r="280" customFormat="false" ht="12.75" hidden="false" customHeight="false" outlineLevel="1" collapsed="false">
      <c r="A280" s="70"/>
      <c r="B280" s="70"/>
      <c r="C280" s="70"/>
      <c r="D280" s="70"/>
      <c r="E280" s="70"/>
      <c r="F280" s="70"/>
      <c r="G280" s="70"/>
      <c r="H280" s="102"/>
      <c r="I280" s="102"/>
      <c r="J280" s="102"/>
      <c r="K280" s="102"/>
      <c r="L280" s="102"/>
      <c r="M280" s="102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  <c r="Z280" s="70"/>
    </row>
    <row r="281" customFormat="false" ht="12.75" hidden="false" customHeight="false" outlineLevel="1" collapsed="false">
      <c r="A281" s="70"/>
      <c r="B281" s="70"/>
      <c r="C281" s="70"/>
      <c r="D281" s="70"/>
      <c r="E281" s="70"/>
      <c r="F281" s="70"/>
      <c r="G281" s="70"/>
      <c r="H281" s="102"/>
      <c r="I281" s="102"/>
      <c r="J281" s="102"/>
      <c r="K281" s="102"/>
      <c r="L281" s="102"/>
      <c r="M281" s="102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  <c r="Z281" s="70"/>
    </row>
    <row r="282" customFormat="false" ht="12.75" hidden="false" customHeight="false" outlineLevel="1" collapsed="false">
      <c r="A282" s="70"/>
      <c r="B282" s="70"/>
      <c r="C282" s="70"/>
      <c r="D282" s="70"/>
      <c r="E282" s="70"/>
      <c r="F282" s="639"/>
      <c r="G282" s="639"/>
      <c r="H282" s="102"/>
      <c r="I282" s="102"/>
      <c r="J282" s="102"/>
      <c r="K282" s="102"/>
      <c r="L282" s="102"/>
      <c r="M282" s="102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  <c r="Z282" s="70"/>
    </row>
    <row r="283" customFormat="false" ht="12.75" hidden="false" customHeight="false" outlineLevel="1" collapsed="false">
      <c r="A283" s="70"/>
      <c r="B283" s="70"/>
      <c r="C283" s="70"/>
      <c r="D283" s="70"/>
      <c r="E283" s="70"/>
      <c r="F283" s="70"/>
      <c r="G283" s="70"/>
      <c r="H283" s="70"/>
      <c r="I283" s="70"/>
      <c r="J283" s="70"/>
      <c r="K283" s="70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  <c r="Z283" s="70"/>
    </row>
    <row r="284" customFormat="false" ht="12.75" hidden="false" customHeight="false" outlineLevel="1" collapsed="false">
      <c r="A284" s="395"/>
      <c r="B284" s="70"/>
      <c r="C284" s="70"/>
      <c r="D284" s="70"/>
      <c r="E284" s="70"/>
      <c r="F284" s="70"/>
      <c r="G284" s="70"/>
      <c r="H284" s="70"/>
      <c r="I284" s="70"/>
      <c r="J284" s="70"/>
      <c r="K284" s="70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  <c r="Z284" s="70"/>
    </row>
    <row r="285" customFormat="false" ht="12.75" hidden="false" customHeight="false" outlineLevel="1" collapsed="false">
      <c r="A285" s="70"/>
      <c r="B285" s="70"/>
      <c r="C285" s="70"/>
      <c r="D285" s="70"/>
      <c r="E285" s="70"/>
      <c r="F285" s="70"/>
      <c r="G285" s="70"/>
      <c r="H285" s="417"/>
      <c r="I285" s="417"/>
      <c r="J285" s="417"/>
      <c r="K285" s="417"/>
      <c r="L285" s="417"/>
      <c r="M285" s="417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  <c r="Z285" s="70"/>
    </row>
    <row r="286" customFormat="false" ht="12.75" hidden="false" customHeight="false" outlineLevel="1" collapsed="false">
      <c r="A286" s="695"/>
      <c r="B286" s="70"/>
      <c r="C286" s="70"/>
      <c r="D286" s="70"/>
      <c r="E286" s="70"/>
      <c r="F286" s="70"/>
      <c r="G286" s="70"/>
      <c r="H286" s="417"/>
      <c r="I286" s="417"/>
      <c r="J286" s="417"/>
      <c r="K286" s="417"/>
      <c r="L286" s="417"/>
      <c r="M286" s="417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  <c r="Z286" s="70"/>
    </row>
    <row r="287" customFormat="false" ht="12.75" hidden="false" customHeight="false" outlineLevel="1" collapsed="false">
      <c r="A287" s="695"/>
      <c r="B287" s="70"/>
      <c r="C287" s="70"/>
      <c r="D287" s="70"/>
      <c r="E287" s="70"/>
      <c r="F287" s="70"/>
      <c r="G287" s="70"/>
      <c r="H287" s="417"/>
      <c r="I287" s="417"/>
      <c r="J287" s="417"/>
      <c r="K287" s="417"/>
      <c r="L287" s="417"/>
      <c r="M287" s="417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  <c r="Z287" s="70"/>
    </row>
    <row r="288" customFormat="false" ht="12.75" hidden="false" customHeight="false" outlineLevel="1" collapsed="false">
      <c r="A288" s="695"/>
      <c r="B288" s="70"/>
      <c r="C288" s="70"/>
      <c r="D288" s="70"/>
      <c r="E288" s="70"/>
      <c r="F288" s="639"/>
      <c r="G288" s="639"/>
      <c r="H288" s="417"/>
      <c r="I288" s="417"/>
      <c r="J288" s="417"/>
      <c r="K288" s="417"/>
      <c r="L288" s="417"/>
      <c r="M288" s="417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  <c r="Z288" s="70"/>
    </row>
    <row r="289" customFormat="false" ht="12.75" hidden="false" customHeight="false" outlineLevel="1" collapsed="false">
      <c r="A289" s="70"/>
      <c r="B289" s="70"/>
      <c r="C289" s="70"/>
      <c r="D289" s="70"/>
      <c r="E289" s="70"/>
      <c r="F289" s="70"/>
      <c r="G289" s="70"/>
      <c r="H289" s="417"/>
      <c r="I289" s="417"/>
      <c r="J289" s="417"/>
      <c r="K289" s="417"/>
      <c r="L289" s="417"/>
      <c r="M289" s="417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  <c r="Z289" s="70"/>
    </row>
    <row r="290" customFormat="false" ht="12.75" hidden="false" customHeight="false" outlineLevel="1" collapsed="false">
      <c r="A290" s="70"/>
      <c r="B290" s="70"/>
      <c r="C290" s="70"/>
      <c r="D290" s="70"/>
      <c r="E290" s="70"/>
      <c r="F290" s="70"/>
      <c r="G290" s="70"/>
      <c r="H290" s="417"/>
      <c r="I290" s="417"/>
      <c r="J290" s="417"/>
      <c r="K290" s="417"/>
      <c r="L290" s="417"/>
      <c r="M290" s="417"/>
      <c r="N290" s="70"/>
      <c r="O290" s="70"/>
      <c r="P290" s="70"/>
      <c r="Q290" s="70"/>
      <c r="R290" s="70"/>
      <c r="S290" s="70"/>
      <c r="T290" s="70"/>
      <c r="U290" s="70"/>
      <c r="V290" s="70"/>
      <c r="W290" s="70"/>
      <c r="X290" s="70"/>
      <c r="Y290" s="70"/>
      <c r="Z290" s="70"/>
    </row>
    <row r="291" customFormat="false" ht="12.75" hidden="false" customHeight="false" outlineLevel="1" collapsed="false">
      <c r="A291" s="70"/>
      <c r="B291" s="70"/>
      <c r="C291" s="70"/>
      <c r="D291" s="70"/>
      <c r="E291" s="70"/>
      <c r="F291" s="70"/>
      <c r="G291" s="70"/>
      <c r="H291" s="417"/>
      <c r="I291" s="417"/>
      <c r="J291" s="417"/>
      <c r="K291" s="417"/>
      <c r="L291" s="417"/>
      <c r="M291" s="417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  <c r="Y291" s="70"/>
      <c r="Z291" s="70"/>
    </row>
    <row r="292" customFormat="false" ht="12.75" hidden="false" customHeight="false" outlineLevel="1" collapsed="false">
      <c r="A292" s="70"/>
      <c r="B292" s="70"/>
      <c r="C292" s="70"/>
      <c r="D292" s="70"/>
      <c r="E292" s="70"/>
      <c r="F292" s="70"/>
      <c r="G292" s="70"/>
      <c r="H292" s="417"/>
      <c r="I292" s="417"/>
      <c r="J292" s="417"/>
      <c r="K292" s="417"/>
      <c r="L292" s="417"/>
      <c r="M292" s="417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  <c r="Z292" s="70"/>
    </row>
    <row r="293" customFormat="false" ht="12.75" hidden="false" customHeight="false" outlineLevel="1" collapsed="false">
      <c r="A293" s="70"/>
      <c r="B293" s="70"/>
      <c r="C293" s="70"/>
      <c r="D293" s="70"/>
      <c r="E293" s="70"/>
      <c r="F293" s="70"/>
      <c r="G293" s="70"/>
      <c r="H293" s="417"/>
      <c r="I293" s="417"/>
      <c r="J293" s="417"/>
      <c r="K293" s="417"/>
      <c r="L293" s="417"/>
      <c r="M293" s="417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  <c r="Z293" s="70"/>
    </row>
    <row r="294" customFormat="false" ht="12.75" hidden="false" customHeight="false" outlineLevel="1" collapsed="false">
      <c r="A294" s="70"/>
      <c r="B294" s="70"/>
      <c r="C294" s="70"/>
      <c r="D294" s="70"/>
      <c r="E294" s="70"/>
      <c r="F294" s="70"/>
      <c r="G294" s="70"/>
      <c r="H294" s="417"/>
      <c r="I294" s="417"/>
      <c r="J294" s="417"/>
      <c r="K294" s="417"/>
      <c r="L294" s="417"/>
      <c r="M294" s="417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  <c r="Y294" s="70"/>
      <c r="Z294" s="70"/>
    </row>
    <row r="295" customFormat="false" ht="12.75" hidden="false" customHeight="false" outlineLevel="1" collapsed="false">
      <c r="A295" s="70"/>
      <c r="B295" s="70"/>
      <c r="C295" s="70"/>
      <c r="D295" s="70"/>
      <c r="E295" s="70"/>
      <c r="F295" s="70"/>
      <c r="G295" s="70"/>
      <c r="H295" s="70"/>
      <c r="I295" s="70"/>
      <c r="J295" s="70"/>
      <c r="K295" s="70"/>
      <c r="L295" s="70"/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  <c r="Y295" s="70"/>
      <c r="Z295" s="70"/>
    </row>
    <row r="296" customFormat="false" ht="12.75" hidden="false" customHeight="false" outlineLevel="1" collapsed="false">
      <c r="A296" s="395"/>
      <c r="B296" s="70"/>
      <c r="C296" s="70"/>
      <c r="D296" s="70"/>
      <c r="E296" s="70"/>
      <c r="F296" s="399"/>
      <c r="G296" s="399"/>
      <c r="H296" s="399"/>
      <c r="I296" s="399"/>
      <c r="J296" s="399"/>
      <c r="K296" s="399"/>
      <c r="L296" s="399"/>
      <c r="M296" s="399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  <c r="Y296" s="70"/>
      <c r="Z296" s="70"/>
    </row>
    <row r="297" customFormat="false" ht="12.75" hidden="false" customHeight="false" outlineLevel="1" collapsed="false">
      <c r="A297" s="395"/>
      <c r="B297" s="70"/>
      <c r="C297" s="70"/>
      <c r="D297" s="70"/>
      <c r="E297" s="697"/>
      <c r="F297" s="639"/>
      <c r="G297" s="639"/>
      <c r="H297" s="399"/>
      <c r="I297" s="399"/>
      <c r="J297" s="399"/>
      <c r="K297" s="399"/>
      <c r="L297" s="399"/>
      <c r="M297" s="399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  <c r="Y297" s="70"/>
      <c r="Z297" s="70"/>
    </row>
    <row r="298" customFormat="false" ht="12.75" hidden="false" customHeight="false" outlineLevel="1" collapsed="false">
      <c r="A298" s="395"/>
      <c r="B298" s="70"/>
      <c r="C298" s="70"/>
      <c r="D298" s="70"/>
      <c r="E298" s="70"/>
      <c r="F298" s="399"/>
      <c r="G298" s="399"/>
      <c r="H298" s="399"/>
      <c r="I298" s="399"/>
      <c r="J298" s="399"/>
      <c r="K298" s="399"/>
      <c r="L298" s="399"/>
      <c r="M298" s="399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  <c r="Y298" s="70"/>
      <c r="Z298" s="70"/>
    </row>
    <row r="299" customFormat="false" ht="12.75" hidden="false" customHeight="false" outlineLevel="1" collapsed="false">
      <c r="A299" s="395"/>
      <c r="B299" s="70"/>
      <c r="C299" s="70"/>
      <c r="D299" s="70"/>
      <c r="E299" s="70"/>
      <c r="F299" s="70"/>
      <c r="G299" s="70"/>
      <c r="H299" s="399"/>
      <c r="I299" s="399"/>
      <c r="J299" s="399"/>
      <c r="K299" s="399"/>
      <c r="L299" s="399"/>
      <c r="M299" s="399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  <c r="Y299" s="70"/>
      <c r="Z299" s="70"/>
    </row>
    <row r="300" customFormat="false" ht="12.75" hidden="false" customHeight="false" outlineLevel="1" collapsed="false">
      <c r="A300" s="70"/>
      <c r="B300" s="70"/>
      <c r="C300" s="70"/>
      <c r="D300" s="70"/>
      <c r="E300" s="70"/>
      <c r="F300" s="70"/>
      <c r="G300" s="70"/>
      <c r="H300" s="70"/>
      <c r="I300" s="70"/>
      <c r="J300" s="70"/>
      <c r="K300" s="70"/>
      <c r="L300" s="70"/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  <c r="Y300" s="70"/>
      <c r="Z300" s="70"/>
    </row>
    <row r="301" customFormat="false" ht="12.75" hidden="false" customHeight="false" outlineLevel="1" collapsed="false">
      <c r="A301" s="395"/>
      <c r="B301" s="70"/>
      <c r="C301" s="70"/>
      <c r="D301" s="70"/>
      <c r="E301" s="70"/>
      <c r="F301" s="70"/>
      <c r="G301" s="70"/>
      <c r="H301" s="70"/>
      <c r="I301" s="70"/>
      <c r="J301" s="70"/>
      <c r="K301" s="70"/>
      <c r="L301" s="70"/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  <c r="Y301" s="70"/>
      <c r="Z301" s="70"/>
    </row>
    <row r="302" customFormat="false" ht="12.75" hidden="false" customHeight="false" outlineLevel="1" collapsed="false">
      <c r="A302" s="395"/>
      <c r="B302" s="70"/>
      <c r="C302" s="70"/>
      <c r="D302" s="70"/>
      <c r="E302" s="70"/>
      <c r="F302" s="70"/>
      <c r="G302" s="70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  <c r="Y302" s="70"/>
      <c r="Z302" s="70"/>
    </row>
    <row r="303" customFormat="false" ht="12.75" hidden="false" customHeight="false" outlineLevel="1" collapsed="false">
      <c r="A303" s="70"/>
      <c r="B303" s="70"/>
      <c r="C303" s="70"/>
      <c r="D303" s="70"/>
      <c r="E303" s="70"/>
      <c r="F303" s="70"/>
      <c r="G303" s="70"/>
      <c r="H303" s="70"/>
      <c r="I303" s="70"/>
      <c r="J303" s="70"/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  <c r="Y303" s="70"/>
      <c r="Z303" s="70"/>
    </row>
    <row r="304" customFormat="false" ht="12.75" hidden="false" customHeight="false" outlineLevel="1" collapsed="false">
      <c r="A304" s="70"/>
      <c r="B304" s="70"/>
      <c r="C304" s="70"/>
      <c r="D304" s="70"/>
      <c r="E304" s="70"/>
      <c r="F304" s="70"/>
      <c r="G304" s="70"/>
      <c r="H304" s="686"/>
      <c r="I304" s="686"/>
      <c r="J304" s="686"/>
      <c r="K304" s="686"/>
      <c r="L304" s="686"/>
      <c r="M304" s="686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  <c r="Z304" s="70"/>
    </row>
    <row r="305" customFormat="false" ht="12.75" hidden="false" customHeight="false" outlineLevel="1" collapsed="false">
      <c r="A305" s="70"/>
      <c r="B305" s="70"/>
      <c r="C305" s="70"/>
      <c r="D305" s="70"/>
      <c r="E305" s="70"/>
      <c r="F305" s="70"/>
      <c r="G305" s="70"/>
      <c r="H305" s="399"/>
      <c r="I305" s="399"/>
      <c r="J305" s="399"/>
      <c r="K305" s="399"/>
      <c r="L305" s="399"/>
      <c r="M305" s="399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  <c r="Y305" s="70"/>
      <c r="Z305" s="70"/>
    </row>
    <row r="306" customFormat="false" ht="12.75" hidden="false" customHeight="false" outlineLevel="1" collapsed="false">
      <c r="A306" s="70"/>
      <c r="B306" s="70"/>
      <c r="C306" s="70"/>
      <c r="D306" s="70"/>
      <c r="E306" s="70"/>
      <c r="F306" s="70"/>
      <c r="G306" s="70"/>
      <c r="H306" s="699"/>
      <c r="I306" s="699"/>
      <c r="J306" s="699"/>
      <c r="K306" s="699"/>
      <c r="L306" s="699"/>
      <c r="M306" s="699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  <c r="Y306" s="70"/>
      <c r="Z306" s="70"/>
    </row>
    <row r="307" customFormat="false" ht="12.75" hidden="false" customHeight="false" outlineLevel="1" collapsed="false">
      <c r="A307" s="70"/>
      <c r="B307" s="70"/>
      <c r="C307" s="70"/>
      <c r="D307" s="70"/>
      <c r="E307" s="70"/>
      <c r="F307" s="70"/>
      <c r="G307" s="70"/>
      <c r="H307" s="686"/>
      <c r="I307" s="686"/>
      <c r="J307" s="686"/>
      <c r="K307" s="686"/>
      <c r="L307" s="686"/>
      <c r="M307" s="686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  <c r="Z307" s="70"/>
    </row>
    <row r="308" customFormat="false" ht="12.75" hidden="false" customHeight="false" outlineLevel="1" collapsed="false">
      <c r="A308" s="70"/>
      <c r="B308" s="70"/>
      <c r="C308" s="70"/>
      <c r="D308" s="70"/>
      <c r="E308" s="70"/>
      <c r="F308" s="70"/>
      <c r="G308" s="70"/>
      <c r="H308" s="699"/>
      <c r="I308" s="699"/>
      <c r="J308" s="699"/>
      <c r="K308" s="699"/>
      <c r="L308" s="699"/>
      <c r="M308" s="699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  <c r="Y308" s="70"/>
      <c r="Z308" s="70"/>
    </row>
    <row r="309" customFormat="false" ht="12.75" hidden="false" customHeight="false" outlineLevel="1" collapsed="false">
      <c r="A309" s="70"/>
      <c r="B309" s="70"/>
      <c r="C309" s="70"/>
      <c r="D309" s="70"/>
      <c r="E309" s="70"/>
      <c r="F309" s="70"/>
      <c r="G309" s="70"/>
      <c r="H309" s="700"/>
      <c r="I309" s="700"/>
      <c r="J309" s="700"/>
      <c r="K309" s="700"/>
      <c r="L309" s="700"/>
      <c r="M309" s="700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  <c r="Y309" s="70"/>
      <c r="Z309" s="70"/>
    </row>
    <row r="310" customFormat="false" ht="12.75" hidden="false" customHeight="false" outlineLevel="1" collapsed="false">
      <c r="A310" s="70"/>
      <c r="B310" s="70"/>
      <c r="C310" s="70"/>
      <c r="D310" s="70"/>
      <c r="E310" s="70"/>
      <c r="F310" s="70"/>
      <c r="G310" s="70"/>
      <c r="H310" s="700"/>
      <c r="I310" s="700"/>
      <c r="J310" s="700"/>
      <c r="K310" s="700"/>
      <c r="L310" s="700"/>
      <c r="M310" s="700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  <c r="Y310" s="70"/>
      <c r="Z310" s="70"/>
    </row>
    <row r="311" customFormat="false" ht="18.75" hidden="true" customHeight="false" outlineLevel="2" collapsed="false">
      <c r="A311" s="682"/>
      <c r="B311" s="70"/>
      <c r="C311" s="70"/>
      <c r="D311" s="70"/>
      <c r="E311" s="70"/>
      <c r="F311" s="70"/>
      <c r="G311" s="70"/>
      <c r="H311" s="700"/>
      <c r="I311" s="700"/>
      <c r="J311" s="700"/>
      <c r="K311" s="700"/>
      <c r="L311" s="700"/>
      <c r="M311" s="700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  <c r="Y311" s="70"/>
      <c r="Z311" s="70"/>
    </row>
    <row r="312" customFormat="false" ht="12.75" hidden="true" customHeight="false" outlineLevel="2" collapsed="false">
      <c r="A312" s="395"/>
      <c r="B312" s="70"/>
      <c r="C312" s="70"/>
      <c r="D312" s="70"/>
      <c r="E312" s="70"/>
      <c r="F312" s="70"/>
      <c r="G312" s="70"/>
      <c r="H312" s="700"/>
      <c r="I312" s="700"/>
      <c r="J312" s="700"/>
      <c r="K312" s="700"/>
      <c r="L312" s="700"/>
      <c r="M312" s="700"/>
      <c r="N312" s="70"/>
      <c r="O312" s="70"/>
      <c r="P312" s="70"/>
      <c r="Q312" s="70"/>
      <c r="R312" s="70"/>
      <c r="S312" s="70"/>
      <c r="T312" s="70"/>
      <c r="U312" s="70"/>
      <c r="V312" s="70"/>
      <c r="W312" s="70"/>
      <c r="X312" s="70"/>
      <c r="Y312" s="70"/>
      <c r="Z312" s="70"/>
    </row>
    <row r="313" customFormat="false" ht="12.75" hidden="true" customHeight="false" outlineLevel="2" collapsed="false">
      <c r="A313" s="70"/>
      <c r="B313" s="70"/>
      <c r="C313" s="70"/>
      <c r="D313" s="70"/>
      <c r="E313" s="70"/>
      <c r="F313" s="70"/>
      <c r="G313" s="70"/>
      <c r="H313" s="700"/>
      <c r="I313" s="700"/>
      <c r="J313" s="700"/>
      <c r="K313" s="700"/>
      <c r="L313" s="700"/>
      <c r="M313" s="700"/>
      <c r="N313" s="70"/>
      <c r="O313" s="70"/>
      <c r="P313" s="70"/>
      <c r="Q313" s="70"/>
      <c r="R313" s="70"/>
      <c r="S313" s="70"/>
      <c r="T313" s="70"/>
      <c r="U313" s="70"/>
      <c r="V313" s="70"/>
      <c r="W313" s="70"/>
      <c r="X313" s="70"/>
      <c r="Y313" s="70"/>
      <c r="Z313" s="70"/>
    </row>
    <row r="314" customFormat="false" ht="12.75" hidden="true" customHeight="false" outlineLevel="2" collapsed="false">
      <c r="A314" s="395"/>
      <c r="B314" s="321"/>
      <c r="C314" s="321"/>
      <c r="D314" s="321"/>
      <c r="E314" s="321"/>
      <c r="F314" s="474"/>
      <c r="G314" s="474"/>
      <c r="H314" s="474"/>
      <c r="I314" s="321"/>
      <c r="J314" s="321"/>
      <c r="K314" s="474"/>
      <c r="L314" s="474"/>
      <c r="M314" s="321"/>
      <c r="N314" s="474"/>
      <c r="O314" s="474"/>
      <c r="P314" s="474"/>
      <c r="Q314" s="321"/>
      <c r="R314" s="474"/>
      <c r="S314" s="474"/>
      <c r="T314" s="70"/>
      <c r="U314" s="70"/>
      <c r="V314" s="70"/>
      <c r="W314" s="70"/>
      <c r="X314" s="70"/>
      <c r="Y314" s="474"/>
      <c r="Z314" s="70"/>
    </row>
    <row r="315" customFormat="false" ht="12.75" hidden="true" customHeight="false" outlineLevel="2" collapsed="false">
      <c r="A315" s="395"/>
      <c r="B315" s="70"/>
      <c r="C315" s="70"/>
      <c r="D315" s="70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  <c r="Z315" s="70"/>
    </row>
    <row r="316" customFormat="false" ht="12.75" hidden="true" customHeight="false" outlineLevel="2" collapsed="false">
      <c r="A316" s="70"/>
      <c r="B316" s="70"/>
      <c r="C316" s="70"/>
      <c r="D316" s="70"/>
      <c r="E316" s="70"/>
      <c r="F316" s="70"/>
      <c r="G316" s="70"/>
      <c r="H316" s="70"/>
      <c r="I316" s="70"/>
      <c r="J316" s="70"/>
      <c r="K316" s="70"/>
      <c r="L316" s="70"/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  <c r="Y316" s="70"/>
      <c r="Z316" s="70"/>
    </row>
    <row r="317" customFormat="false" ht="12.75" hidden="true" customHeight="false" outlineLevel="2" collapsed="false">
      <c r="A317" s="70"/>
      <c r="B317" s="686"/>
      <c r="C317" s="686"/>
      <c r="D317" s="686"/>
      <c r="E317" s="686"/>
      <c r="F317" s="686"/>
      <c r="G317" s="686"/>
      <c r="H317" s="686"/>
      <c r="I317" s="686"/>
      <c r="J317" s="686"/>
      <c r="K317" s="686"/>
      <c r="L317" s="686"/>
      <c r="M317" s="686"/>
      <c r="N317" s="686"/>
      <c r="O317" s="686"/>
      <c r="P317" s="686"/>
      <c r="Q317" s="686"/>
      <c r="R317" s="686"/>
      <c r="S317" s="686"/>
      <c r="T317" s="70"/>
      <c r="U317" s="70"/>
      <c r="V317" s="70"/>
      <c r="W317" s="70"/>
      <c r="X317" s="70"/>
      <c r="Y317" s="686"/>
      <c r="Z317" s="70"/>
    </row>
    <row r="318" customFormat="false" ht="12.75" hidden="true" customHeight="false" outlineLevel="2" collapsed="false">
      <c r="A318" s="70"/>
      <c r="B318" s="70"/>
      <c r="C318" s="70"/>
      <c r="D318" s="70"/>
      <c r="E318" s="70"/>
      <c r="F318" s="70"/>
      <c r="G318" s="70"/>
      <c r="H318" s="70"/>
      <c r="I318" s="70"/>
      <c r="J318" s="70"/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  <c r="Y318" s="70"/>
      <c r="Z318" s="70"/>
    </row>
    <row r="319" customFormat="false" ht="12.75" hidden="true" customHeight="false" outlineLevel="2" collapsed="false">
      <c r="A319" s="70"/>
      <c r="B319" s="399"/>
      <c r="C319" s="399"/>
      <c r="D319" s="399"/>
      <c r="E319" s="399"/>
      <c r="F319" s="399"/>
      <c r="G319" s="399"/>
      <c r="H319" s="399"/>
      <c r="I319" s="686"/>
      <c r="J319" s="686"/>
      <c r="K319" s="686"/>
      <c r="L319" s="686"/>
      <c r="M319" s="686"/>
      <c r="N319" s="686"/>
      <c r="O319" s="686"/>
      <c r="P319" s="686"/>
      <c r="Q319" s="686"/>
      <c r="R319" s="686"/>
      <c r="S319" s="686"/>
      <c r="T319" s="70"/>
      <c r="U319" s="70"/>
      <c r="V319" s="70"/>
      <c r="W319" s="70"/>
      <c r="X319" s="70"/>
      <c r="Y319" s="686"/>
      <c r="Z319" s="70"/>
    </row>
    <row r="320" customFormat="false" ht="12.75" hidden="true" customHeight="false" outlineLevel="2" collapsed="false">
      <c r="A320" s="70"/>
      <c r="B320" s="70"/>
      <c r="C320" s="70"/>
      <c r="D320" s="70"/>
      <c r="E320" s="70"/>
      <c r="F320" s="70"/>
      <c r="G320" s="70"/>
      <c r="H320" s="70"/>
      <c r="I320" s="70"/>
      <c r="J320" s="70"/>
      <c r="K320" s="70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0"/>
      <c r="X320" s="70"/>
      <c r="Y320" s="70"/>
      <c r="Z320" s="70"/>
    </row>
    <row r="321" customFormat="false" ht="12.75" hidden="true" customHeight="false" outlineLevel="2" collapsed="false">
      <c r="A321" s="70"/>
      <c r="B321" s="686"/>
      <c r="C321" s="686"/>
      <c r="D321" s="686"/>
      <c r="E321" s="686"/>
      <c r="F321" s="686"/>
      <c r="G321" s="686"/>
      <c r="H321" s="686"/>
      <c r="I321" s="686"/>
      <c r="J321" s="686"/>
      <c r="K321" s="686"/>
      <c r="L321" s="686"/>
      <c r="M321" s="686"/>
      <c r="N321" s="686"/>
      <c r="O321" s="686"/>
      <c r="P321" s="686"/>
      <c r="Q321" s="686"/>
      <c r="R321" s="686"/>
      <c r="S321" s="686"/>
      <c r="T321" s="70"/>
      <c r="U321" s="70"/>
      <c r="V321" s="70"/>
      <c r="W321" s="70"/>
      <c r="X321" s="70"/>
      <c r="Y321" s="686"/>
      <c r="Z321" s="686"/>
      <c r="AA321" s="686"/>
      <c r="AB321" s="686"/>
      <c r="AC321" s="686"/>
      <c r="AD321" s="686"/>
      <c r="AE321" s="686"/>
    </row>
    <row r="322" customFormat="false" ht="12.75" hidden="true" customHeight="false" outlineLevel="2" collapsed="false">
      <c r="A322" s="70"/>
      <c r="B322" s="70"/>
      <c r="C322" s="70"/>
      <c r="D322" s="70"/>
      <c r="E322" s="70"/>
      <c r="F322" s="70"/>
      <c r="G322" s="70"/>
      <c r="H322" s="70"/>
      <c r="I322" s="70"/>
      <c r="J322" s="70"/>
      <c r="K322" s="70"/>
      <c r="L322" s="70"/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  <c r="Y322" s="70"/>
      <c r="Z322" s="70"/>
    </row>
    <row r="323" customFormat="false" ht="12.75" hidden="true" customHeight="false" outlineLevel="2" collapsed="false">
      <c r="A323" s="70"/>
      <c r="B323" s="686"/>
      <c r="C323" s="686"/>
      <c r="D323" s="686"/>
      <c r="E323" s="686"/>
      <c r="F323" s="686"/>
      <c r="G323" s="686"/>
      <c r="H323" s="686"/>
      <c r="I323" s="686"/>
      <c r="J323" s="686"/>
      <c r="K323" s="686"/>
      <c r="L323" s="686"/>
      <c r="M323" s="686"/>
      <c r="N323" s="686"/>
      <c r="O323" s="686"/>
      <c r="P323" s="686"/>
      <c r="Q323" s="686"/>
      <c r="R323" s="686"/>
      <c r="S323" s="686"/>
      <c r="T323" s="70"/>
      <c r="U323" s="70"/>
      <c r="V323" s="70"/>
      <c r="W323" s="70"/>
      <c r="X323" s="70"/>
      <c r="Y323" s="686"/>
      <c r="Z323" s="70"/>
    </row>
    <row r="324" customFormat="false" ht="12.75" hidden="true" customHeight="false" outlineLevel="2" collapsed="false">
      <c r="A324" s="70"/>
      <c r="B324" s="70"/>
      <c r="C324" s="70"/>
      <c r="D324" s="70"/>
      <c r="E324" s="70"/>
      <c r="F324" s="70"/>
      <c r="G324" s="70"/>
      <c r="H324" s="70"/>
      <c r="I324" s="70"/>
      <c r="J324" s="70"/>
      <c r="K324" s="70"/>
      <c r="L324" s="70"/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70"/>
      <c r="X324" s="70"/>
      <c r="Y324" s="70"/>
      <c r="Z324" s="70"/>
    </row>
    <row r="325" customFormat="false" ht="12.75" hidden="true" customHeight="false" outlineLevel="2" collapsed="false">
      <c r="A325" s="70"/>
      <c r="B325" s="686"/>
      <c r="C325" s="686"/>
      <c r="D325" s="686"/>
      <c r="E325" s="686"/>
      <c r="F325" s="686"/>
      <c r="G325" s="686"/>
      <c r="H325" s="686"/>
      <c r="I325" s="686"/>
      <c r="J325" s="686"/>
      <c r="K325" s="686"/>
      <c r="L325" s="686"/>
      <c r="M325" s="686"/>
      <c r="N325" s="686"/>
      <c r="O325" s="686"/>
      <c r="P325" s="686"/>
      <c r="Q325" s="686"/>
      <c r="R325" s="686"/>
      <c r="S325" s="686"/>
      <c r="T325" s="70"/>
      <c r="U325" s="70"/>
      <c r="V325" s="70"/>
      <c r="W325" s="70"/>
      <c r="X325" s="70"/>
      <c r="Y325" s="686"/>
      <c r="Z325" s="686"/>
    </row>
    <row r="326" customFormat="false" ht="12.75" hidden="true" customHeight="false" outlineLevel="2" collapsed="false">
      <c r="A326" s="70"/>
      <c r="B326" s="70"/>
      <c r="C326" s="70"/>
      <c r="D326" s="70"/>
      <c r="E326" s="70"/>
      <c r="F326" s="70"/>
      <c r="G326" s="70"/>
      <c r="H326" s="70"/>
      <c r="I326" s="70"/>
      <c r="J326" s="70"/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0"/>
      <c r="X326" s="70"/>
      <c r="Y326" s="70"/>
      <c r="Z326" s="70"/>
    </row>
    <row r="327" customFormat="false" ht="12.75" hidden="true" customHeight="false" outlineLevel="2" collapsed="false">
      <c r="A327" s="70"/>
      <c r="B327" s="686"/>
      <c r="C327" s="686"/>
      <c r="D327" s="686"/>
      <c r="E327" s="686"/>
      <c r="F327" s="686"/>
      <c r="G327" s="686"/>
      <c r="H327" s="686"/>
      <c r="I327" s="686"/>
      <c r="J327" s="686"/>
      <c r="K327" s="686"/>
      <c r="L327" s="686"/>
      <c r="M327" s="686"/>
      <c r="N327" s="686"/>
      <c r="O327" s="686"/>
      <c r="P327" s="686"/>
      <c r="Q327" s="686"/>
      <c r="R327" s="686"/>
      <c r="S327" s="686"/>
      <c r="T327" s="70"/>
      <c r="U327" s="70"/>
      <c r="V327" s="70"/>
      <c r="W327" s="70"/>
      <c r="X327" s="70"/>
      <c r="Y327" s="686"/>
      <c r="Z327" s="686"/>
    </row>
    <row r="328" customFormat="false" ht="12.75" hidden="true" customHeight="false" outlineLevel="2" collapsed="false">
      <c r="A328" s="70"/>
      <c r="B328" s="70"/>
      <c r="C328" s="70"/>
      <c r="D328" s="70"/>
      <c r="E328" s="70"/>
      <c r="F328" s="70"/>
      <c r="G328" s="70"/>
      <c r="H328" s="70"/>
      <c r="I328" s="70"/>
      <c r="J328" s="70"/>
      <c r="K328" s="70"/>
      <c r="L328" s="70"/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70"/>
      <c r="X328" s="70"/>
      <c r="Y328" s="70"/>
      <c r="Z328" s="70"/>
    </row>
    <row r="329" customFormat="false" ht="12.75" hidden="false" customHeight="false" outlineLevel="1" collapsed="true">
      <c r="A329" s="70"/>
      <c r="B329" s="70"/>
      <c r="C329" s="70"/>
      <c r="D329" s="70"/>
      <c r="E329" s="70"/>
      <c r="F329" s="70"/>
      <c r="G329" s="70"/>
      <c r="H329" s="70"/>
      <c r="I329" s="70"/>
      <c r="J329" s="70"/>
      <c r="K329" s="70"/>
      <c r="L329" s="70"/>
      <c r="M329" s="70"/>
      <c r="N329" s="70"/>
      <c r="O329" s="70"/>
      <c r="P329" s="70"/>
      <c r="Q329" s="70"/>
      <c r="R329" s="70"/>
      <c r="S329" s="70"/>
      <c r="T329" s="70"/>
      <c r="U329" s="70"/>
      <c r="V329" s="70"/>
      <c r="W329" s="70"/>
      <c r="X329" s="70"/>
      <c r="Y329" s="70"/>
      <c r="Z329" s="70"/>
    </row>
    <row r="330" customFormat="false" ht="12.75" hidden="false" customHeight="false" outlineLevel="1" collapsed="false">
      <c r="A330" s="70"/>
      <c r="B330" s="70"/>
      <c r="C330" s="70"/>
      <c r="D330" s="70"/>
      <c r="E330" s="70"/>
      <c r="F330" s="70"/>
      <c r="G330" s="70"/>
      <c r="H330" s="70"/>
      <c r="I330" s="70"/>
      <c r="J330" s="70"/>
      <c r="K330" s="70"/>
      <c r="L330" s="70"/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  <c r="Y330" s="70"/>
      <c r="Z330" s="70"/>
    </row>
    <row r="331" customFormat="false" ht="12.75" hidden="false" customHeight="false" outlineLevel="1" collapsed="false">
      <c r="A331" s="70"/>
      <c r="B331" s="70"/>
      <c r="C331" s="70"/>
      <c r="D331" s="70"/>
      <c r="E331" s="70"/>
      <c r="F331" s="70"/>
      <c r="G331" s="70"/>
      <c r="H331" s="70"/>
      <c r="I331" s="70"/>
      <c r="J331" s="70"/>
      <c r="K331" s="70"/>
      <c r="L331" s="70"/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70"/>
      <c r="X331" s="70"/>
      <c r="Y331" s="70"/>
      <c r="Z331" s="70"/>
    </row>
    <row r="332" customFormat="false" ht="18.75" hidden="false" customHeight="false" outlineLevel="1" collapsed="false">
      <c r="A332" s="683"/>
      <c r="B332" s="683"/>
      <c r="C332" s="683"/>
      <c r="D332" s="683"/>
      <c r="E332" s="70"/>
      <c r="F332" s="70"/>
      <c r="G332" s="70"/>
      <c r="H332" s="70"/>
      <c r="I332" s="70"/>
      <c r="J332" s="70"/>
      <c r="K332" s="70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0"/>
      <c r="X332" s="70"/>
      <c r="Y332" s="70"/>
      <c r="Z332" s="70"/>
    </row>
    <row r="333" customFormat="false" ht="12.75" hidden="false" customHeight="false" outlineLevel="1" collapsed="false">
      <c r="A333" s="395"/>
      <c r="B333" s="395"/>
      <c r="C333" s="395"/>
      <c r="D333" s="395"/>
      <c r="E333" s="70"/>
      <c r="F333" s="70"/>
      <c r="G333" s="70"/>
      <c r="H333" s="70"/>
      <c r="I333" s="70"/>
      <c r="J333" s="70"/>
      <c r="K333" s="70"/>
      <c r="L333" s="70"/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70"/>
      <c r="X333" s="70"/>
      <c r="Y333" s="70"/>
      <c r="Z333" s="70"/>
    </row>
    <row r="334" customFormat="false" ht="12.75" hidden="false" customHeight="false" outlineLevel="1" collapsed="false">
      <c r="A334" s="395"/>
      <c r="B334" s="684"/>
      <c r="C334" s="684"/>
      <c r="D334" s="684"/>
      <c r="E334" s="70"/>
      <c r="F334" s="70"/>
      <c r="G334" s="70"/>
      <c r="H334" s="70"/>
      <c r="I334" s="70"/>
      <c r="J334" s="70"/>
      <c r="K334" s="70"/>
      <c r="L334" s="70"/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70"/>
      <c r="X334" s="70"/>
      <c r="Y334" s="70"/>
      <c r="Z334" s="70"/>
    </row>
    <row r="335" customFormat="false" ht="12.75" hidden="false" customHeight="false" outlineLevel="1" collapsed="false">
      <c r="A335" s="70"/>
      <c r="B335" s="70"/>
      <c r="C335" s="70"/>
      <c r="D335" s="70"/>
      <c r="E335" s="70"/>
      <c r="F335" s="70"/>
      <c r="G335" s="70"/>
      <c r="H335" s="70"/>
      <c r="I335" s="70"/>
      <c r="J335" s="70"/>
      <c r="K335" s="70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0"/>
      <c r="X335" s="70"/>
      <c r="Y335" s="70"/>
      <c r="Z335" s="70"/>
    </row>
    <row r="336" customFormat="false" ht="12.75" hidden="false" customHeight="false" outlineLevel="1" collapsed="false">
      <c r="A336" s="322"/>
      <c r="B336" s="321"/>
      <c r="C336" s="321"/>
      <c r="D336" s="321"/>
      <c r="E336" s="321"/>
      <c r="F336" s="321"/>
      <c r="G336" s="321"/>
      <c r="H336" s="321"/>
      <c r="I336" s="321"/>
      <c r="J336" s="321"/>
      <c r="K336" s="321"/>
      <c r="L336" s="321"/>
      <c r="M336" s="321"/>
      <c r="N336" s="321"/>
      <c r="O336" s="321"/>
      <c r="P336" s="321"/>
      <c r="Q336" s="321"/>
      <c r="R336" s="321"/>
      <c r="S336" s="321"/>
      <c r="T336" s="321"/>
      <c r="U336" s="321"/>
      <c r="V336" s="321"/>
      <c r="W336" s="321"/>
      <c r="X336" s="321"/>
      <c r="Y336" s="321"/>
      <c r="Z336" s="321"/>
    </row>
    <row r="337" customFormat="false" ht="12.75" hidden="false" customHeight="false" outlineLevel="1" collapsed="false">
      <c r="A337" s="395"/>
      <c r="B337" s="395"/>
      <c r="C337" s="395"/>
      <c r="D337" s="395"/>
      <c r="E337" s="70"/>
      <c r="F337" s="70"/>
      <c r="G337" s="70"/>
      <c r="H337" s="70"/>
      <c r="I337" s="70"/>
      <c r="J337" s="70"/>
      <c r="K337" s="70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70"/>
      <c r="X337" s="70"/>
      <c r="Y337" s="70"/>
      <c r="Z337" s="70"/>
    </row>
    <row r="338" customFormat="false" ht="12.75" hidden="false" customHeight="false" outlineLevel="1" collapsed="false">
      <c r="A338" s="685"/>
      <c r="B338" s="395"/>
      <c r="C338" s="395"/>
      <c r="D338" s="395"/>
      <c r="E338" s="686"/>
      <c r="F338" s="686"/>
      <c r="G338" s="686"/>
      <c r="H338" s="686"/>
      <c r="I338" s="686"/>
      <c r="J338" s="686"/>
      <c r="K338" s="686"/>
      <c r="L338" s="686"/>
      <c r="M338" s="686"/>
      <c r="N338" s="686"/>
      <c r="O338" s="686"/>
      <c r="P338" s="686"/>
      <c r="Q338" s="686"/>
      <c r="R338" s="686"/>
      <c r="S338" s="686"/>
      <c r="T338" s="686"/>
      <c r="U338" s="686"/>
      <c r="V338" s="686"/>
      <c r="W338" s="686"/>
      <c r="X338" s="686"/>
      <c r="Y338" s="686"/>
      <c r="Z338" s="686"/>
    </row>
    <row r="339" customFormat="false" ht="12.75" hidden="false" customHeight="false" outlineLevel="1" collapsed="false">
      <c r="A339" s="685"/>
      <c r="B339" s="395"/>
      <c r="C339" s="395"/>
      <c r="D339" s="395"/>
      <c r="E339" s="686"/>
      <c r="F339" s="686"/>
      <c r="G339" s="686"/>
      <c r="H339" s="686"/>
      <c r="I339" s="686"/>
      <c r="J339" s="686"/>
      <c r="K339" s="686"/>
      <c r="L339" s="686"/>
      <c r="M339" s="686"/>
      <c r="N339" s="686"/>
      <c r="O339" s="686"/>
      <c r="P339" s="686"/>
      <c r="Q339" s="686"/>
      <c r="R339" s="686"/>
      <c r="S339" s="686"/>
      <c r="T339" s="686"/>
      <c r="U339" s="686"/>
      <c r="V339" s="686"/>
      <c r="W339" s="686"/>
      <c r="X339" s="686"/>
      <c r="Y339" s="686"/>
      <c r="Z339" s="686"/>
    </row>
    <row r="340" customFormat="false" ht="12.75" hidden="false" customHeight="false" outlineLevel="1" collapsed="false">
      <c r="A340" s="685"/>
      <c r="B340" s="685"/>
      <c r="C340" s="685"/>
      <c r="D340" s="685"/>
      <c r="E340" s="686"/>
      <c r="F340" s="686"/>
      <c r="G340" s="686"/>
      <c r="H340" s="686"/>
      <c r="I340" s="686"/>
      <c r="J340" s="686"/>
      <c r="K340" s="686"/>
      <c r="L340" s="686"/>
      <c r="M340" s="686"/>
      <c r="N340" s="686"/>
      <c r="O340" s="686"/>
      <c r="P340" s="686"/>
      <c r="Q340" s="686"/>
      <c r="R340" s="686"/>
      <c r="S340" s="686"/>
      <c r="T340" s="686"/>
      <c r="U340" s="686"/>
      <c r="V340" s="686"/>
      <c r="W340" s="686"/>
      <c r="X340" s="686"/>
      <c r="Y340" s="686"/>
      <c r="Z340" s="686"/>
    </row>
    <row r="341" customFormat="false" ht="12.75" hidden="false" customHeight="false" outlineLevel="1" collapsed="false">
      <c r="A341" s="685"/>
      <c r="B341" s="685"/>
      <c r="C341" s="685"/>
      <c r="D341" s="685"/>
      <c r="E341" s="686"/>
      <c r="F341" s="686"/>
      <c r="G341" s="686"/>
      <c r="H341" s="686"/>
      <c r="I341" s="686"/>
      <c r="J341" s="686"/>
      <c r="K341" s="686"/>
      <c r="L341" s="686"/>
      <c r="M341" s="686"/>
      <c r="N341" s="686"/>
      <c r="O341" s="686"/>
      <c r="P341" s="686"/>
      <c r="Q341" s="686"/>
      <c r="R341" s="686"/>
      <c r="S341" s="686"/>
      <c r="T341" s="686"/>
      <c r="U341" s="686"/>
      <c r="V341" s="686"/>
      <c r="W341" s="686"/>
      <c r="X341" s="686"/>
      <c r="Y341" s="686"/>
      <c r="Z341" s="686"/>
    </row>
    <row r="342" customFormat="false" ht="12.75" hidden="false" customHeight="false" outlineLevel="1" collapsed="false">
      <c r="A342" s="685"/>
      <c r="B342" s="322"/>
      <c r="C342" s="322"/>
      <c r="D342" s="322"/>
      <c r="E342" s="686"/>
      <c r="F342" s="686"/>
      <c r="G342" s="686"/>
      <c r="H342" s="686"/>
      <c r="I342" s="686"/>
      <c r="J342" s="686"/>
      <c r="K342" s="686"/>
      <c r="L342" s="686"/>
      <c r="M342" s="686"/>
      <c r="N342" s="686"/>
      <c r="O342" s="686"/>
      <c r="P342" s="686"/>
      <c r="Q342" s="686"/>
      <c r="R342" s="686"/>
      <c r="S342" s="686"/>
      <c r="T342" s="686"/>
      <c r="U342" s="686"/>
      <c r="V342" s="686"/>
      <c r="W342" s="686"/>
      <c r="X342" s="686"/>
      <c r="Y342" s="686"/>
      <c r="Z342" s="686"/>
    </row>
    <row r="343" customFormat="false" ht="12.75" hidden="false" customHeight="false" outlineLevel="1" collapsed="false">
      <c r="A343" s="70"/>
      <c r="B343" s="70"/>
      <c r="C343" s="70"/>
      <c r="D343" s="70"/>
      <c r="E343" s="686"/>
      <c r="F343" s="686"/>
      <c r="G343" s="686"/>
      <c r="H343" s="686"/>
      <c r="I343" s="686"/>
      <c r="J343" s="686"/>
      <c r="K343" s="686"/>
      <c r="L343" s="686"/>
      <c r="M343" s="686"/>
      <c r="N343" s="686"/>
      <c r="O343" s="686"/>
      <c r="P343" s="686"/>
      <c r="Q343" s="686"/>
      <c r="R343" s="686"/>
      <c r="S343" s="686"/>
      <c r="T343" s="686"/>
      <c r="U343" s="686"/>
      <c r="V343" s="686"/>
      <c r="W343" s="686"/>
      <c r="X343" s="686"/>
      <c r="Y343" s="686"/>
      <c r="Z343" s="686"/>
    </row>
    <row r="344" customFormat="false" ht="12.75" hidden="false" customHeight="false" outlineLevel="1" collapsed="false">
      <c r="A344" s="395"/>
      <c r="B344" s="395"/>
      <c r="C344" s="395"/>
      <c r="D344" s="395"/>
      <c r="E344" s="686"/>
      <c r="F344" s="686"/>
      <c r="G344" s="686"/>
      <c r="H344" s="686"/>
      <c r="I344" s="686"/>
      <c r="J344" s="686"/>
      <c r="K344" s="686"/>
      <c r="L344" s="686"/>
      <c r="M344" s="686"/>
      <c r="N344" s="686"/>
      <c r="O344" s="686"/>
      <c r="P344" s="686"/>
      <c r="Q344" s="686"/>
      <c r="R344" s="686"/>
      <c r="S344" s="686"/>
      <c r="T344" s="686"/>
      <c r="U344" s="686"/>
      <c r="V344" s="686"/>
      <c r="W344" s="686"/>
      <c r="X344" s="686"/>
      <c r="Y344" s="686"/>
      <c r="Z344" s="686"/>
    </row>
    <row r="345" customFormat="false" ht="12.75" hidden="false" customHeight="false" outlineLevel="1" collapsed="false">
      <c r="A345" s="685"/>
      <c r="B345" s="395"/>
      <c r="C345" s="395"/>
      <c r="D345" s="395"/>
      <c r="E345" s="686"/>
      <c r="F345" s="686"/>
      <c r="G345" s="686"/>
      <c r="H345" s="686"/>
      <c r="I345" s="686"/>
      <c r="J345" s="686"/>
      <c r="K345" s="686"/>
      <c r="L345" s="686"/>
      <c r="M345" s="686"/>
      <c r="N345" s="686"/>
      <c r="O345" s="686"/>
      <c r="P345" s="686"/>
      <c r="Q345" s="686"/>
      <c r="R345" s="686"/>
      <c r="S345" s="686"/>
      <c r="T345" s="686"/>
      <c r="U345" s="686"/>
      <c r="V345" s="686"/>
      <c r="W345" s="686"/>
      <c r="X345" s="686"/>
      <c r="Y345" s="686"/>
      <c r="Z345" s="686"/>
    </row>
    <row r="346" customFormat="false" ht="12.75" hidden="false" customHeight="false" outlineLevel="1" collapsed="false">
      <c r="A346" s="685"/>
      <c r="B346" s="395"/>
      <c r="C346" s="395"/>
      <c r="D346" s="395"/>
      <c r="E346" s="686"/>
      <c r="F346" s="686"/>
      <c r="G346" s="686"/>
      <c r="H346" s="686"/>
      <c r="I346" s="686"/>
      <c r="J346" s="686"/>
      <c r="K346" s="686"/>
      <c r="L346" s="686"/>
      <c r="M346" s="686"/>
      <c r="N346" s="686"/>
      <c r="O346" s="686"/>
      <c r="P346" s="686"/>
      <c r="Q346" s="686"/>
      <c r="R346" s="686"/>
      <c r="S346" s="686"/>
      <c r="T346" s="686"/>
      <c r="U346" s="686"/>
      <c r="V346" s="686"/>
      <c r="W346" s="686"/>
      <c r="X346" s="686"/>
      <c r="Y346" s="686"/>
      <c r="Z346" s="686"/>
    </row>
    <row r="347" customFormat="false" ht="12.75" hidden="false" customHeight="false" outlineLevel="1" collapsed="false">
      <c r="A347" s="685"/>
      <c r="B347" s="395"/>
      <c r="C347" s="395"/>
      <c r="D347" s="395"/>
      <c r="E347" s="686"/>
      <c r="F347" s="686"/>
      <c r="G347" s="686"/>
      <c r="H347" s="686"/>
      <c r="I347" s="686"/>
      <c r="J347" s="686"/>
      <c r="K347" s="686"/>
      <c r="L347" s="686"/>
      <c r="M347" s="686"/>
      <c r="N347" s="686"/>
      <c r="O347" s="686"/>
      <c r="P347" s="686"/>
      <c r="Q347" s="686"/>
      <c r="R347" s="686"/>
      <c r="S347" s="686"/>
      <c r="T347" s="686"/>
      <c r="U347" s="686"/>
      <c r="V347" s="686"/>
      <c r="W347" s="686"/>
      <c r="X347" s="686"/>
      <c r="Y347" s="686"/>
      <c r="Z347" s="686"/>
    </row>
    <row r="348" customFormat="false" ht="12.75" hidden="false" customHeight="false" outlineLevel="1" collapsed="false">
      <c r="A348" s="685"/>
      <c r="B348" s="395"/>
      <c r="C348" s="395"/>
      <c r="D348" s="395"/>
      <c r="E348" s="686"/>
      <c r="F348" s="686"/>
      <c r="G348" s="686"/>
      <c r="H348" s="686"/>
      <c r="I348" s="686"/>
      <c r="J348" s="686"/>
      <c r="K348" s="686"/>
      <c r="L348" s="686"/>
      <c r="M348" s="686"/>
      <c r="N348" s="686"/>
      <c r="O348" s="686"/>
      <c r="P348" s="686"/>
      <c r="Q348" s="686"/>
      <c r="R348" s="686"/>
      <c r="S348" s="686"/>
      <c r="T348" s="686"/>
      <c r="U348" s="686"/>
      <c r="V348" s="686"/>
      <c r="W348" s="686"/>
      <c r="X348" s="686"/>
      <c r="Y348" s="686"/>
      <c r="Z348" s="686"/>
    </row>
    <row r="349" customFormat="false" ht="12.75" hidden="false" customHeight="false" outlineLevel="1" collapsed="false">
      <c r="A349" s="685"/>
      <c r="B349" s="395"/>
      <c r="C349" s="395"/>
      <c r="D349" s="395"/>
      <c r="E349" s="686"/>
      <c r="F349" s="686"/>
      <c r="G349" s="686"/>
      <c r="H349" s="686"/>
      <c r="I349" s="686"/>
      <c r="J349" s="686"/>
      <c r="K349" s="686"/>
      <c r="L349" s="686"/>
      <c r="M349" s="686"/>
      <c r="N349" s="686"/>
      <c r="O349" s="686"/>
      <c r="P349" s="686"/>
      <c r="Q349" s="686"/>
      <c r="R349" s="686"/>
      <c r="S349" s="686"/>
      <c r="T349" s="686"/>
      <c r="U349" s="686"/>
      <c r="V349" s="686"/>
      <c r="W349" s="686"/>
      <c r="X349" s="686"/>
      <c r="Y349" s="686"/>
      <c r="Z349" s="686"/>
    </row>
    <row r="350" customFormat="false" ht="12.75" hidden="false" customHeight="false" outlineLevel="1" collapsed="false">
      <c r="A350" s="685"/>
      <c r="B350" s="395"/>
      <c r="C350" s="395"/>
      <c r="D350" s="395"/>
      <c r="E350" s="686"/>
      <c r="F350" s="686"/>
      <c r="G350" s="686"/>
      <c r="H350" s="686"/>
      <c r="I350" s="686"/>
      <c r="J350" s="686"/>
      <c r="K350" s="686"/>
      <c r="L350" s="686"/>
      <c r="M350" s="686"/>
      <c r="N350" s="686"/>
      <c r="O350" s="686"/>
      <c r="P350" s="686"/>
      <c r="Q350" s="686"/>
      <c r="R350" s="686"/>
      <c r="S350" s="686"/>
      <c r="T350" s="686"/>
      <c r="U350" s="686"/>
      <c r="V350" s="686"/>
      <c r="W350" s="686"/>
      <c r="X350" s="686"/>
      <c r="Y350" s="686"/>
      <c r="Z350" s="686"/>
    </row>
    <row r="351" customFormat="false" ht="12.75" hidden="false" customHeight="false" outlineLevel="1" collapsed="false">
      <c r="A351" s="685"/>
      <c r="B351" s="395"/>
      <c r="C351" s="395"/>
      <c r="D351" s="395"/>
      <c r="E351" s="686"/>
      <c r="F351" s="686"/>
      <c r="G351" s="686"/>
      <c r="H351" s="686"/>
      <c r="I351" s="686"/>
      <c r="J351" s="686"/>
      <c r="K351" s="686"/>
      <c r="L351" s="686"/>
      <c r="M351" s="686"/>
      <c r="N351" s="686"/>
      <c r="O351" s="686"/>
      <c r="P351" s="686"/>
      <c r="Q351" s="686"/>
      <c r="R351" s="686"/>
      <c r="S351" s="686"/>
      <c r="T351" s="686"/>
      <c r="U351" s="686"/>
      <c r="V351" s="686"/>
      <c r="W351" s="686"/>
      <c r="X351" s="686"/>
      <c r="Y351" s="686"/>
      <c r="Z351" s="686"/>
    </row>
    <row r="352" customFormat="false" ht="12.75" hidden="false" customHeight="false" outlineLevel="1" collapsed="false">
      <c r="A352" s="685"/>
      <c r="B352" s="395"/>
      <c r="C352" s="395"/>
      <c r="D352" s="395"/>
      <c r="E352" s="686"/>
      <c r="F352" s="686"/>
      <c r="G352" s="686"/>
      <c r="H352" s="686"/>
      <c r="I352" s="686"/>
      <c r="J352" s="686"/>
      <c r="K352" s="686"/>
      <c r="L352" s="686"/>
      <c r="M352" s="686"/>
      <c r="N352" s="686"/>
      <c r="O352" s="686"/>
      <c r="P352" s="686"/>
      <c r="Q352" s="686"/>
      <c r="R352" s="686"/>
      <c r="S352" s="686"/>
      <c r="T352" s="686"/>
      <c r="U352" s="686"/>
      <c r="V352" s="686"/>
      <c r="W352" s="686"/>
      <c r="X352" s="686"/>
      <c r="Y352" s="686"/>
      <c r="Z352" s="686"/>
    </row>
    <row r="353" customFormat="false" ht="12.75" hidden="false" customHeight="false" outlineLevel="1" collapsed="false">
      <c r="A353" s="685"/>
      <c r="B353" s="395"/>
      <c r="C353" s="395"/>
      <c r="D353" s="395"/>
      <c r="E353" s="686"/>
      <c r="F353" s="686"/>
      <c r="G353" s="686"/>
      <c r="H353" s="686"/>
      <c r="I353" s="686"/>
      <c r="J353" s="686"/>
      <c r="K353" s="686"/>
      <c r="L353" s="686"/>
      <c r="M353" s="686"/>
      <c r="N353" s="686"/>
      <c r="O353" s="686"/>
      <c r="P353" s="686"/>
      <c r="Q353" s="686"/>
      <c r="R353" s="686"/>
      <c r="S353" s="686"/>
      <c r="T353" s="686"/>
      <c r="U353" s="686"/>
      <c r="V353" s="686"/>
      <c r="W353" s="686"/>
      <c r="X353" s="686"/>
      <c r="Y353" s="686"/>
      <c r="Z353" s="686"/>
    </row>
    <row r="354" customFormat="false" ht="12.75" hidden="false" customHeight="false" outlineLevel="1" collapsed="false">
      <c r="A354" s="685"/>
      <c r="B354" s="685"/>
      <c r="C354" s="685"/>
      <c r="D354" s="685"/>
      <c r="E354" s="686"/>
      <c r="F354" s="686"/>
      <c r="G354" s="686"/>
      <c r="H354" s="686"/>
      <c r="I354" s="686"/>
      <c r="J354" s="686"/>
      <c r="K354" s="686"/>
      <c r="L354" s="686"/>
      <c r="M354" s="686"/>
      <c r="N354" s="686"/>
      <c r="O354" s="686"/>
      <c r="P354" s="686"/>
      <c r="Q354" s="686"/>
      <c r="R354" s="686"/>
      <c r="S354" s="686"/>
      <c r="T354" s="686"/>
      <c r="U354" s="686"/>
      <c r="V354" s="686"/>
      <c r="W354" s="686"/>
      <c r="X354" s="686"/>
      <c r="Y354" s="686"/>
      <c r="Z354" s="686"/>
    </row>
    <row r="355" customFormat="false" ht="12.75" hidden="false" customHeight="false" outlineLevel="1" collapsed="false">
      <c r="A355" s="685"/>
      <c r="B355" s="685"/>
      <c r="C355" s="685"/>
      <c r="D355" s="685"/>
      <c r="E355" s="686"/>
      <c r="F355" s="686"/>
      <c r="G355" s="686"/>
      <c r="H355" s="686"/>
      <c r="I355" s="686"/>
      <c r="J355" s="686"/>
      <c r="K355" s="686"/>
      <c r="L355" s="686"/>
      <c r="M355" s="686"/>
      <c r="N355" s="686"/>
      <c r="O355" s="686"/>
      <c r="P355" s="686"/>
      <c r="Q355" s="686"/>
      <c r="R355" s="686"/>
      <c r="S355" s="686"/>
      <c r="T355" s="686"/>
      <c r="U355" s="686"/>
      <c r="V355" s="686"/>
      <c r="W355" s="686"/>
      <c r="X355" s="686"/>
      <c r="Y355" s="686"/>
      <c r="Z355" s="686"/>
    </row>
    <row r="356" customFormat="false" ht="12.75" hidden="false" customHeight="false" outlineLevel="1" collapsed="false">
      <c r="A356" s="395"/>
      <c r="B356" s="395"/>
      <c r="C356" s="395"/>
      <c r="D356" s="395"/>
      <c r="E356" s="686"/>
      <c r="F356" s="686"/>
      <c r="G356" s="686"/>
      <c r="H356" s="686"/>
      <c r="I356" s="686"/>
      <c r="J356" s="686"/>
      <c r="K356" s="686"/>
      <c r="L356" s="686"/>
      <c r="M356" s="686"/>
      <c r="N356" s="686"/>
      <c r="O356" s="686"/>
      <c r="P356" s="686"/>
      <c r="Q356" s="686"/>
      <c r="R356" s="686"/>
      <c r="S356" s="686"/>
      <c r="T356" s="686"/>
      <c r="U356" s="686"/>
      <c r="V356" s="686"/>
      <c r="W356" s="686"/>
      <c r="X356" s="686"/>
      <c r="Y356" s="686"/>
      <c r="Z356" s="686"/>
    </row>
    <row r="357" customFormat="false" ht="12.75" hidden="false" customHeight="false" outlineLevel="1" collapsed="false">
      <c r="A357" s="685"/>
      <c r="B357" s="685"/>
      <c r="C357" s="685"/>
      <c r="D357" s="685"/>
      <c r="E357" s="686"/>
      <c r="F357" s="686"/>
      <c r="G357" s="686"/>
      <c r="H357" s="686"/>
      <c r="I357" s="686"/>
      <c r="J357" s="686"/>
      <c r="K357" s="686"/>
      <c r="L357" s="686"/>
      <c r="M357" s="686"/>
      <c r="N357" s="686"/>
      <c r="O357" s="686"/>
      <c r="P357" s="686"/>
      <c r="Q357" s="686"/>
      <c r="R357" s="686"/>
      <c r="S357" s="686"/>
      <c r="T357" s="686"/>
      <c r="U357" s="686"/>
      <c r="V357" s="686"/>
      <c r="W357" s="686"/>
      <c r="X357" s="686"/>
      <c r="Y357" s="686"/>
      <c r="Z357" s="686"/>
    </row>
    <row r="358" customFormat="false" ht="12.75" hidden="false" customHeight="false" outlineLevel="1" collapsed="false">
      <c r="A358" s="395"/>
      <c r="B358" s="395"/>
      <c r="C358" s="395"/>
      <c r="D358" s="395"/>
      <c r="E358" s="686"/>
      <c r="F358" s="686"/>
      <c r="G358" s="686"/>
      <c r="H358" s="686"/>
      <c r="I358" s="686"/>
      <c r="J358" s="686"/>
      <c r="K358" s="686"/>
      <c r="L358" s="686"/>
      <c r="M358" s="686"/>
      <c r="N358" s="686"/>
      <c r="O358" s="686"/>
      <c r="P358" s="686"/>
      <c r="Q358" s="686"/>
      <c r="R358" s="686"/>
      <c r="S358" s="686"/>
      <c r="T358" s="686"/>
      <c r="U358" s="686"/>
      <c r="V358" s="686"/>
      <c r="W358" s="686"/>
      <c r="X358" s="686"/>
      <c r="Y358" s="686"/>
      <c r="Z358" s="686"/>
    </row>
    <row r="359" customFormat="false" ht="12.75" hidden="false" customHeight="false" outlineLevel="1" collapsed="false">
      <c r="A359" s="685"/>
      <c r="B359" s="687"/>
      <c r="C359" s="687"/>
      <c r="D359" s="687"/>
      <c r="E359" s="686"/>
      <c r="F359" s="686"/>
      <c r="G359" s="686"/>
      <c r="H359" s="686"/>
      <c r="I359" s="686"/>
      <c r="J359" s="686"/>
      <c r="K359" s="686"/>
      <c r="L359" s="686"/>
      <c r="M359" s="686"/>
      <c r="N359" s="686"/>
      <c r="O359" s="686"/>
      <c r="P359" s="686"/>
      <c r="Q359" s="686"/>
      <c r="R359" s="686"/>
      <c r="S359" s="686"/>
      <c r="T359" s="686"/>
      <c r="U359" s="686"/>
      <c r="V359" s="686"/>
      <c r="W359" s="686"/>
      <c r="X359" s="686"/>
      <c r="Y359" s="686"/>
      <c r="Z359" s="686"/>
    </row>
    <row r="360" customFormat="false" ht="12.75" hidden="false" customHeight="false" outlineLevel="1" collapsed="false">
      <c r="A360" s="395"/>
      <c r="B360" s="395"/>
      <c r="C360" s="395"/>
      <c r="D360" s="395"/>
      <c r="E360" s="686"/>
      <c r="F360" s="686"/>
      <c r="G360" s="686"/>
      <c r="H360" s="686"/>
      <c r="I360" s="686"/>
      <c r="J360" s="686"/>
      <c r="K360" s="686"/>
      <c r="L360" s="686"/>
      <c r="M360" s="686"/>
      <c r="N360" s="686"/>
      <c r="O360" s="686"/>
      <c r="P360" s="686"/>
      <c r="Q360" s="686"/>
      <c r="R360" s="686"/>
      <c r="S360" s="686"/>
      <c r="T360" s="686"/>
      <c r="U360" s="686"/>
      <c r="V360" s="686"/>
      <c r="W360" s="686"/>
      <c r="X360" s="686"/>
      <c r="Y360" s="686"/>
      <c r="Z360" s="686"/>
    </row>
    <row r="361" customFormat="false" ht="12.75" hidden="false" customHeight="false" outlineLevel="1" collapsed="false">
      <c r="A361" s="70"/>
      <c r="B361" s="70"/>
      <c r="C361" s="70"/>
      <c r="D361" s="70"/>
      <c r="E361" s="686"/>
      <c r="F361" s="686"/>
      <c r="G361" s="686"/>
      <c r="H361" s="686"/>
      <c r="I361" s="686"/>
      <c r="J361" s="686"/>
      <c r="K361" s="686"/>
      <c r="L361" s="686"/>
      <c r="M361" s="686"/>
      <c r="N361" s="686"/>
      <c r="O361" s="686"/>
      <c r="P361" s="686"/>
      <c r="Q361" s="686"/>
      <c r="R361" s="686"/>
      <c r="S361" s="686"/>
      <c r="T361" s="686"/>
      <c r="U361" s="686"/>
      <c r="V361" s="686"/>
      <c r="W361" s="686"/>
      <c r="X361" s="686"/>
      <c r="Y361" s="686"/>
      <c r="Z361" s="686"/>
    </row>
    <row r="362" customFormat="false" ht="12.75" hidden="false" customHeight="false" outlineLevel="1" collapsed="false">
      <c r="A362" s="395"/>
      <c r="B362" s="395"/>
      <c r="C362" s="395"/>
      <c r="D362" s="395"/>
      <c r="E362" s="686"/>
      <c r="F362" s="686"/>
      <c r="G362" s="686"/>
      <c r="H362" s="686"/>
      <c r="I362" s="686"/>
      <c r="J362" s="686"/>
      <c r="K362" s="686"/>
      <c r="L362" s="686"/>
      <c r="M362" s="686"/>
      <c r="N362" s="686"/>
      <c r="O362" s="686"/>
      <c r="P362" s="686"/>
      <c r="Q362" s="686"/>
      <c r="R362" s="686"/>
      <c r="S362" s="686"/>
      <c r="T362" s="686"/>
      <c r="U362" s="686"/>
      <c r="V362" s="686"/>
      <c r="W362" s="686"/>
      <c r="X362" s="686"/>
      <c r="Y362" s="686"/>
      <c r="Z362" s="686"/>
    </row>
    <row r="363" customFormat="false" ht="12.75" hidden="false" customHeight="false" outlineLevel="1" collapsed="false">
      <c r="A363" s="685"/>
      <c r="B363" s="685"/>
      <c r="C363" s="685"/>
      <c r="D363" s="685"/>
      <c r="E363" s="686"/>
      <c r="F363" s="686"/>
      <c r="G363" s="686"/>
      <c r="H363" s="686"/>
      <c r="I363" s="686"/>
      <c r="J363" s="686"/>
      <c r="K363" s="686"/>
      <c r="L363" s="686"/>
      <c r="M363" s="686"/>
      <c r="N363" s="686"/>
      <c r="O363" s="686"/>
      <c r="P363" s="686"/>
      <c r="Q363" s="686"/>
      <c r="R363" s="686"/>
      <c r="S363" s="686"/>
      <c r="T363" s="686"/>
      <c r="U363" s="686"/>
      <c r="V363" s="686"/>
      <c r="W363" s="686"/>
      <c r="X363" s="686"/>
      <c r="Y363" s="686"/>
      <c r="Z363" s="686"/>
    </row>
    <row r="364" customFormat="false" ht="12.75" hidden="false" customHeight="false" outlineLevel="1" collapsed="false">
      <c r="A364" s="685"/>
      <c r="B364" s="685"/>
      <c r="C364" s="685"/>
      <c r="D364" s="685"/>
      <c r="E364" s="686"/>
      <c r="F364" s="686"/>
      <c r="G364" s="686"/>
      <c r="H364" s="686"/>
      <c r="I364" s="686"/>
      <c r="J364" s="686"/>
      <c r="K364" s="686"/>
      <c r="L364" s="686"/>
      <c r="M364" s="686"/>
      <c r="N364" s="686"/>
      <c r="O364" s="686"/>
      <c r="P364" s="686"/>
      <c r="Q364" s="686"/>
      <c r="R364" s="686"/>
      <c r="S364" s="686"/>
      <c r="T364" s="686"/>
      <c r="U364" s="686"/>
      <c r="V364" s="686"/>
      <c r="W364" s="686"/>
      <c r="X364" s="686"/>
      <c r="Y364" s="686"/>
      <c r="Z364" s="686"/>
    </row>
    <row r="365" customFormat="false" ht="12.75" hidden="false" customHeight="false" outlineLevel="1" collapsed="false">
      <c r="A365" s="685"/>
      <c r="B365" s="685"/>
      <c r="C365" s="685"/>
      <c r="D365" s="685"/>
      <c r="E365" s="686"/>
      <c r="F365" s="686"/>
      <c r="G365" s="686"/>
      <c r="H365" s="686"/>
      <c r="I365" s="686"/>
      <c r="J365" s="686"/>
      <c r="K365" s="686"/>
      <c r="L365" s="686"/>
      <c r="M365" s="686"/>
      <c r="N365" s="686"/>
      <c r="O365" s="686"/>
      <c r="P365" s="686"/>
      <c r="Q365" s="686"/>
      <c r="R365" s="686"/>
      <c r="S365" s="686"/>
      <c r="T365" s="686"/>
      <c r="U365" s="686"/>
      <c r="V365" s="686"/>
      <c r="W365" s="686"/>
      <c r="X365" s="686"/>
      <c r="Y365" s="686"/>
      <c r="Z365" s="686"/>
    </row>
    <row r="366" customFormat="false" ht="12.75" hidden="false" customHeight="false" outlineLevel="1" collapsed="false">
      <c r="A366" s="685"/>
      <c r="B366" s="70"/>
      <c r="C366" s="70"/>
      <c r="D366" s="70"/>
      <c r="E366" s="686"/>
      <c r="F366" s="686"/>
      <c r="G366" s="686"/>
      <c r="H366" s="686"/>
      <c r="I366" s="686"/>
      <c r="J366" s="686"/>
      <c r="K366" s="686"/>
      <c r="L366" s="686"/>
      <c r="M366" s="686"/>
      <c r="N366" s="686"/>
      <c r="O366" s="686"/>
      <c r="P366" s="686"/>
      <c r="Q366" s="686"/>
      <c r="R366" s="686"/>
      <c r="S366" s="686"/>
      <c r="T366" s="686"/>
      <c r="U366" s="686"/>
      <c r="V366" s="686"/>
      <c r="W366" s="686"/>
      <c r="X366" s="686"/>
      <c r="Y366" s="686"/>
      <c r="Z366" s="686"/>
    </row>
    <row r="367" customFormat="false" ht="12.75" hidden="false" customHeight="false" outlineLevel="1" collapsed="false">
      <c r="A367" s="395"/>
      <c r="B367" s="395"/>
      <c r="C367" s="395"/>
      <c r="D367" s="395"/>
      <c r="E367" s="686"/>
      <c r="F367" s="686"/>
      <c r="G367" s="686"/>
      <c r="H367" s="686"/>
      <c r="I367" s="686"/>
      <c r="J367" s="686"/>
      <c r="K367" s="686"/>
      <c r="L367" s="686"/>
      <c r="M367" s="686"/>
      <c r="N367" s="686"/>
      <c r="O367" s="686"/>
      <c r="P367" s="686"/>
      <c r="Q367" s="686"/>
      <c r="R367" s="686"/>
      <c r="S367" s="686"/>
      <c r="T367" s="686"/>
      <c r="U367" s="686"/>
      <c r="V367" s="686"/>
      <c r="W367" s="686"/>
      <c r="X367" s="686"/>
      <c r="Y367" s="686"/>
      <c r="Z367" s="686"/>
    </row>
    <row r="368" customFormat="false" ht="12.75" hidden="false" customHeight="false" outlineLevel="1" collapsed="false">
      <c r="A368" s="395"/>
      <c r="B368" s="395"/>
      <c r="C368" s="395"/>
      <c r="D368" s="395"/>
      <c r="E368" s="686"/>
      <c r="F368" s="686"/>
      <c r="G368" s="686"/>
      <c r="H368" s="686"/>
      <c r="I368" s="686"/>
      <c r="J368" s="686"/>
      <c r="K368" s="686"/>
      <c r="L368" s="686"/>
      <c r="M368" s="686"/>
      <c r="N368" s="686"/>
      <c r="O368" s="686"/>
      <c r="P368" s="686"/>
      <c r="Q368" s="686"/>
      <c r="R368" s="686"/>
      <c r="S368" s="686"/>
      <c r="T368" s="686"/>
      <c r="U368" s="686"/>
      <c r="V368" s="686"/>
      <c r="W368" s="686"/>
      <c r="X368" s="686"/>
      <c r="Y368" s="686"/>
      <c r="Z368" s="686"/>
    </row>
    <row r="369" customFormat="false" ht="12.75" hidden="false" customHeight="false" outlineLevel="1" collapsed="false">
      <c r="A369" s="685"/>
      <c r="B369" s="395"/>
      <c r="C369" s="395"/>
      <c r="D369" s="395"/>
      <c r="E369" s="686"/>
      <c r="F369" s="686"/>
      <c r="G369" s="686"/>
      <c r="H369" s="686"/>
      <c r="I369" s="686"/>
      <c r="J369" s="686"/>
      <c r="K369" s="686"/>
      <c r="L369" s="686"/>
      <c r="M369" s="686"/>
      <c r="N369" s="686"/>
      <c r="O369" s="686"/>
      <c r="P369" s="686"/>
      <c r="Q369" s="686"/>
      <c r="R369" s="686"/>
      <c r="S369" s="686"/>
      <c r="T369" s="686"/>
      <c r="U369" s="686"/>
      <c r="V369" s="686"/>
      <c r="W369" s="686"/>
      <c r="X369" s="686"/>
      <c r="Y369" s="686"/>
      <c r="Z369" s="686"/>
    </row>
    <row r="370" customFormat="false" ht="12.75" hidden="false" customHeight="false" outlineLevel="1" collapsed="false">
      <c r="A370" s="685"/>
      <c r="B370" s="395"/>
      <c r="C370" s="395"/>
      <c r="D370" s="395"/>
      <c r="E370" s="686"/>
      <c r="F370" s="686"/>
      <c r="G370" s="686"/>
      <c r="H370" s="686"/>
      <c r="I370" s="686"/>
      <c r="J370" s="686"/>
      <c r="K370" s="686"/>
      <c r="L370" s="686"/>
      <c r="M370" s="686"/>
      <c r="N370" s="686"/>
      <c r="O370" s="686"/>
      <c r="P370" s="686"/>
      <c r="Q370" s="686"/>
      <c r="R370" s="686"/>
      <c r="S370" s="686"/>
      <c r="T370" s="686"/>
      <c r="U370" s="686"/>
      <c r="V370" s="686"/>
      <c r="W370" s="686"/>
      <c r="X370" s="686"/>
      <c r="Y370" s="686"/>
      <c r="Z370" s="686"/>
    </row>
    <row r="371" customFormat="false" ht="12.75" hidden="false" customHeight="false" outlineLevel="1" collapsed="false">
      <c r="A371" s="685"/>
      <c r="B371" s="395"/>
      <c r="C371" s="395"/>
      <c r="D371" s="395"/>
      <c r="E371" s="686"/>
      <c r="F371" s="686"/>
      <c r="G371" s="686"/>
      <c r="H371" s="686"/>
      <c r="I371" s="686"/>
      <c r="J371" s="686"/>
      <c r="K371" s="686"/>
      <c r="L371" s="686"/>
      <c r="M371" s="686"/>
      <c r="N371" s="686"/>
      <c r="O371" s="686"/>
      <c r="P371" s="686"/>
      <c r="Q371" s="686"/>
      <c r="R371" s="686"/>
      <c r="S371" s="686"/>
      <c r="T371" s="686"/>
      <c r="U371" s="686"/>
      <c r="V371" s="686"/>
      <c r="W371" s="686"/>
      <c r="X371" s="686"/>
      <c r="Y371" s="686"/>
      <c r="Z371" s="686"/>
    </row>
    <row r="372" customFormat="false" ht="12.75" hidden="false" customHeight="false" outlineLevel="1" collapsed="false">
      <c r="A372" s="685"/>
      <c r="B372" s="395"/>
      <c r="C372" s="395"/>
      <c r="D372" s="395"/>
      <c r="E372" s="686"/>
      <c r="F372" s="686"/>
      <c r="G372" s="686"/>
      <c r="H372" s="686"/>
      <c r="I372" s="686"/>
      <c r="J372" s="686"/>
      <c r="K372" s="686"/>
      <c r="L372" s="686"/>
      <c r="M372" s="686"/>
      <c r="N372" s="686"/>
      <c r="O372" s="686"/>
      <c r="P372" s="686"/>
      <c r="Q372" s="686"/>
      <c r="R372" s="686"/>
      <c r="S372" s="686"/>
      <c r="T372" s="686"/>
      <c r="U372" s="686"/>
      <c r="V372" s="686"/>
      <c r="W372" s="686"/>
      <c r="X372" s="686"/>
      <c r="Y372" s="686"/>
      <c r="Z372" s="686"/>
    </row>
    <row r="373" customFormat="false" ht="12.75" hidden="false" customHeight="false" outlineLevel="1" collapsed="false">
      <c r="A373" s="685"/>
      <c r="B373" s="395"/>
      <c r="C373" s="395"/>
      <c r="D373" s="395"/>
      <c r="E373" s="686"/>
      <c r="F373" s="686"/>
      <c r="G373" s="686"/>
      <c r="H373" s="686"/>
      <c r="I373" s="686"/>
      <c r="J373" s="686"/>
      <c r="K373" s="686"/>
      <c r="L373" s="686"/>
      <c r="M373" s="686"/>
      <c r="N373" s="686"/>
      <c r="O373" s="686"/>
      <c r="P373" s="686"/>
      <c r="Q373" s="686"/>
      <c r="R373" s="686"/>
      <c r="S373" s="686"/>
      <c r="T373" s="686"/>
      <c r="U373" s="686"/>
      <c r="V373" s="686"/>
      <c r="W373" s="686"/>
      <c r="X373" s="686"/>
      <c r="Y373" s="686"/>
      <c r="Z373" s="686"/>
    </row>
    <row r="374" customFormat="false" ht="12.75" hidden="false" customHeight="false" outlineLevel="1" collapsed="false">
      <c r="A374" s="322"/>
      <c r="B374" s="687"/>
      <c r="C374" s="687"/>
      <c r="D374" s="687"/>
      <c r="E374" s="686"/>
      <c r="F374" s="686"/>
      <c r="G374" s="686"/>
      <c r="H374" s="686"/>
      <c r="I374" s="686"/>
      <c r="J374" s="686"/>
      <c r="K374" s="686"/>
      <c r="L374" s="686"/>
      <c r="M374" s="686"/>
      <c r="N374" s="686"/>
      <c r="O374" s="686"/>
      <c r="P374" s="686"/>
      <c r="Q374" s="686"/>
      <c r="R374" s="686"/>
      <c r="S374" s="686"/>
      <c r="T374" s="686"/>
      <c r="U374" s="686"/>
      <c r="V374" s="686"/>
      <c r="W374" s="686"/>
      <c r="X374" s="686"/>
      <c r="Y374" s="686"/>
      <c r="Z374" s="686"/>
    </row>
    <row r="375" customFormat="false" ht="12.75" hidden="false" customHeight="false" outlineLevel="1" collapsed="false">
      <c r="A375" s="395"/>
      <c r="B375" s="395"/>
      <c r="C375" s="395"/>
      <c r="D375" s="395"/>
      <c r="E375" s="686"/>
      <c r="F375" s="686"/>
      <c r="G375" s="686"/>
      <c r="H375" s="686"/>
      <c r="I375" s="686"/>
      <c r="J375" s="686"/>
      <c r="K375" s="686"/>
      <c r="L375" s="686"/>
      <c r="M375" s="686"/>
      <c r="N375" s="686"/>
      <c r="O375" s="686"/>
      <c r="P375" s="686"/>
      <c r="Q375" s="686"/>
      <c r="R375" s="686"/>
      <c r="S375" s="686"/>
      <c r="T375" s="686"/>
      <c r="U375" s="686"/>
      <c r="V375" s="686"/>
      <c r="W375" s="686"/>
      <c r="X375" s="686"/>
      <c r="Y375" s="686"/>
      <c r="Z375" s="686"/>
    </row>
    <row r="376" customFormat="false" ht="12.75" hidden="false" customHeight="false" outlineLevel="1" collapsed="false">
      <c r="A376" s="70"/>
      <c r="B376" s="70"/>
      <c r="C376" s="70"/>
      <c r="D376" s="70"/>
      <c r="E376" s="686"/>
      <c r="F376" s="686"/>
      <c r="G376" s="686"/>
      <c r="H376" s="686"/>
      <c r="I376" s="686"/>
      <c r="J376" s="686"/>
      <c r="K376" s="686"/>
      <c r="L376" s="686"/>
      <c r="M376" s="686"/>
      <c r="N376" s="686"/>
      <c r="O376" s="686"/>
      <c r="P376" s="686"/>
      <c r="Q376" s="686"/>
      <c r="R376" s="686"/>
      <c r="S376" s="686"/>
      <c r="T376" s="686"/>
      <c r="U376" s="686"/>
      <c r="V376" s="686"/>
      <c r="W376" s="686"/>
      <c r="X376" s="686"/>
      <c r="Y376" s="686"/>
      <c r="Z376" s="686"/>
    </row>
    <row r="377" customFormat="false" ht="12.75" hidden="false" customHeight="false" outlineLevel="1" collapsed="false">
      <c r="A377" s="395"/>
      <c r="B377" s="684"/>
      <c r="C377" s="684"/>
      <c r="D377" s="684"/>
      <c r="E377" s="686"/>
      <c r="F377" s="686"/>
      <c r="G377" s="686"/>
      <c r="H377" s="686"/>
      <c r="I377" s="686"/>
      <c r="J377" s="686"/>
      <c r="K377" s="686"/>
      <c r="L377" s="686"/>
      <c r="M377" s="686"/>
      <c r="N377" s="686"/>
      <c r="O377" s="686"/>
      <c r="P377" s="686"/>
      <c r="Q377" s="686"/>
      <c r="R377" s="686"/>
      <c r="S377" s="686"/>
      <c r="T377" s="686"/>
      <c r="U377" s="686"/>
      <c r="V377" s="686"/>
      <c r="W377" s="686"/>
      <c r="X377" s="686"/>
      <c r="Y377" s="686"/>
      <c r="Z377" s="686"/>
    </row>
    <row r="378" customFormat="false" ht="12.75" hidden="false" customHeight="false" outlineLevel="1" collapsed="false">
      <c r="A378" s="395"/>
      <c r="B378" s="684"/>
      <c r="C378" s="684"/>
      <c r="D378" s="684"/>
      <c r="E378" s="686"/>
      <c r="F378" s="686"/>
      <c r="G378" s="686"/>
      <c r="H378" s="686"/>
      <c r="I378" s="686"/>
      <c r="J378" s="686"/>
      <c r="K378" s="686"/>
      <c r="L378" s="686"/>
      <c r="M378" s="686"/>
      <c r="N378" s="686"/>
      <c r="O378" s="686"/>
      <c r="P378" s="686"/>
      <c r="Q378" s="686"/>
      <c r="R378" s="686"/>
      <c r="S378" s="686"/>
      <c r="T378" s="686"/>
      <c r="U378" s="686"/>
      <c r="V378" s="686"/>
      <c r="W378" s="686"/>
      <c r="X378" s="686"/>
      <c r="Y378" s="686"/>
      <c r="Z378" s="686"/>
    </row>
    <row r="379" customFormat="false" ht="12.75" hidden="false" customHeight="false" outlineLevel="1" collapsed="false">
      <c r="A379" s="395"/>
      <c r="B379" s="684"/>
      <c r="C379" s="684"/>
      <c r="D379" s="684"/>
      <c r="E379" s="686"/>
      <c r="F379" s="686"/>
      <c r="G379" s="686"/>
      <c r="H379" s="686"/>
      <c r="I379" s="686"/>
      <c r="J379" s="686"/>
      <c r="K379" s="686"/>
      <c r="L379" s="686"/>
      <c r="M379" s="686"/>
      <c r="N379" s="686"/>
      <c r="O379" s="686"/>
      <c r="P379" s="686"/>
      <c r="Q379" s="686"/>
      <c r="R379" s="686"/>
      <c r="S379" s="686"/>
      <c r="T379" s="686"/>
      <c r="U379" s="686"/>
      <c r="V379" s="686"/>
      <c r="W379" s="686"/>
      <c r="X379" s="686"/>
      <c r="Y379" s="686"/>
      <c r="Z379" s="686"/>
    </row>
    <row r="380" customFormat="false" ht="12.75" hidden="false" customHeight="false" outlineLevel="1" collapsed="false">
      <c r="A380" s="70"/>
      <c r="B380" s="70"/>
      <c r="C380" s="70"/>
      <c r="D380" s="70"/>
      <c r="E380" s="70"/>
      <c r="F380" s="70"/>
      <c r="G380" s="70"/>
      <c r="H380" s="70"/>
      <c r="I380" s="70"/>
      <c r="J380" s="70"/>
      <c r="K380" s="70"/>
      <c r="L380" s="70"/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70"/>
      <c r="X380" s="70"/>
      <c r="Y380" s="70"/>
      <c r="Z380" s="70"/>
    </row>
    <row r="381" customFormat="false" ht="12.75" hidden="false" customHeight="false" outlineLevel="1" collapsed="false">
      <c r="A381" s="70"/>
      <c r="B381" s="70"/>
      <c r="C381" s="70"/>
      <c r="D381" s="70"/>
      <c r="E381" s="70"/>
      <c r="F381" s="70"/>
      <c r="G381" s="70"/>
      <c r="H381" s="70"/>
      <c r="I381" s="70"/>
      <c r="J381" s="70"/>
      <c r="K381" s="70"/>
      <c r="L381" s="70"/>
      <c r="M381" s="70"/>
      <c r="N381" s="70"/>
      <c r="O381" s="70"/>
      <c r="P381" s="70"/>
      <c r="Q381" s="70"/>
      <c r="R381" s="70"/>
      <c r="S381" s="70"/>
      <c r="T381" s="70"/>
      <c r="U381" s="70"/>
      <c r="V381" s="70"/>
      <c r="W381" s="70"/>
      <c r="X381" s="70"/>
      <c r="Y381" s="70"/>
      <c r="Z381" s="70"/>
    </row>
    <row r="382" customFormat="false" ht="18.75" hidden="false" customHeight="false" outlineLevel="1" collapsed="false">
      <c r="A382" s="683"/>
      <c r="B382" s="683"/>
      <c r="C382" s="683"/>
      <c r="D382" s="683"/>
      <c r="E382" s="70"/>
      <c r="F382" s="70"/>
      <c r="G382" s="70"/>
      <c r="H382" s="70"/>
      <c r="I382" s="70"/>
      <c r="J382" s="70"/>
      <c r="K382" s="70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  <c r="Y382" s="70"/>
      <c r="Z382" s="70"/>
    </row>
    <row r="383" customFormat="false" ht="12.75" hidden="false" customHeight="false" outlineLevel="1" collapsed="false">
      <c r="A383" s="395"/>
      <c r="B383" s="395"/>
      <c r="C383" s="395"/>
      <c r="D383" s="395"/>
      <c r="E383" s="70"/>
      <c r="F383" s="70"/>
      <c r="G383" s="70"/>
      <c r="H383" s="70"/>
      <c r="I383" s="70"/>
      <c r="J383" s="70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  <c r="Z383" s="70"/>
    </row>
    <row r="384" customFormat="false" ht="12.75" hidden="false" customHeight="false" outlineLevel="1" collapsed="false">
      <c r="A384" s="395"/>
      <c r="B384" s="684"/>
      <c r="C384" s="684"/>
      <c r="D384" s="684"/>
      <c r="E384" s="70"/>
      <c r="F384" s="70"/>
      <c r="G384" s="70"/>
      <c r="H384" s="70"/>
      <c r="I384" s="70"/>
      <c r="J384" s="70"/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  <c r="Z384" s="70"/>
    </row>
    <row r="385" customFormat="false" ht="12.75" hidden="false" customHeight="false" outlineLevel="1" collapsed="false">
      <c r="A385" s="70"/>
      <c r="B385" s="70"/>
      <c r="C385" s="70"/>
      <c r="D385" s="70"/>
      <c r="E385" s="70"/>
      <c r="F385" s="70"/>
      <c r="G385" s="70"/>
      <c r="H385" s="70"/>
      <c r="I385" s="70"/>
      <c r="J385" s="70"/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  <c r="Z385" s="70"/>
    </row>
    <row r="386" customFormat="false" ht="12.75" hidden="false" customHeight="false" outlineLevel="1" collapsed="false">
      <c r="A386" s="322"/>
      <c r="B386" s="321"/>
      <c r="C386" s="321"/>
      <c r="D386" s="321"/>
      <c r="E386" s="321"/>
      <c r="F386" s="321"/>
      <c r="G386" s="321"/>
      <c r="H386" s="321"/>
      <c r="I386" s="321"/>
      <c r="J386" s="321"/>
      <c r="K386" s="321"/>
      <c r="L386" s="321"/>
      <c r="M386" s="321"/>
      <c r="N386" s="321"/>
      <c r="O386" s="321"/>
      <c r="P386" s="321"/>
      <c r="Q386" s="321"/>
      <c r="R386" s="321"/>
      <c r="S386" s="321"/>
      <c r="T386" s="70"/>
      <c r="U386" s="70"/>
      <c r="V386" s="70"/>
      <c r="W386" s="70"/>
      <c r="X386" s="70"/>
      <c r="Y386" s="70"/>
      <c r="Z386" s="70"/>
    </row>
    <row r="387" customFormat="false" ht="12.75" hidden="false" customHeight="false" outlineLevel="1" collapsed="false">
      <c r="A387" s="395"/>
      <c r="B387" s="395"/>
      <c r="C387" s="395"/>
      <c r="D387" s="395"/>
      <c r="E387" s="395"/>
      <c r="F387" s="70"/>
      <c r="G387" s="70"/>
      <c r="H387" s="70"/>
      <c r="I387" s="70"/>
      <c r="J387" s="70"/>
      <c r="K387" s="70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  <c r="Y387" s="70"/>
      <c r="Z387" s="70"/>
    </row>
    <row r="388" customFormat="false" ht="12.75" hidden="false" customHeight="false" outlineLevel="1" collapsed="false">
      <c r="A388" s="685"/>
      <c r="B388" s="395"/>
      <c r="C388" s="395"/>
      <c r="D388" s="395"/>
      <c r="E388" s="395"/>
      <c r="F388" s="701"/>
      <c r="G388" s="701"/>
      <c r="H388" s="701"/>
      <c r="I388" s="701"/>
      <c r="J388" s="701"/>
      <c r="K388" s="701"/>
      <c r="L388" s="701"/>
      <c r="M388" s="701"/>
      <c r="N388" s="701"/>
      <c r="O388" s="701"/>
      <c r="P388" s="701"/>
      <c r="Q388" s="701"/>
      <c r="R388" s="701"/>
      <c r="S388" s="701"/>
      <c r="T388" s="70"/>
      <c r="U388" s="70"/>
      <c r="V388" s="70"/>
      <c r="W388" s="70"/>
      <c r="X388" s="70"/>
      <c r="Y388" s="70"/>
      <c r="Z388" s="70"/>
    </row>
    <row r="389" customFormat="false" ht="12.75" hidden="false" customHeight="false" outlineLevel="1" collapsed="false">
      <c r="A389" s="685"/>
      <c r="B389" s="395"/>
      <c r="C389" s="395"/>
      <c r="D389" s="395"/>
      <c r="E389" s="395"/>
      <c r="F389" s="701"/>
      <c r="G389" s="701"/>
      <c r="H389" s="701"/>
      <c r="I389" s="701"/>
      <c r="J389" s="701"/>
      <c r="K389" s="701"/>
      <c r="L389" s="701"/>
      <c r="M389" s="701"/>
      <c r="N389" s="701"/>
      <c r="O389" s="701"/>
      <c r="P389" s="701"/>
      <c r="Q389" s="701"/>
      <c r="R389" s="701"/>
      <c r="S389" s="701"/>
      <c r="T389" s="70"/>
      <c r="U389" s="70"/>
      <c r="V389" s="70"/>
      <c r="W389" s="70"/>
      <c r="X389" s="70"/>
      <c r="Y389" s="70"/>
      <c r="Z389" s="70"/>
    </row>
    <row r="390" customFormat="false" ht="12.75" hidden="false" customHeight="false" outlineLevel="1" collapsed="false">
      <c r="A390" s="685"/>
      <c r="B390" s="685"/>
      <c r="C390" s="685"/>
      <c r="D390" s="685"/>
      <c r="E390" s="685"/>
      <c r="F390" s="701"/>
      <c r="G390" s="701"/>
      <c r="H390" s="701"/>
      <c r="I390" s="701"/>
      <c r="J390" s="701"/>
      <c r="K390" s="701"/>
      <c r="L390" s="701"/>
      <c r="M390" s="701"/>
      <c r="N390" s="701"/>
      <c r="O390" s="701"/>
      <c r="P390" s="701"/>
      <c r="Q390" s="701"/>
      <c r="R390" s="701"/>
      <c r="S390" s="701"/>
      <c r="T390" s="70"/>
      <c r="U390" s="70"/>
      <c r="V390" s="70"/>
      <c r="W390" s="70"/>
      <c r="X390" s="70"/>
      <c r="Y390" s="70"/>
      <c r="Z390" s="70"/>
    </row>
    <row r="391" customFormat="false" ht="12.75" hidden="false" customHeight="false" outlineLevel="1" collapsed="false">
      <c r="A391" s="685"/>
      <c r="B391" s="685"/>
      <c r="C391" s="685"/>
      <c r="D391" s="685"/>
      <c r="E391" s="685"/>
      <c r="F391" s="701"/>
      <c r="G391" s="701"/>
      <c r="H391" s="701"/>
      <c r="I391" s="701"/>
      <c r="J391" s="701"/>
      <c r="K391" s="701"/>
      <c r="L391" s="701"/>
      <c r="M391" s="701"/>
      <c r="N391" s="701"/>
      <c r="O391" s="701"/>
      <c r="P391" s="701"/>
      <c r="Q391" s="701"/>
      <c r="R391" s="701"/>
      <c r="S391" s="701"/>
      <c r="T391" s="70"/>
      <c r="U391" s="70"/>
      <c r="V391" s="70"/>
      <c r="W391" s="70"/>
      <c r="X391" s="70"/>
      <c r="Y391" s="70"/>
      <c r="Z391" s="70"/>
    </row>
    <row r="392" customFormat="false" ht="12.75" hidden="false" customHeight="false" outlineLevel="1" collapsed="false">
      <c r="A392" s="685"/>
      <c r="B392" s="322"/>
      <c r="C392" s="322"/>
      <c r="D392" s="322"/>
      <c r="E392" s="322"/>
      <c r="F392" s="701"/>
      <c r="G392" s="701"/>
      <c r="H392" s="701"/>
      <c r="I392" s="701"/>
      <c r="J392" s="701"/>
      <c r="K392" s="701"/>
      <c r="L392" s="701"/>
      <c r="M392" s="701"/>
      <c r="N392" s="701"/>
      <c r="O392" s="701"/>
      <c r="P392" s="701"/>
      <c r="Q392" s="701"/>
      <c r="R392" s="701"/>
      <c r="S392" s="701"/>
      <c r="T392" s="70"/>
      <c r="U392" s="70"/>
      <c r="V392" s="70"/>
      <c r="W392" s="70"/>
      <c r="X392" s="70"/>
      <c r="Y392" s="70"/>
      <c r="Z392" s="70"/>
    </row>
    <row r="393" customFormat="false" ht="12.75" hidden="false" customHeight="false" outlineLevel="1" collapsed="false">
      <c r="A393" s="685"/>
      <c r="B393" s="322"/>
      <c r="C393" s="322"/>
      <c r="D393" s="322"/>
      <c r="E393" s="322"/>
      <c r="F393" s="701"/>
      <c r="G393" s="701"/>
      <c r="H393" s="701"/>
      <c r="I393" s="701"/>
      <c r="J393" s="701"/>
      <c r="K393" s="701"/>
      <c r="L393" s="701"/>
      <c r="M393" s="701"/>
      <c r="N393" s="701"/>
      <c r="O393" s="701"/>
      <c r="P393" s="701"/>
      <c r="Q393" s="701"/>
      <c r="R393" s="701"/>
      <c r="S393" s="701"/>
      <c r="T393" s="70"/>
      <c r="U393" s="70"/>
      <c r="V393" s="70"/>
      <c r="W393" s="70"/>
      <c r="X393" s="70"/>
      <c r="Y393" s="70"/>
      <c r="Z393" s="70"/>
    </row>
    <row r="394" customFormat="false" ht="12.75" hidden="false" customHeight="false" outlineLevel="1" collapsed="false">
      <c r="A394" s="395"/>
      <c r="B394" s="395"/>
      <c r="C394" s="395"/>
      <c r="D394" s="395"/>
      <c r="E394" s="395"/>
      <c r="F394" s="701"/>
      <c r="G394" s="701"/>
      <c r="H394" s="701"/>
      <c r="I394" s="701"/>
      <c r="J394" s="701"/>
      <c r="K394" s="701"/>
      <c r="L394" s="701"/>
      <c r="M394" s="701"/>
      <c r="N394" s="701"/>
      <c r="O394" s="701"/>
      <c r="P394" s="701"/>
      <c r="Q394" s="701"/>
      <c r="R394" s="701"/>
      <c r="S394" s="701"/>
      <c r="T394" s="70"/>
      <c r="U394" s="70"/>
      <c r="V394" s="70"/>
      <c r="W394" s="70"/>
      <c r="X394" s="70"/>
      <c r="Y394" s="70"/>
      <c r="Z394" s="70"/>
    </row>
    <row r="395" customFormat="false" ht="12.75" hidden="false" customHeight="false" outlineLevel="1" collapsed="false">
      <c r="A395" s="685"/>
      <c r="B395" s="395"/>
      <c r="C395" s="395"/>
      <c r="D395" s="395"/>
      <c r="E395" s="395"/>
      <c r="F395" s="701"/>
      <c r="G395" s="701"/>
      <c r="H395" s="701"/>
      <c r="I395" s="701"/>
      <c r="J395" s="701"/>
      <c r="K395" s="701"/>
      <c r="L395" s="701"/>
      <c r="M395" s="701"/>
      <c r="N395" s="701"/>
      <c r="O395" s="701"/>
      <c r="P395" s="701"/>
      <c r="Q395" s="701"/>
      <c r="R395" s="701"/>
      <c r="S395" s="701"/>
      <c r="T395" s="70"/>
      <c r="U395" s="70"/>
      <c r="V395" s="70"/>
      <c r="W395" s="70"/>
      <c r="X395" s="70"/>
      <c r="Y395" s="70"/>
      <c r="Z395" s="70"/>
    </row>
    <row r="396" customFormat="false" ht="12.75" hidden="false" customHeight="false" outlineLevel="1" collapsed="false">
      <c r="A396" s="685"/>
      <c r="B396" s="395"/>
      <c r="C396" s="395"/>
      <c r="D396" s="395"/>
      <c r="E396" s="395"/>
      <c r="F396" s="701"/>
      <c r="G396" s="701"/>
      <c r="H396" s="701"/>
      <c r="I396" s="701"/>
      <c r="J396" s="701"/>
      <c r="K396" s="701"/>
      <c r="L396" s="701"/>
      <c r="M396" s="701"/>
      <c r="N396" s="701"/>
      <c r="O396" s="701"/>
      <c r="P396" s="701"/>
      <c r="Q396" s="701"/>
      <c r="R396" s="701"/>
      <c r="S396" s="701"/>
      <c r="T396" s="70"/>
      <c r="U396" s="70"/>
      <c r="V396" s="70"/>
      <c r="W396" s="70"/>
      <c r="X396" s="70"/>
      <c r="Y396" s="70"/>
      <c r="Z396" s="70"/>
    </row>
    <row r="397" customFormat="false" ht="12.75" hidden="false" customHeight="false" outlineLevel="1" collapsed="false">
      <c r="A397" s="685"/>
      <c r="B397" s="395"/>
      <c r="C397" s="395"/>
      <c r="D397" s="395"/>
      <c r="E397" s="395"/>
      <c r="F397" s="701"/>
      <c r="G397" s="701"/>
      <c r="H397" s="701"/>
      <c r="I397" s="701"/>
      <c r="J397" s="701"/>
      <c r="K397" s="701"/>
      <c r="L397" s="701"/>
      <c r="M397" s="701"/>
      <c r="N397" s="701"/>
      <c r="O397" s="701"/>
      <c r="P397" s="701"/>
      <c r="Q397" s="701"/>
      <c r="R397" s="701"/>
      <c r="S397" s="701"/>
      <c r="T397" s="70"/>
      <c r="U397" s="70"/>
      <c r="V397" s="70"/>
      <c r="W397" s="70"/>
      <c r="X397" s="70"/>
      <c r="Y397" s="70"/>
      <c r="Z397" s="70"/>
    </row>
    <row r="398" customFormat="false" ht="12.75" hidden="false" customHeight="false" outlineLevel="1" collapsed="false">
      <c r="A398" s="685"/>
      <c r="B398" s="395"/>
      <c r="C398" s="395"/>
      <c r="D398" s="395"/>
      <c r="E398" s="395"/>
      <c r="F398" s="701"/>
      <c r="G398" s="701"/>
      <c r="H398" s="701"/>
      <c r="I398" s="701"/>
      <c r="J398" s="701"/>
      <c r="K398" s="701"/>
      <c r="L398" s="701"/>
      <c r="M398" s="701"/>
      <c r="N398" s="701"/>
      <c r="O398" s="701"/>
      <c r="P398" s="701"/>
      <c r="Q398" s="701"/>
      <c r="R398" s="701"/>
      <c r="S398" s="701"/>
      <c r="T398" s="70"/>
      <c r="U398" s="70"/>
      <c r="V398" s="70"/>
      <c r="W398" s="70"/>
      <c r="X398" s="70"/>
      <c r="Y398" s="70"/>
      <c r="Z398" s="70"/>
    </row>
    <row r="399" customFormat="false" ht="12.75" hidden="false" customHeight="false" outlineLevel="1" collapsed="false">
      <c r="A399" s="685"/>
      <c r="B399" s="395"/>
      <c r="C399" s="395"/>
      <c r="D399" s="395"/>
      <c r="E399" s="395"/>
      <c r="F399" s="701"/>
      <c r="G399" s="701"/>
      <c r="H399" s="701"/>
      <c r="I399" s="701"/>
      <c r="J399" s="701"/>
      <c r="K399" s="701"/>
      <c r="L399" s="701"/>
      <c r="M399" s="701"/>
      <c r="N399" s="701"/>
      <c r="O399" s="701"/>
      <c r="P399" s="701"/>
      <c r="Q399" s="701"/>
      <c r="R399" s="701"/>
      <c r="S399" s="701"/>
      <c r="T399" s="70"/>
      <c r="U399" s="70"/>
      <c r="V399" s="70"/>
      <c r="W399" s="70"/>
      <c r="X399" s="70"/>
      <c r="Y399" s="70"/>
      <c r="Z399" s="70"/>
    </row>
    <row r="400" customFormat="false" ht="12.75" hidden="false" customHeight="false" outlineLevel="1" collapsed="false">
      <c r="A400" s="685"/>
      <c r="B400" s="395"/>
      <c r="C400" s="395"/>
      <c r="D400" s="395"/>
      <c r="E400" s="395"/>
      <c r="F400" s="701"/>
      <c r="G400" s="701"/>
      <c r="H400" s="701"/>
      <c r="I400" s="701"/>
      <c r="J400" s="701"/>
      <c r="K400" s="701"/>
      <c r="L400" s="701"/>
      <c r="M400" s="701"/>
      <c r="N400" s="701"/>
      <c r="O400" s="701"/>
      <c r="P400" s="701"/>
      <c r="Q400" s="701"/>
      <c r="R400" s="701"/>
      <c r="S400" s="701"/>
      <c r="T400" s="70"/>
      <c r="U400" s="70"/>
      <c r="V400" s="70"/>
      <c r="W400" s="70"/>
      <c r="X400" s="70"/>
      <c r="Y400" s="70"/>
      <c r="Z400" s="70"/>
    </row>
    <row r="401" customFormat="false" ht="12.75" hidden="false" customHeight="false" outlineLevel="1" collapsed="false">
      <c r="A401" s="685"/>
      <c r="B401" s="395"/>
      <c r="C401" s="395"/>
      <c r="D401" s="395"/>
      <c r="E401" s="395"/>
      <c r="F401" s="701"/>
      <c r="G401" s="701"/>
      <c r="H401" s="701"/>
      <c r="I401" s="701"/>
      <c r="J401" s="701"/>
      <c r="K401" s="701"/>
      <c r="L401" s="701"/>
      <c r="M401" s="701"/>
      <c r="N401" s="701"/>
      <c r="O401" s="701"/>
      <c r="P401" s="701"/>
      <c r="Q401" s="701"/>
      <c r="R401" s="701"/>
      <c r="S401" s="701"/>
      <c r="T401" s="70"/>
      <c r="U401" s="70"/>
      <c r="V401" s="70"/>
      <c r="W401" s="70"/>
      <c r="X401" s="70"/>
      <c r="Y401" s="70"/>
      <c r="Z401" s="70"/>
    </row>
    <row r="402" customFormat="false" ht="12.75" hidden="false" customHeight="false" outlineLevel="1" collapsed="false">
      <c r="A402" s="685"/>
      <c r="B402" s="395"/>
      <c r="C402" s="395"/>
      <c r="D402" s="395"/>
      <c r="E402" s="395"/>
      <c r="F402" s="701"/>
      <c r="G402" s="701"/>
      <c r="H402" s="701"/>
      <c r="I402" s="701"/>
      <c r="J402" s="701"/>
      <c r="K402" s="701"/>
      <c r="L402" s="701"/>
      <c r="M402" s="701"/>
      <c r="N402" s="701"/>
      <c r="O402" s="701"/>
      <c r="P402" s="701"/>
      <c r="Q402" s="701"/>
      <c r="R402" s="701"/>
      <c r="S402" s="701"/>
      <c r="T402" s="70"/>
      <c r="U402" s="70"/>
      <c r="V402" s="70"/>
      <c r="W402" s="70"/>
      <c r="X402" s="70"/>
      <c r="Y402" s="70"/>
      <c r="Z402" s="70"/>
    </row>
    <row r="403" customFormat="false" ht="12.75" hidden="false" customHeight="false" outlineLevel="1" collapsed="false">
      <c r="A403" s="685"/>
      <c r="B403" s="395"/>
      <c r="C403" s="395"/>
      <c r="D403" s="395"/>
      <c r="E403" s="395"/>
      <c r="F403" s="701"/>
      <c r="G403" s="701"/>
      <c r="H403" s="701"/>
      <c r="I403" s="701"/>
      <c r="J403" s="701"/>
      <c r="K403" s="701"/>
      <c r="L403" s="701"/>
      <c r="M403" s="701"/>
      <c r="N403" s="701"/>
      <c r="O403" s="701"/>
      <c r="P403" s="701"/>
      <c r="Q403" s="701"/>
      <c r="R403" s="701"/>
      <c r="S403" s="701"/>
      <c r="T403" s="70"/>
      <c r="U403" s="70"/>
      <c r="V403" s="70"/>
      <c r="W403" s="70"/>
      <c r="X403" s="70"/>
      <c r="Y403" s="70"/>
      <c r="Z403" s="70"/>
    </row>
    <row r="404" customFormat="false" ht="12.75" hidden="false" customHeight="false" outlineLevel="1" collapsed="false">
      <c r="A404" s="685"/>
      <c r="B404" s="395"/>
      <c r="C404" s="395"/>
      <c r="D404" s="395"/>
      <c r="E404" s="395"/>
      <c r="F404" s="701"/>
      <c r="G404" s="701"/>
      <c r="H404" s="701"/>
      <c r="I404" s="701"/>
      <c r="J404" s="701"/>
      <c r="K404" s="701"/>
      <c r="L404" s="701"/>
      <c r="M404" s="701"/>
      <c r="N404" s="701"/>
      <c r="O404" s="701"/>
      <c r="P404" s="701"/>
      <c r="Q404" s="701"/>
      <c r="R404" s="701"/>
      <c r="S404" s="701"/>
      <c r="T404" s="70"/>
      <c r="U404" s="70"/>
      <c r="V404" s="70"/>
      <c r="W404" s="70"/>
      <c r="X404" s="70"/>
      <c r="Y404" s="70"/>
      <c r="Z404" s="70"/>
    </row>
    <row r="405" customFormat="false" ht="12.75" hidden="false" customHeight="false" outlineLevel="1" collapsed="false">
      <c r="A405" s="685"/>
      <c r="B405" s="685"/>
      <c r="C405" s="685"/>
      <c r="D405" s="685"/>
      <c r="E405" s="685"/>
      <c r="F405" s="701"/>
      <c r="G405" s="701"/>
      <c r="H405" s="701"/>
      <c r="I405" s="701"/>
      <c r="J405" s="701"/>
      <c r="K405" s="701"/>
      <c r="L405" s="701"/>
      <c r="M405" s="701"/>
      <c r="N405" s="701"/>
      <c r="O405" s="701"/>
      <c r="P405" s="701"/>
      <c r="Q405" s="701"/>
      <c r="R405" s="701"/>
      <c r="S405" s="701"/>
      <c r="T405" s="70"/>
      <c r="U405" s="70"/>
      <c r="V405" s="70"/>
      <c r="W405" s="70"/>
      <c r="X405" s="70"/>
      <c r="Y405" s="70"/>
      <c r="Z405" s="70"/>
    </row>
    <row r="406" customFormat="false" ht="12.75" hidden="false" customHeight="false" outlineLevel="1" collapsed="false">
      <c r="A406" s="685"/>
      <c r="B406" s="685"/>
      <c r="C406" s="685"/>
      <c r="D406" s="685"/>
      <c r="E406" s="685"/>
      <c r="F406" s="701"/>
      <c r="G406" s="701"/>
      <c r="H406" s="701"/>
      <c r="I406" s="701"/>
      <c r="J406" s="701"/>
      <c r="K406" s="701"/>
      <c r="L406" s="701"/>
      <c r="M406" s="701"/>
      <c r="N406" s="701"/>
      <c r="O406" s="701"/>
      <c r="P406" s="701"/>
      <c r="Q406" s="701"/>
      <c r="R406" s="701"/>
      <c r="S406" s="701"/>
      <c r="T406" s="70"/>
      <c r="U406" s="70"/>
      <c r="V406" s="70"/>
      <c r="W406" s="70"/>
      <c r="X406" s="70"/>
      <c r="Y406" s="70"/>
      <c r="Z406" s="70"/>
    </row>
    <row r="407" customFormat="false" ht="12.75" hidden="false" customHeight="false" outlineLevel="1" collapsed="false">
      <c r="A407" s="395"/>
      <c r="B407" s="395"/>
      <c r="C407" s="395"/>
      <c r="D407" s="395"/>
      <c r="E407" s="395"/>
      <c r="F407" s="701"/>
      <c r="G407" s="701"/>
      <c r="H407" s="701"/>
      <c r="I407" s="701"/>
      <c r="J407" s="701"/>
      <c r="K407" s="701"/>
      <c r="L407" s="701"/>
      <c r="M407" s="701"/>
      <c r="N407" s="701"/>
      <c r="O407" s="701"/>
      <c r="P407" s="701"/>
      <c r="Q407" s="701"/>
      <c r="R407" s="701"/>
      <c r="S407" s="701"/>
      <c r="T407" s="70"/>
      <c r="U407" s="70"/>
      <c r="V407" s="70"/>
      <c r="W407" s="70"/>
      <c r="X407" s="70"/>
      <c r="Y407" s="70"/>
      <c r="Z407" s="70"/>
    </row>
    <row r="408" customFormat="false" ht="12.75" hidden="false" customHeight="false" outlineLevel="1" collapsed="false">
      <c r="A408" s="70"/>
      <c r="B408" s="395"/>
      <c r="C408" s="395"/>
      <c r="D408" s="395"/>
      <c r="E408" s="395"/>
      <c r="F408" s="701"/>
      <c r="G408" s="701"/>
      <c r="H408" s="701"/>
      <c r="I408" s="701"/>
      <c r="J408" s="701"/>
      <c r="K408" s="701"/>
      <c r="L408" s="701"/>
      <c r="M408" s="701"/>
      <c r="N408" s="701"/>
      <c r="O408" s="701"/>
      <c r="P408" s="701"/>
      <c r="Q408" s="701"/>
      <c r="R408" s="701"/>
      <c r="S408" s="701"/>
      <c r="T408" s="70"/>
      <c r="U408" s="70"/>
      <c r="V408" s="70"/>
      <c r="W408" s="70"/>
      <c r="X408" s="70"/>
      <c r="Y408" s="70"/>
      <c r="Z408" s="70"/>
    </row>
    <row r="409" customFormat="false" ht="12.75" hidden="false" customHeight="false" outlineLevel="1" collapsed="false">
      <c r="A409" s="685"/>
      <c r="B409" s="685"/>
      <c r="C409" s="685"/>
      <c r="D409" s="685"/>
      <c r="E409" s="685"/>
      <c r="F409" s="701"/>
      <c r="G409" s="701"/>
      <c r="H409" s="701"/>
      <c r="I409" s="701"/>
      <c r="J409" s="701"/>
      <c r="K409" s="701"/>
      <c r="L409" s="701"/>
      <c r="M409" s="701"/>
      <c r="N409" s="701"/>
      <c r="O409" s="701"/>
      <c r="P409" s="701"/>
      <c r="Q409" s="701"/>
      <c r="R409" s="701"/>
      <c r="S409" s="701"/>
      <c r="T409" s="70"/>
      <c r="U409" s="70"/>
      <c r="V409" s="70"/>
      <c r="W409" s="70"/>
      <c r="X409" s="70"/>
      <c r="Y409" s="70"/>
      <c r="Z409" s="70"/>
    </row>
    <row r="410" customFormat="false" ht="12.75" hidden="false" customHeight="false" outlineLevel="1" collapsed="false">
      <c r="A410" s="395"/>
      <c r="B410" s="395"/>
      <c r="C410" s="395"/>
      <c r="D410" s="395"/>
      <c r="E410" s="395"/>
      <c r="F410" s="701"/>
      <c r="G410" s="701"/>
      <c r="H410" s="701"/>
      <c r="I410" s="701"/>
      <c r="J410" s="701"/>
      <c r="K410" s="701"/>
      <c r="L410" s="701"/>
      <c r="M410" s="701"/>
      <c r="N410" s="701"/>
      <c r="O410" s="701"/>
      <c r="P410" s="701"/>
      <c r="Q410" s="701"/>
      <c r="R410" s="701"/>
      <c r="S410" s="701"/>
      <c r="T410" s="70"/>
      <c r="U410" s="70"/>
      <c r="V410" s="70"/>
      <c r="W410" s="70"/>
      <c r="X410" s="70"/>
      <c r="Y410" s="70"/>
      <c r="Z410" s="70"/>
    </row>
    <row r="411" customFormat="false" ht="12.75" hidden="false" customHeight="false" outlineLevel="1" collapsed="false">
      <c r="A411" s="685"/>
      <c r="B411" s="687"/>
      <c r="C411" s="687"/>
      <c r="D411" s="687"/>
      <c r="E411" s="687"/>
      <c r="F411" s="701"/>
      <c r="G411" s="701"/>
      <c r="H411" s="701"/>
      <c r="I411" s="701"/>
      <c r="J411" s="701"/>
      <c r="K411" s="701"/>
      <c r="L411" s="701"/>
      <c r="M411" s="701"/>
      <c r="N411" s="701"/>
      <c r="O411" s="701"/>
      <c r="P411" s="701"/>
      <c r="Q411" s="701"/>
      <c r="R411" s="701"/>
      <c r="S411" s="701"/>
      <c r="T411" s="70"/>
      <c r="U411" s="70"/>
      <c r="V411" s="70"/>
      <c r="W411" s="70"/>
      <c r="X411" s="70"/>
      <c r="Y411" s="70"/>
      <c r="Z411" s="70"/>
    </row>
    <row r="412" customFormat="false" ht="12.75" hidden="false" customHeight="false" outlineLevel="1" collapsed="false">
      <c r="A412" s="395"/>
      <c r="B412" s="395"/>
      <c r="C412" s="395"/>
      <c r="D412" s="395"/>
      <c r="E412" s="395"/>
      <c r="F412" s="701"/>
      <c r="G412" s="701"/>
      <c r="H412" s="701"/>
      <c r="I412" s="701"/>
      <c r="J412" s="701"/>
      <c r="K412" s="701"/>
      <c r="L412" s="701"/>
      <c r="M412" s="701"/>
      <c r="N412" s="701"/>
      <c r="O412" s="701"/>
      <c r="P412" s="701"/>
      <c r="Q412" s="701"/>
      <c r="R412" s="701"/>
      <c r="S412" s="701"/>
      <c r="T412" s="70"/>
      <c r="U412" s="70"/>
      <c r="V412" s="70"/>
      <c r="W412" s="70"/>
      <c r="X412" s="70"/>
      <c r="Y412" s="70"/>
      <c r="Z412" s="70"/>
    </row>
    <row r="413" customFormat="false" ht="12.75" hidden="false" customHeight="false" outlineLevel="1" collapsed="false">
      <c r="A413" s="395"/>
      <c r="B413" s="395"/>
      <c r="C413" s="395"/>
      <c r="D413" s="395"/>
      <c r="E413" s="395"/>
      <c r="F413" s="701"/>
      <c r="G413" s="701"/>
      <c r="H413" s="701"/>
      <c r="I413" s="701"/>
      <c r="J413" s="701"/>
      <c r="K413" s="701"/>
      <c r="L413" s="701"/>
      <c r="M413" s="701"/>
      <c r="N413" s="701"/>
      <c r="O413" s="701"/>
      <c r="P413" s="701"/>
      <c r="Q413" s="701"/>
      <c r="R413" s="701"/>
      <c r="S413" s="701"/>
      <c r="T413" s="70"/>
      <c r="U413" s="70"/>
      <c r="V413" s="70"/>
      <c r="W413" s="70"/>
      <c r="X413" s="70"/>
      <c r="Y413" s="70"/>
      <c r="Z413" s="70"/>
    </row>
    <row r="414" customFormat="false" ht="12.75" hidden="false" customHeight="false" outlineLevel="1" collapsed="false">
      <c r="A414" s="395"/>
      <c r="B414" s="395"/>
      <c r="C414" s="395"/>
      <c r="D414" s="395"/>
      <c r="E414" s="395"/>
      <c r="F414" s="701"/>
      <c r="G414" s="701"/>
      <c r="H414" s="701"/>
      <c r="I414" s="701"/>
      <c r="J414" s="701"/>
      <c r="K414" s="701"/>
      <c r="L414" s="701"/>
      <c r="M414" s="701"/>
      <c r="N414" s="701"/>
      <c r="O414" s="701"/>
      <c r="P414" s="701"/>
      <c r="Q414" s="701"/>
      <c r="R414" s="701"/>
      <c r="S414" s="701"/>
      <c r="T414" s="70"/>
      <c r="U414" s="70"/>
      <c r="V414" s="70"/>
      <c r="W414" s="70"/>
      <c r="X414" s="70"/>
      <c r="Y414" s="70"/>
      <c r="Z414" s="70"/>
    </row>
    <row r="415" customFormat="false" ht="12.75" hidden="false" customHeight="false" outlineLevel="1" collapsed="false">
      <c r="A415" s="395"/>
      <c r="B415" s="684"/>
      <c r="C415" s="684"/>
      <c r="D415" s="684"/>
      <c r="E415" s="684"/>
      <c r="F415" s="701"/>
      <c r="G415" s="701"/>
      <c r="H415" s="701"/>
      <c r="I415" s="701"/>
      <c r="J415" s="701"/>
      <c r="K415" s="701"/>
      <c r="L415" s="701"/>
      <c r="M415" s="701"/>
      <c r="N415" s="701"/>
      <c r="O415" s="701"/>
      <c r="P415" s="701"/>
      <c r="Q415" s="701"/>
      <c r="R415" s="701"/>
      <c r="S415" s="701"/>
      <c r="T415" s="70"/>
      <c r="U415" s="70"/>
      <c r="V415" s="70"/>
      <c r="W415" s="70"/>
      <c r="X415" s="70"/>
      <c r="Y415" s="70"/>
      <c r="Z415" s="70"/>
    </row>
    <row r="416" customFormat="false" ht="12.75" hidden="false" customHeight="false" outlineLevel="1" collapsed="false">
      <c r="A416" s="395"/>
      <c r="B416" s="684"/>
      <c r="C416" s="684"/>
      <c r="D416" s="684"/>
      <c r="E416" s="684"/>
      <c r="F416" s="701"/>
      <c r="G416" s="701"/>
      <c r="H416" s="701"/>
      <c r="I416" s="701"/>
      <c r="J416" s="701"/>
      <c r="K416" s="701"/>
      <c r="L416" s="701"/>
      <c r="M416" s="701"/>
      <c r="N416" s="701"/>
      <c r="O416" s="701"/>
      <c r="P416" s="701"/>
      <c r="Q416" s="701"/>
      <c r="R416" s="701"/>
      <c r="S416" s="701"/>
      <c r="T416" s="70"/>
      <c r="U416" s="70"/>
      <c r="V416" s="70"/>
      <c r="W416" s="70"/>
      <c r="X416" s="70"/>
      <c r="Y416" s="70"/>
      <c r="Z416" s="70"/>
    </row>
    <row r="417" customFormat="false" ht="12.75" hidden="false" customHeight="false" outlineLevel="1" collapsed="false">
      <c r="A417" s="395"/>
      <c r="B417" s="684"/>
      <c r="C417" s="684"/>
      <c r="D417" s="684"/>
      <c r="E417" s="684"/>
      <c r="F417" s="701"/>
      <c r="G417" s="701"/>
      <c r="H417" s="701"/>
      <c r="I417" s="701"/>
      <c r="J417" s="701"/>
      <c r="K417" s="701"/>
      <c r="L417" s="701"/>
      <c r="M417" s="701"/>
      <c r="N417" s="701"/>
      <c r="O417" s="701"/>
      <c r="P417" s="701"/>
      <c r="Q417" s="701"/>
      <c r="R417" s="701"/>
      <c r="S417" s="701"/>
      <c r="T417" s="70"/>
      <c r="U417" s="70"/>
      <c r="V417" s="70"/>
      <c r="W417" s="70"/>
      <c r="X417" s="70"/>
      <c r="Y417" s="70"/>
      <c r="Z417" s="70"/>
    </row>
    <row r="418" customFormat="false" ht="12.75" hidden="false" customHeight="false" outlineLevel="1" collapsed="false">
      <c r="A418" s="395"/>
      <c r="B418" s="684"/>
      <c r="C418" s="684"/>
      <c r="D418" s="684"/>
      <c r="E418" s="684"/>
      <c r="F418" s="701"/>
      <c r="G418" s="701"/>
      <c r="H418" s="701"/>
      <c r="I418" s="701"/>
      <c r="J418" s="701"/>
      <c r="K418" s="701"/>
      <c r="L418" s="701"/>
      <c r="M418" s="701"/>
      <c r="N418" s="701"/>
      <c r="O418" s="701"/>
      <c r="P418" s="701"/>
      <c r="Q418" s="701"/>
      <c r="R418" s="701"/>
      <c r="S418" s="701"/>
      <c r="T418" s="70"/>
      <c r="U418" s="70"/>
      <c r="V418" s="70"/>
      <c r="W418" s="70"/>
      <c r="X418" s="70"/>
      <c r="Y418" s="70"/>
      <c r="Z418" s="70"/>
    </row>
    <row r="419" customFormat="false" ht="12.75" hidden="false" customHeight="false" outlineLevel="1" collapsed="false">
      <c r="A419" s="395"/>
      <c r="B419" s="684"/>
      <c r="C419" s="684"/>
      <c r="D419" s="684"/>
      <c r="E419" s="684"/>
      <c r="F419" s="701"/>
      <c r="G419" s="701"/>
      <c r="H419" s="701"/>
      <c r="I419" s="701"/>
      <c r="J419" s="701"/>
      <c r="K419" s="701"/>
      <c r="L419" s="701"/>
      <c r="M419" s="701"/>
      <c r="N419" s="701"/>
      <c r="O419" s="701"/>
      <c r="P419" s="701"/>
      <c r="Q419" s="701"/>
      <c r="R419" s="701"/>
      <c r="S419" s="701"/>
      <c r="T419" s="70"/>
      <c r="U419" s="70"/>
      <c r="V419" s="70"/>
      <c r="W419" s="70"/>
      <c r="X419" s="70"/>
      <c r="Y419" s="70"/>
      <c r="Z419" s="70"/>
    </row>
    <row r="420" customFormat="false" ht="12.75" hidden="false" customHeight="false" outlineLevel="1" collapsed="false">
      <c r="A420" s="70"/>
      <c r="B420" s="684"/>
      <c r="C420" s="684"/>
      <c r="D420" s="684"/>
      <c r="E420" s="684"/>
      <c r="F420" s="701"/>
      <c r="G420" s="701"/>
      <c r="H420" s="701"/>
      <c r="I420" s="701"/>
      <c r="J420" s="701"/>
      <c r="K420" s="701"/>
      <c r="L420" s="701"/>
      <c r="M420" s="701"/>
      <c r="N420" s="701"/>
      <c r="O420" s="701"/>
      <c r="P420" s="701"/>
      <c r="Q420" s="701"/>
      <c r="R420" s="701"/>
      <c r="S420" s="701"/>
      <c r="T420" s="701"/>
      <c r="U420" s="701"/>
      <c r="V420" s="701"/>
      <c r="W420" s="701"/>
      <c r="X420" s="701"/>
      <c r="Y420" s="701"/>
      <c r="Z420" s="701"/>
    </row>
    <row r="421" customFormat="false" ht="12.75" hidden="false" customHeight="false" outlineLevel="1" collapsed="false">
      <c r="A421" s="70"/>
      <c r="B421" s="701"/>
      <c r="C421" s="701"/>
      <c r="D421" s="701"/>
      <c r="E421" s="684"/>
      <c r="F421" s="701"/>
      <c r="G421" s="701"/>
      <c r="H421" s="701"/>
      <c r="I421" s="701"/>
      <c r="J421" s="701"/>
      <c r="K421" s="701"/>
      <c r="L421" s="701"/>
      <c r="M421" s="701"/>
      <c r="N421" s="701"/>
      <c r="O421" s="701"/>
      <c r="P421" s="701"/>
      <c r="Q421" s="701"/>
      <c r="R421" s="701"/>
      <c r="S421" s="701"/>
      <c r="T421" s="701"/>
      <c r="U421" s="701"/>
      <c r="V421" s="701"/>
      <c r="W421" s="701"/>
      <c r="X421" s="701"/>
      <c r="Y421" s="701"/>
      <c r="Z421" s="701"/>
    </row>
    <row r="422" customFormat="false" ht="12.75" hidden="false" customHeight="false" outlineLevel="1" collapsed="false">
      <c r="A422" s="70"/>
      <c r="B422" s="684"/>
      <c r="C422" s="684"/>
      <c r="D422" s="684"/>
      <c r="E422" s="684"/>
      <c r="F422" s="701"/>
      <c r="G422" s="701"/>
      <c r="H422" s="701"/>
      <c r="I422" s="701"/>
      <c r="J422" s="701"/>
      <c r="K422" s="701"/>
      <c r="L422" s="701"/>
      <c r="M422" s="701"/>
      <c r="N422" s="701"/>
      <c r="O422" s="701"/>
      <c r="P422" s="701"/>
      <c r="Q422" s="701"/>
      <c r="R422" s="701"/>
      <c r="S422" s="701"/>
      <c r="T422" s="701"/>
      <c r="U422" s="701"/>
      <c r="V422" s="701"/>
      <c r="W422" s="701"/>
      <c r="X422" s="701"/>
      <c r="Y422" s="701"/>
      <c r="Z422" s="701"/>
    </row>
    <row r="423" customFormat="false" ht="12.75" hidden="false" customHeight="false" outlineLevel="1" collapsed="false">
      <c r="A423" s="70"/>
      <c r="B423" s="684"/>
      <c r="C423" s="684"/>
      <c r="D423" s="684"/>
      <c r="E423" s="684"/>
      <c r="F423" s="701"/>
      <c r="G423" s="701"/>
      <c r="H423" s="701"/>
      <c r="I423" s="701"/>
      <c r="J423" s="701"/>
      <c r="K423" s="701"/>
      <c r="L423" s="701"/>
      <c r="M423" s="701"/>
      <c r="N423" s="701"/>
      <c r="O423" s="701"/>
      <c r="P423" s="701"/>
      <c r="Q423" s="701"/>
      <c r="R423" s="701"/>
      <c r="S423" s="701"/>
      <c r="T423" s="701"/>
      <c r="U423" s="701"/>
      <c r="V423" s="701"/>
      <c r="W423" s="701"/>
      <c r="X423" s="701"/>
      <c r="Y423" s="701"/>
      <c r="Z423" s="701"/>
    </row>
    <row r="424" customFormat="false" ht="12.75" hidden="false" customHeight="false" outlineLevel="1" collapsed="false">
      <c r="A424" s="70"/>
      <c r="B424" s="684"/>
      <c r="C424" s="684"/>
      <c r="D424" s="684"/>
      <c r="E424" s="684"/>
      <c r="F424" s="701"/>
      <c r="G424" s="701"/>
      <c r="H424" s="701"/>
      <c r="I424" s="701"/>
      <c r="J424" s="701"/>
      <c r="K424" s="701"/>
      <c r="L424" s="701"/>
      <c r="M424" s="701"/>
      <c r="N424" s="701"/>
      <c r="O424" s="701"/>
      <c r="P424" s="701"/>
      <c r="Q424" s="701"/>
      <c r="R424" s="701"/>
      <c r="S424" s="701"/>
      <c r="T424" s="701"/>
      <c r="U424" s="701"/>
      <c r="V424" s="701"/>
      <c r="W424" s="701"/>
      <c r="X424" s="701"/>
      <c r="Y424" s="701"/>
      <c r="Z424" s="701"/>
    </row>
    <row r="425" customFormat="false" ht="12.75" hidden="false" customHeight="false" outlineLevel="1" collapsed="false">
      <c r="A425" s="70"/>
      <c r="B425" s="684"/>
      <c r="C425" s="684"/>
      <c r="D425" s="684"/>
      <c r="E425" s="684"/>
      <c r="F425" s="701"/>
      <c r="G425" s="701"/>
      <c r="H425" s="701"/>
      <c r="I425" s="701"/>
      <c r="J425" s="701"/>
      <c r="K425" s="701"/>
      <c r="L425" s="701"/>
      <c r="M425" s="701"/>
      <c r="N425" s="701"/>
      <c r="O425" s="701"/>
      <c r="P425" s="701"/>
      <c r="Q425" s="701"/>
      <c r="R425" s="701"/>
      <c r="S425" s="701"/>
      <c r="T425" s="701"/>
      <c r="U425" s="701"/>
      <c r="V425" s="701"/>
      <c r="W425" s="701"/>
      <c r="X425" s="701"/>
      <c r="Y425" s="701"/>
      <c r="Z425" s="701"/>
    </row>
    <row r="426" customFormat="false" ht="12.75" hidden="false" customHeight="false" outlineLevel="1" collapsed="false">
      <c r="A426" s="395"/>
      <c r="B426" s="684"/>
      <c r="C426" s="684"/>
      <c r="D426" s="684"/>
      <c r="E426" s="684"/>
      <c r="F426" s="701"/>
      <c r="G426" s="701"/>
      <c r="H426" s="701"/>
      <c r="I426" s="701"/>
      <c r="J426" s="701"/>
      <c r="K426" s="701"/>
      <c r="L426" s="701"/>
      <c r="M426" s="701"/>
      <c r="N426" s="701"/>
      <c r="O426" s="701"/>
      <c r="P426" s="701"/>
      <c r="Q426" s="701"/>
      <c r="R426" s="701"/>
      <c r="S426" s="701"/>
      <c r="T426" s="701"/>
      <c r="U426" s="701"/>
      <c r="V426" s="701"/>
      <c r="W426" s="701"/>
      <c r="X426" s="701"/>
      <c r="Y426" s="701"/>
      <c r="Z426" s="701"/>
    </row>
    <row r="427" customFormat="false" ht="12.75" hidden="false" customHeight="false" outlineLevel="1" collapsed="false">
      <c r="A427" s="70"/>
      <c r="B427" s="684"/>
      <c r="C427" s="684"/>
      <c r="D427" s="684"/>
      <c r="E427" s="684"/>
      <c r="F427" s="701"/>
      <c r="G427" s="701"/>
      <c r="H427" s="701"/>
      <c r="I427" s="701"/>
      <c r="J427" s="701"/>
      <c r="K427" s="701"/>
      <c r="L427" s="701"/>
      <c r="M427" s="701"/>
      <c r="N427" s="701"/>
      <c r="O427" s="701"/>
      <c r="P427" s="701"/>
      <c r="Q427" s="701"/>
      <c r="R427" s="701"/>
      <c r="S427" s="701"/>
      <c r="T427" s="701"/>
      <c r="U427" s="701"/>
      <c r="V427" s="701"/>
      <c r="W427" s="701"/>
      <c r="X427" s="701"/>
      <c r="Y427" s="701"/>
      <c r="Z427" s="701"/>
    </row>
    <row r="428" customFormat="false" ht="12.75" hidden="false" customHeight="false" outlineLevel="1" collapsed="false">
      <c r="A428" s="70"/>
      <c r="B428" s="684"/>
      <c r="C428" s="684"/>
      <c r="D428" s="684"/>
      <c r="E428" s="684"/>
      <c r="F428" s="701"/>
      <c r="G428" s="701"/>
      <c r="H428" s="701"/>
      <c r="I428" s="701"/>
      <c r="J428" s="701"/>
      <c r="K428" s="701"/>
      <c r="L428" s="701"/>
      <c r="M428" s="701"/>
      <c r="N428" s="701"/>
      <c r="O428" s="701"/>
      <c r="P428" s="701"/>
      <c r="Q428" s="701"/>
      <c r="R428" s="701"/>
      <c r="S428" s="701"/>
      <c r="T428" s="701"/>
      <c r="U428" s="701"/>
      <c r="V428" s="701"/>
      <c r="W428" s="701"/>
      <c r="X428" s="701"/>
      <c r="Y428" s="701"/>
      <c r="Z428" s="701"/>
    </row>
    <row r="429" customFormat="false" ht="12.75" hidden="false" customHeight="false" outlineLevel="1" collapsed="false">
      <c r="A429" s="395"/>
      <c r="B429" s="684"/>
      <c r="C429" s="684"/>
      <c r="D429" s="684"/>
      <c r="E429" s="684"/>
      <c r="F429" s="701"/>
      <c r="G429" s="701"/>
      <c r="H429" s="701"/>
      <c r="I429" s="701"/>
      <c r="J429" s="701"/>
      <c r="K429" s="701"/>
      <c r="L429" s="701"/>
      <c r="M429" s="701"/>
      <c r="N429" s="701"/>
      <c r="O429" s="701"/>
      <c r="P429" s="701"/>
      <c r="Q429" s="701"/>
      <c r="R429" s="701"/>
      <c r="S429" s="701"/>
      <c r="T429" s="701"/>
      <c r="U429" s="701"/>
      <c r="V429" s="701"/>
      <c r="W429" s="701"/>
      <c r="X429" s="701"/>
      <c r="Y429" s="701"/>
      <c r="Z429" s="701"/>
    </row>
    <row r="430" customFormat="false" ht="12.75" hidden="false" customHeight="false" outlineLevel="1" collapsed="false">
      <c r="A430" s="395"/>
      <c r="B430" s="684"/>
      <c r="C430" s="684"/>
      <c r="D430" s="684"/>
      <c r="E430" s="684"/>
      <c r="F430" s="701"/>
      <c r="G430" s="701"/>
      <c r="H430" s="701"/>
      <c r="I430" s="701"/>
      <c r="J430" s="701"/>
      <c r="K430" s="701"/>
      <c r="L430" s="701"/>
      <c r="M430" s="701"/>
      <c r="N430" s="701"/>
      <c r="O430" s="701"/>
      <c r="P430" s="701"/>
      <c r="Q430" s="701"/>
      <c r="R430" s="701"/>
      <c r="S430" s="701"/>
      <c r="T430" s="701"/>
      <c r="U430" s="701"/>
      <c r="V430" s="701"/>
      <c r="W430" s="701"/>
      <c r="X430" s="701"/>
      <c r="Y430" s="701"/>
      <c r="Z430" s="701"/>
    </row>
    <row r="431" customFormat="false" ht="12.75" hidden="false" customHeight="false" outlineLevel="1" collapsed="false">
      <c r="A431" s="70"/>
      <c r="B431" s="684"/>
      <c r="C431" s="684"/>
      <c r="D431" s="684"/>
      <c r="E431" s="684"/>
      <c r="F431" s="701"/>
      <c r="G431" s="701"/>
      <c r="H431" s="701"/>
      <c r="I431" s="701"/>
      <c r="J431" s="701"/>
      <c r="K431" s="701"/>
      <c r="L431" s="701"/>
      <c r="M431" s="701"/>
      <c r="N431" s="701"/>
      <c r="O431" s="701"/>
      <c r="P431" s="701"/>
      <c r="Q431" s="701"/>
      <c r="R431" s="701"/>
      <c r="S431" s="701"/>
      <c r="T431" s="701"/>
      <c r="U431" s="701"/>
      <c r="V431" s="701"/>
      <c r="W431" s="701"/>
      <c r="X431" s="701"/>
      <c r="Y431" s="701"/>
      <c r="Z431" s="701"/>
    </row>
    <row r="432" customFormat="false" ht="12.75" hidden="false" customHeight="false" outlineLevel="1" collapsed="false">
      <c r="A432" s="70"/>
      <c r="B432" s="684"/>
      <c r="C432" s="684"/>
      <c r="D432" s="684"/>
      <c r="E432" s="684"/>
      <c r="F432" s="701"/>
      <c r="G432" s="701"/>
      <c r="H432" s="701"/>
      <c r="I432" s="701"/>
      <c r="J432" s="701"/>
      <c r="K432" s="701"/>
      <c r="L432" s="701"/>
      <c r="M432" s="701"/>
      <c r="N432" s="701"/>
      <c r="O432" s="701"/>
      <c r="P432" s="701"/>
      <c r="Q432" s="701"/>
      <c r="R432" s="701"/>
      <c r="S432" s="701"/>
      <c r="T432" s="701"/>
      <c r="U432" s="701"/>
      <c r="V432" s="701"/>
      <c r="W432" s="701"/>
      <c r="X432" s="701"/>
      <c r="Y432" s="701"/>
      <c r="Z432" s="701"/>
    </row>
    <row r="433" customFormat="false" ht="12.75" hidden="false" customHeight="false" outlineLevel="1" collapsed="false">
      <c r="A433" s="70"/>
      <c r="B433" s="684"/>
      <c r="C433" s="684"/>
      <c r="D433" s="684"/>
      <c r="E433" s="684"/>
      <c r="F433" s="701"/>
      <c r="G433" s="701"/>
      <c r="H433" s="701"/>
      <c r="I433" s="701"/>
      <c r="J433" s="701"/>
      <c r="K433" s="701"/>
      <c r="L433" s="701"/>
      <c r="M433" s="701"/>
      <c r="N433" s="701"/>
      <c r="O433" s="701"/>
      <c r="P433" s="701"/>
      <c r="Q433" s="701"/>
      <c r="R433" s="701"/>
      <c r="S433" s="701"/>
      <c r="T433" s="701"/>
      <c r="U433" s="701"/>
      <c r="V433" s="701"/>
      <c r="W433" s="701"/>
      <c r="X433" s="701"/>
      <c r="Y433" s="701"/>
      <c r="Z433" s="701"/>
    </row>
    <row r="434" customFormat="false" ht="12.75" hidden="false" customHeight="false" outlineLevel="1" collapsed="false">
      <c r="A434" s="70"/>
      <c r="B434" s="684"/>
      <c r="C434" s="684"/>
      <c r="D434" s="684"/>
      <c r="E434" s="684"/>
      <c r="F434" s="701"/>
      <c r="G434" s="701"/>
      <c r="H434" s="701"/>
      <c r="I434" s="701"/>
      <c r="J434" s="701"/>
      <c r="K434" s="701"/>
      <c r="L434" s="701"/>
      <c r="M434" s="701"/>
      <c r="N434" s="701"/>
      <c r="O434" s="701"/>
      <c r="P434" s="701"/>
      <c r="Q434" s="701"/>
      <c r="R434" s="701"/>
      <c r="S434" s="701"/>
      <c r="T434" s="701"/>
      <c r="U434" s="701"/>
      <c r="V434" s="701"/>
      <c r="W434" s="701"/>
      <c r="X434" s="701"/>
      <c r="Y434" s="701"/>
      <c r="Z434" s="701"/>
    </row>
    <row r="435" customFormat="false" ht="12.75" hidden="false" customHeight="false" outlineLevel="1" collapsed="false">
      <c r="A435" s="70"/>
      <c r="B435" s="684"/>
      <c r="C435" s="684"/>
      <c r="D435" s="684"/>
      <c r="E435" s="684"/>
      <c r="F435" s="701"/>
      <c r="G435" s="701"/>
      <c r="H435" s="701"/>
      <c r="I435" s="701"/>
      <c r="J435" s="701"/>
      <c r="K435" s="701"/>
      <c r="L435" s="701"/>
      <c r="M435" s="701"/>
      <c r="N435" s="701"/>
      <c r="O435" s="701"/>
      <c r="P435" s="701"/>
      <c r="Q435" s="701"/>
      <c r="R435" s="701"/>
      <c r="S435" s="701"/>
      <c r="T435" s="701"/>
      <c r="U435" s="701"/>
      <c r="V435" s="701"/>
      <c r="W435" s="701"/>
      <c r="X435" s="701"/>
      <c r="Y435" s="701"/>
      <c r="Z435" s="701"/>
    </row>
    <row r="436" customFormat="false" ht="12.75" hidden="false" customHeight="false" outlineLevel="1" collapsed="false">
      <c r="A436" s="70"/>
      <c r="B436" s="684"/>
      <c r="C436" s="684"/>
      <c r="D436" s="684"/>
      <c r="E436" s="684"/>
      <c r="F436" s="701"/>
      <c r="G436" s="701"/>
      <c r="H436" s="701"/>
      <c r="I436" s="701"/>
      <c r="J436" s="701"/>
      <c r="K436" s="701"/>
      <c r="L436" s="701"/>
      <c r="M436" s="701"/>
      <c r="N436" s="701"/>
      <c r="O436" s="701"/>
      <c r="P436" s="701"/>
      <c r="Q436" s="701"/>
      <c r="R436" s="701"/>
      <c r="S436" s="701"/>
      <c r="T436" s="701"/>
      <c r="U436" s="701"/>
      <c r="V436" s="701"/>
      <c r="W436" s="701"/>
      <c r="X436" s="701"/>
      <c r="Y436" s="701"/>
      <c r="Z436" s="701"/>
    </row>
    <row r="437" customFormat="false" ht="12.75" hidden="false" customHeight="false" outlineLevel="1" collapsed="false">
      <c r="A437" s="70"/>
      <c r="B437" s="684"/>
      <c r="C437" s="684"/>
      <c r="D437" s="684"/>
      <c r="E437" s="684"/>
      <c r="F437" s="701"/>
      <c r="G437" s="701"/>
      <c r="H437" s="701"/>
      <c r="I437" s="701"/>
      <c r="J437" s="701"/>
      <c r="K437" s="701"/>
      <c r="L437" s="701"/>
      <c r="M437" s="701"/>
      <c r="N437" s="701"/>
      <c r="O437" s="701"/>
      <c r="P437" s="701"/>
      <c r="Q437" s="701"/>
      <c r="R437" s="701"/>
      <c r="S437" s="701"/>
      <c r="T437" s="701"/>
      <c r="U437" s="701"/>
      <c r="V437" s="701"/>
      <c r="W437" s="701"/>
      <c r="X437" s="701"/>
      <c r="Y437" s="701"/>
      <c r="Z437" s="701"/>
    </row>
    <row r="438" customFormat="false" ht="12.75" hidden="false" customHeight="false" outlineLevel="1" collapsed="false">
      <c r="A438" s="70"/>
      <c r="B438" s="684"/>
      <c r="C438" s="684"/>
      <c r="D438" s="684"/>
      <c r="E438" s="684"/>
      <c r="F438" s="701"/>
      <c r="G438" s="701"/>
      <c r="H438" s="701"/>
      <c r="I438" s="701"/>
      <c r="J438" s="701"/>
      <c r="K438" s="701"/>
      <c r="L438" s="701"/>
      <c r="M438" s="701"/>
      <c r="N438" s="701"/>
      <c r="O438" s="701"/>
      <c r="P438" s="701"/>
      <c r="Q438" s="701"/>
      <c r="R438" s="701"/>
      <c r="S438" s="701"/>
      <c r="T438" s="70"/>
      <c r="U438" s="70"/>
      <c r="V438" s="70"/>
      <c r="W438" s="70"/>
      <c r="X438" s="70"/>
      <c r="Y438" s="70"/>
      <c r="Z438" s="70"/>
    </row>
    <row r="439" customFormat="false" ht="12.75" hidden="false" customHeight="false" outlineLevel="1" collapsed="false">
      <c r="A439" s="395"/>
      <c r="B439" s="684"/>
      <c r="C439" s="684"/>
      <c r="D439" s="684"/>
      <c r="E439" s="684"/>
      <c r="F439" s="701"/>
      <c r="G439" s="701"/>
      <c r="H439" s="701"/>
      <c r="I439" s="701"/>
      <c r="J439" s="701"/>
      <c r="K439" s="701"/>
      <c r="L439" s="701"/>
      <c r="M439" s="701"/>
      <c r="N439" s="701"/>
      <c r="O439" s="701"/>
      <c r="P439" s="701"/>
      <c r="Q439" s="701"/>
      <c r="R439" s="701"/>
      <c r="S439" s="701"/>
      <c r="T439" s="70"/>
      <c r="U439" s="70"/>
      <c r="V439" s="70"/>
      <c r="W439" s="70"/>
      <c r="X439" s="70"/>
      <c r="Y439" s="70"/>
      <c r="Z439" s="70"/>
    </row>
    <row r="440" customFormat="false" ht="12.75" hidden="false" customHeight="false" outlineLevel="1" collapsed="false">
      <c r="A440" s="395"/>
      <c r="B440" s="684"/>
      <c r="C440" s="684"/>
      <c r="D440" s="684"/>
      <c r="E440" s="684"/>
      <c r="F440" s="701"/>
      <c r="G440" s="701"/>
      <c r="H440" s="701"/>
      <c r="I440" s="701"/>
      <c r="J440" s="701"/>
      <c r="K440" s="701"/>
      <c r="L440" s="701"/>
      <c r="M440" s="701"/>
      <c r="N440" s="701"/>
      <c r="O440" s="701"/>
      <c r="P440" s="701"/>
      <c r="Q440" s="701"/>
      <c r="R440" s="701"/>
      <c r="S440" s="701"/>
      <c r="T440" s="70"/>
      <c r="U440" s="70"/>
      <c r="V440" s="70"/>
      <c r="W440" s="70"/>
      <c r="X440" s="70"/>
      <c r="Y440" s="70"/>
      <c r="Z440" s="70"/>
    </row>
    <row r="441" customFormat="false" ht="12.75" hidden="false" customHeight="false" outlineLevel="1" collapsed="false">
      <c r="A441" s="395"/>
      <c r="B441" s="684"/>
      <c r="C441" s="684"/>
      <c r="D441" s="684"/>
      <c r="E441" s="684"/>
      <c r="F441" s="701"/>
      <c r="G441" s="701"/>
      <c r="H441" s="701"/>
      <c r="I441" s="701"/>
      <c r="J441" s="701"/>
      <c r="K441" s="701"/>
      <c r="L441" s="701"/>
      <c r="M441" s="701"/>
      <c r="N441" s="701"/>
      <c r="O441" s="701"/>
      <c r="P441" s="701"/>
      <c r="Q441" s="701"/>
      <c r="R441" s="701"/>
      <c r="S441" s="701"/>
      <c r="T441" s="70"/>
      <c r="U441" s="70"/>
      <c r="V441" s="70"/>
      <c r="W441" s="70"/>
      <c r="X441" s="70"/>
      <c r="Y441" s="70"/>
      <c r="Z441" s="70"/>
    </row>
    <row r="442" customFormat="false" ht="12.75" hidden="false" customHeight="false" outlineLevel="1" collapsed="false">
      <c r="A442" s="395"/>
      <c r="B442" s="684"/>
      <c r="C442" s="684"/>
      <c r="D442" s="684"/>
      <c r="E442" s="684"/>
      <c r="F442" s="701"/>
      <c r="G442" s="701"/>
      <c r="H442" s="701"/>
      <c r="I442" s="701"/>
      <c r="J442" s="701"/>
      <c r="K442" s="701"/>
      <c r="L442" s="701"/>
      <c r="M442" s="701"/>
      <c r="N442" s="701"/>
      <c r="O442" s="701"/>
      <c r="P442" s="701"/>
      <c r="Q442" s="701"/>
      <c r="R442" s="701"/>
      <c r="S442" s="701"/>
      <c r="T442" s="70"/>
      <c r="U442" s="70"/>
      <c r="V442" s="70"/>
      <c r="W442" s="70"/>
      <c r="X442" s="70"/>
      <c r="Y442" s="70"/>
      <c r="Z442" s="70"/>
    </row>
    <row r="443" customFormat="false" ht="12.75" hidden="false" customHeight="false" outlineLevel="1" collapsed="false">
      <c r="A443" s="395"/>
      <c r="B443" s="684"/>
      <c r="C443" s="684"/>
      <c r="D443" s="684"/>
      <c r="E443" s="684"/>
      <c r="F443" s="702"/>
      <c r="G443" s="702"/>
      <c r="H443" s="102"/>
      <c r="I443" s="102"/>
      <c r="J443" s="102"/>
      <c r="K443" s="102"/>
      <c r="L443" s="102"/>
      <c r="M443" s="102"/>
      <c r="N443" s="102"/>
      <c r="O443" s="102"/>
      <c r="P443" s="102"/>
      <c r="Q443" s="102"/>
      <c r="R443" s="102"/>
      <c r="S443" s="102"/>
      <c r="T443" s="70"/>
      <c r="U443" s="70"/>
      <c r="V443" s="70"/>
      <c r="W443" s="70"/>
      <c r="X443" s="70"/>
      <c r="Y443" s="70"/>
      <c r="Z443" s="70"/>
    </row>
    <row r="444" customFormat="false" ht="12.75" hidden="false" customHeight="false" outlineLevel="1" collapsed="false">
      <c r="A444" s="70"/>
      <c r="B444" s="70"/>
      <c r="C444" s="70"/>
      <c r="D444" s="70"/>
      <c r="E444" s="70"/>
      <c r="F444" s="70"/>
      <c r="G444" s="70"/>
      <c r="H444" s="70"/>
      <c r="I444" s="70"/>
      <c r="J444" s="70"/>
      <c r="K444" s="70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  <c r="Y444" s="70"/>
      <c r="Z444" s="70"/>
    </row>
    <row r="445" customFormat="false" ht="18.75" hidden="false" customHeight="false" outlineLevel="1" collapsed="false">
      <c r="A445" s="682"/>
      <c r="B445" s="70"/>
      <c r="C445" s="70"/>
      <c r="D445" s="70"/>
      <c r="E445" s="70"/>
      <c r="F445" s="70"/>
      <c r="G445" s="70"/>
      <c r="H445" s="70"/>
      <c r="I445" s="70"/>
      <c r="J445" s="70"/>
      <c r="K445" s="70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  <c r="Y445" s="70"/>
      <c r="Z445" s="70"/>
    </row>
    <row r="446" customFormat="false" ht="12.75" hidden="false" customHeight="false" outlineLevel="1" collapsed="false">
      <c r="A446" s="395"/>
      <c r="B446" s="70"/>
      <c r="C446" s="70"/>
      <c r="D446" s="70"/>
      <c r="E446" s="70"/>
      <c r="F446" s="70"/>
      <c r="G446" s="70"/>
      <c r="H446" s="70"/>
      <c r="I446" s="70"/>
      <c r="J446" s="70"/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  <c r="Z446" s="70"/>
    </row>
    <row r="447" customFormat="false" ht="12.75" hidden="false" customHeight="false" outlineLevel="1" collapsed="false">
      <c r="A447" s="70"/>
      <c r="B447" s="70"/>
      <c r="C447" s="70"/>
      <c r="D447" s="70"/>
      <c r="E447" s="70"/>
      <c r="F447" s="70"/>
      <c r="G447" s="70"/>
      <c r="H447" s="70"/>
      <c r="I447" s="70"/>
      <c r="J447" s="70"/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  <c r="Z447" s="70"/>
    </row>
    <row r="448" customFormat="false" ht="12.75" hidden="false" customHeight="false" outlineLevel="1" collapsed="false">
      <c r="A448" s="70"/>
      <c r="B448" s="70"/>
      <c r="C448" s="70"/>
      <c r="D448" s="70"/>
      <c r="E448" s="70"/>
      <c r="F448" s="70"/>
      <c r="G448" s="70"/>
      <c r="H448" s="70"/>
      <c r="I448" s="70"/>
      <c r="J448" s="70"/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  <c r="Z448" s="70"/>
    </row>
    <row r="449" customFormat="false" ht="12.75" hidden="false" customHeight="false" outlineLevel="1" collapsed="false">
      <c r="A449" s="322"/>
      <c r="B449" s="321"/>
      <c r="C449" s="321"/>
      <c r="D449" s="321"/>
      <c r="E449" s="321"/>
      <c r="F449" s="321"/>
      <c r="G449" s="321"/>
      <c r="H449" s="321"/>
      <c r="I449" s="321"/>
      <c r="J449" s="321"/>
      <c r="K449" s="321"/>
      <c r="L449" s="321"/>
      <c r="M449" s="321"/>
      <c r="N449" s="321"/>
      <c r="O449" s="321"/>
      <c r="P449" s="321"/>
      <c r="Q449" s="321"/>
      <c r="R449" s="321"/>
      <c r="S449" s="321"/>
      <c r="T449" s="321"/>
      <c r="U449" s="321"/>
      <c r="V449" s="321"/>
      <c r="W449" s="321"/>
      <c r="X449" s="321"/>
      <c r="Y449" s="321"/>
      <c r="Z449" s="321"/>
    </row>
    <row r="450" customFormat="false" ht="12.75" hidden="false" customHeight="false" outlineLevel="1" collapsed="false">
      <c r="A450" s="70"/>
      <c r="B450" s="70"/>
      <c r="C450" s="70"/>
      <c r="D450" s="70"/>
      <c r="E450" s="70"/>
      <c r="F450" s="70"/>
      <c r="G450" s="70"/>
      <c r="H450" s="674"/>
      <c r="I450" s="70"/>
      <c r="J450" s="70"/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  <c r="Z450" s="70"/>
    </row>
    <row r="451" customFormat="false" ht="12.75" hidden="false" customHeight="false" outlineLevel="1" collapsed="false">
      <c r="A451" s="395"/>
      <c r="B451" s="70"/>
      <c r="C451" s="70"/>
      <c r="D451" s="70"/>
      <c r="E451" s="70"/>
      <c r="F451" s="70"/>
      <c r="G451" s="70"/>
      <c r="H451" s="674"/>
      <c r="I451" s="686"/>
      <c r="J451" s="686"/>
      <c r="K451" s="686"/>
      <c r="L451" s="686"/>
      <c r="M451" s="686"/>
      <c r="N451" s="686"/>
      <c r="O451" s="686"/>
      <c r="P451" s="686"/>
      <c r="Q451" s="686"/>
      <c r="R451" s="686"/>
      <c r="S451" s="686"/>
      <c r="T451" s="70"/>
      <c r="U451" s="70"/>
      <c r="V451" s="70"/>
      <c r="W451" s="70"/>
      <c r="X451" s="70"/>
      <c r="Y451" s="70"/>
      <c r="Z451" s="70"/>
    </row>
    <row r="452" customFormat="false" ht="12.75" hidden="false" customHeight="false" outlineLevel="1" collapsed="false">
      <c r="A452" s="70"/>
      <c r="B452" s="70"/>
      <c r="C452" s="70"/>
      <c r="D452" s="70"/>
      <c r="E452" s="70"/>
      <c r="F452" s="70"/>
      <c r="G452" s="70"/>
      <c r="H452" s="674"/>
      <c r="I452" s="674"/>
      <c r="J452" s="674"/>
      <c r="K452" s="674"/>
      <c r="L452" s="674"/>
      <c r="M452" s="674"/>
      <c r="N452" s="674"/>
      <c r="O452" s="674"/>
      <c r="P452" s="674"/>
      <c r="Q452" s="674"/>
      <c r="R452" s="674"/>
      <c r="S452" s="674"/>
      <c r="T452" s="70"/>
      <c r="U452" s="70"/>
      <c r="V452" s="70"/>
      <c r="W452" s="70"/>
      <c r="X452" s="70"/>
      <c r="Y452" s="70"/>
      <c r="Z452" s="70"/>
    </row>
    <row r="453" customFormat="false" ht="12.75" hidden="false" customHeight="false" outlineLevel="1" collapsed="false">
      <c r="A453" s="70"/>
      <c r="B453" s="70"/>
      <c r="C453" s="70"/>
      <c r="D453" s="70"/>
      <c r="E453" s="70"/>
      <c r="F453" s="70"/>
      <c r="G453" s="70"/>
      <c r="H453" s="674"/>
      <c r="I453" s="686"/>
      <c r="J453" s="686"/>
      <c r="K453" s="686"/>
      <c r="L453" s="686"/>
      <c r="M453" s="686"/>
      <c r="N453" s="686"/>
      <c r="O453" s="686"/>
      <c r="P453" s="686"/>
      <c r="Q453" s="686"/>
      <c r="R453" s="686"/>
      <c r="S453" s="686"/>
      <c r="T453" s="70"/>
      <c r="U453" s="70"/>
      <c r="V453" s="70"/>
      <c r="W453" s="70"/>
      <c r="X453" s="70"/>
      <c r="Y453" s="70"/>
      <c r="Z453" s="70"/>
    </row>
    <row r="454" customFormat="false" ht="12.75" hidden="false" customHeight="false" outlineLevel="1" collapsed="false">
      <c r="A454" s="70"/>
      <c r="B454" s="70"/>
      <c r="C454" s="70"/>
      <c r="D454" s="70"/>
      <c r="E454" s="70"/>
      <c r="F454" s="70"/>
      <c r="G454" s="70"/>
      <c r="H454" s="674"/>
      <c r="I454" s="674"/>
      <c r="J454" s="674"/>
      <c r="K454" s="674"/>
      <c r="L454" s="674"/>
      <c r="M454" s="674"/>
      <c r="N454" s="674"/>
      <c r="O454" s="674"/>
      <c r="P454" s="674"/>
      <c r="Q454" s="674"/>
      <c r="R454" s="674"/>
      <c r="S454" s="674"/>
      <c r="T454" s="70"/>
      <c r="U454" s="70"/>
      <c r="V454" s="70"/>
      <c r="W454" s="70"/>
      <c r="X454" s="70"/>
      <c r="Y454" s="70"/>
      <c r="Z454" s="70"/>
    </row>
    <row r="455" customFormat="false" ht="12.75" hidden="false" customHeight="false" outlineLevel="1" collapsed="false">
      <c r="A455" s="70"/>
      <c r="B455" s="70"/>
      <c r="C455" s="70"/>
      <c r="D455" s="70"/>
      <c r="E455" s="70"/>
      <c r="F455" s="70"/>
      <c r="G455" s="70"/>
      <c r="H455" s="674"/>
      <c r="I455" s="674"/>
      <c r="J455" s="674"/>
      <c r="K455" s="674"/>
      <c r="L455" s="674"/>
      <c r="M455" s="674"/>
      <c r="N455" s="674"/>
      <c r="O455" s="674"/>
      <c r="P455" s="674"/>
      <c r="Q455" s="674"/>
      <c r="R455" s="674"/>
      <c r="S455" s="674"/>
      <c r="T455" s="70"/>
      <c r="U455" s="70"/>
      <c r="V455" s="70"/>
      <c r="W455" s="70"/>
      <c r="X455" s="70"/>
      <c r="Y455" s="70"/>
      <c r="Z455" s="70"/>
    </row>
    <row r="456" customFormat="false" ht="12.75" hidden="false" customHeight="false" outlineLevel="1" collapsed="false">
      <c r="A456" s="695"/>
      <c r="B456" s="70"/>
      <c r="C456" s="70"/>
      <c r="D456" s="70"/>
      <c r="E456" s="70"/>
      <c r="F456" s="70"/>
      <c r="G456" s="70"/>
      <c r="H456" s="674"/>
      <c r="I456" s="102"/>
      <c r="J456" s="102"/>
      <c r="K456" s="102"/>
      <c r="L456" s="102"/>
      <c r="M456" s="102"/>
      <c r="N456" s="102"/>
      <c r="O456" s="102"/>
      <c r="P456" s="102"/>
      <c r="Q456" s="102"/>
      <c r="R456" s="102"/>
      <c r="S456" s="102"/>
      <c r="T456" s="70"/>
      <c r="U456" s="70"/>
      <c r="V456" s="70"/>
      <c r="W456" s="70"/>
      <c r="X456" s="70"/>
      <c r="Y456" s="70"/>
      <c r="Z456" s="70"/>
    </row>
    <row r="457" customFormat="false" ht="12.75" hidden="false" customHeight="false" outlineLevel="1" collapsed="false">
      <c r="A457" s="695"/>
      <c r="B457" s="70"/>
      <c r="C457" s="70"/>
      <c r="D457" s="70"/>
      <c r="E457" s="70"/>
      <c r="F457" s="70"/>
      <c r="G457" s="70"/>
      <c r="H457" s="674"/>
      <c r="I457" s="102"/>
      <c r="J457" s="102"/>
      <c r="K457" s="102"/>
      <c r="L457" s="102"/>
      <c r="M457" s="102"/>
      <c r="N457" s="102"/>
      <c r="O457" s="102"/>
      <c r="P457" s="102"/>
      <c r="Q457" s="102"/>
      <c r="R457" s="102"/>
      <c r="S457" s="102"/>
      <c r="T457" s="70"/>
      <c r="U457" s="70"/>
      <c r="V457" s="70"/>
      <c r="W457" s="70"/>
      <c r="X457" s="70"/>
      <c r="Y457" s="70"/>
      <c r="Z457" s="70"/>
    </row>
    <row r="458" customFormat="false" ht="12.75" hidden="false" customHeight="false" outlineLevel="1" collapsed="false">
      <c r="A458" s="395"/>
      <c r="B458" s="70"/>
      <c r="C458" s="70"/>
      <c r="D458" s="70"/>
      <c r="E458" s="70"/>
      <c r="F458" s="70"/>
      <c r="G458" s="70"/>
      <c r="H458" s="674"/>
      <c r="I458" s="70"/>
      <c r="J458" s="70"/>
      <c r="K458" s="70"/>
      <c r="L458" s="70"/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70"/>
      <c r="X458" s="70"/>
      <c r="Y458" s="70"/>
      <c r="Z458" s="70"/>
    </row>
    <row r="459" customFormat="false" ht="12.75" hidden="false" customHeight="false" outlineLevel="1" collapsed="false">
      <c r="A459" s="70"/>
      <c r="B459" s="70"/>
      <c r="C459" s="70"/>
      <c r="D459" s="70"/>
      <c r="E459" s="702"/>
      <c r="F459" s="702"/>
      <c r="G459" s="702"/>
      <c r="H459" s="703"/>
      <c r="I459" s="703"/>
      <c r="J459" s="703"/>
      <c r="K459" s="703"/>
      <c r="L459" s="703"/>
      <c r="M459" s="703"/>
      <c r="N459" s="703"/>
      <c r="O459" s="703"/>
      <c r="P459" s="703"/>
      <c r="Q459" s="703"/>
      <c r="R459" s="703"/>
      <c r="S459" s="703"/>
      <c r="T459" s="70"/>
      <c r="U459" s="70"/>
      <c r="V459" s="70"/>
      <c r="W459" s="70"/>
      <c r="X459" s="70"/>
      <c r="Y459" s="70"/>
      <c r="Z459" s="70"/>
    </row>
    <row r="460" customFormat="false" ht="12.75" hidden="false" customHeight="false" outlineLevel="1" collapsed="false">
      <c r="A460" s="70"/>
      <c r="B460" s="70"/>
      <c r="C460" s="70"/>
      <c r="D460" s="70"/>
      <c r="E460" s="70"/>
      <c r="F460" s="70"/>
      <c r="G460" s="70"/>
      <c r="H460" s="674"/>
      <c r="I460" s="70"/>
      <c r="J460" s="70"/>
      <c r="K460" s="70"/>
      <c r="L460" s="70"/>
      <c r="M460" s="70"/>
      <c r="N460" s="70"/>
      <c r="O460" s="70"/>
      <c r="P460" s="70"/>
      <c r="Q460" s="70"/>
      <c r="R460" s="70"/>
      <c r="S460" s="70"/>
      <c r="T460" s="70"/>
      <c r="U460" s="70"/>
      <c r="V460" s="70"/>
      <c r="W460" s="70"/>
      <c r="X460" s="70"/>
      <c r="Y460" s="70"/>
      <c r="Z460" s="70"/>
    </row>
    <row r="461" customFormat="false" ht="12.75" hidden="false" customHeight="false" outlineLevel="1" collapsed="false">
      <c r="A461" s="395"/>
      <c r="B461" s="70"/>
      <c r="C461" s="70"/>
      <c r="D461" s="70"/>
      <c r="E461" s="70"/>
      <c r="F461" s="70"/>
      <c r="G461" s="70"/>
      <c r="H461" s="674"/>
      <c r="I461" s="399"/>
      <c r="J461" s="399"/>
      <c r="K461" s="399"/>
      <c r="L461" s="399"/>
      <c r="M461" s="399"/>
      <c r="N461" s="399"/>
      <c r="O461" s="399"/>
      <c r="P461" s="399"/>
      <c r="Q461" s="399"/>
      <c r="R461" s="399"/>
      <c r="S461" s="399"/>
      <c r="T461" s="70"/>
      <c r="U461" s="70"/>
      <c r="V461" s="70"/>
      <c r="W461" s="70"/>
      <c r="X461" s="70"/>
      <c r="Y461" s="70"/>
      <c r="Z461" s="70"/>
    </row>
    <row r="462" customFormat="false" ht="12.75" hidden="false" customHeight="false" outlineLevel="1" collapsed="false">
      <c r="A462" s="70"/>
      <c r="B462" s="704"/>
      <c r="C462" s="704"/>
      <c r="D462" s="704"/>
      <c r="E462" s="70"/>
      <c r="F462" s="70"/>
      <c r="G462" s="70"/>
      <c r="H462" s="674"/>
      <c r="I462" s="102"/>
      <c r="J462" s="102"/>
      <c r="K462" s="102"/>
      <c r="L462" s="102"/>
      <c r="M462" s="102"/>
      <c r="N462" s="102"/>
      <c r="O462" s="102"/>
      <c r="P462" s="102"/>
      <c r="Q462" s="102"/>
      <c r="R462" s="102"/>
      <c r="S462" s="102"/>
      <c r="T462" s="70"/>
      <c r="U462" s="70"/>
      <c r="V462" s="70"/>
      <c r="W462" s="70"/>
      <c r="X462" s="70"/>
      <c r="Y462" s="70"/>
      <c r="Z462" s="70"/>
    </row>
    <row r="463" customFormat="false" ht="12.75" hidden="false" customHeight="false" outlineLevel="1" collapsed="false">
      <c r="A463" s="395"/>
      <c r="B463" s="70"/>
      <c r="C463" s="70"/>
      <c r="D463" s="70"/>
      <c r="E463" s="70"/>
      <c r="F463" s="70"/>
      <c r="G463" s="70"/>
      <c r="H463" s="674"/>
      <c r="I463" s="102"/>
      <c r="J463" s="102"/>
      <c r="K463" s="102"/>
      <c r="L463" s="102"/>
      <c r="M463" s="102"/>
      <c r="N463" s="102"/>
      <c r="O463" s="102"/>
      <c r="P463" s="102"/>
      <c r="Q463" s="102"/>
      <c r="R463" s="102"/>
      <c r="S463" s="102"/>
      <c r="T463" s="70"/>
      <c r="U463" s="70"/>
      <c r="V463" s="70"/>
      <c r="W463" s="70"/>
      <c r="X463" s="70"/>
      <c r="Y463" s="70"/>
      <c r="Z463" s="70"/>
    </row>
    <row r="464" customFormat="false" ht="12.75" hidden="false" customHeight="false" outlineLevel="1" collapsed="false">
      <c r="A464" s="70"/>
      <c r="B464" s="70"/>
      <c r="C464" s="70"/>
      <c r="D464" s="70"/>
      <c r="E464" s="70"/>
      <c r="F464" s="70"/>
      <c r="G464" s="70"/>
      <c r="H464" s="70"/>
      <c r="I464" s="70"/>
      <c r="J464" s="70"/>
      <c r="K464" s="70"/>
      <c r="L464" s="70"/>
      <c r="M464" s="70"/>
      <c r="N464" s="70"/>
      <c r="O464" s="70"/>
      <c r="P464" s="70"/>
      <c r="Q464" s="70"/>
      <c r="R464" s="70"/>
      <c r="S464" s="70"/>
      <c r="T464" s="70"/>
      <c r="U464" s="70"/>
      <c r="V464" s="70"/>
      <c r="W464" s="70"/>
      <c r="X464" s="70"/>
      <c r="Y464" s="70"/>
      <c r="Z464" s="70"/>
    </row>
    <row r="465" customFormat="false" ht="12.75" hidden="false" customHeight="false" outlineLevel="1" collapsed="false">
      <c r="A465" s="70"/>
      <c r="B465" s="70"/>
      <c r="C465" s="70"/>
      <c r="D465" s="70"/>
      <c r="E465" s="70"/>
      <c r="F465" s="70"/>
      <c r="G465" s="70"/>
      <c r="H465" s="70"/>
      <c r="I465" s="70"/>
      <c r="J465" s="70"/>
      <c r="K465" s="70"/>
      <c r="L465" s="70"/>
      <c r="M465" s="70"/>
      <c r="N465" s="70"/>
      <c r="O465" s="70"/>
      <c r="P465" s="70"/>
      <c r="Q465" s="70"/>
      <c r="R465" s="70"/>
      <c r="S465" s="70"/>
      <c r="T465" s="70"/>
      <c r="U465" s="70"/>
      <c r="V465" s="70"/>
      <c r="W465" s="70"/>
      <c r="X465" s="70"/>
      <c r="Y465" s="70"/>
      <c r="Z465" s="70"/>
    </row>
    <row r="466" customFormat="false" ht="18.75" hidden="false" customHeight="false" outlineLevel="1" collapsed="false">
      <c r="A466" s="705"/>
      <c r="B466" s="706"/>
      <c r="C466" s="706"/>
      <c r="D466" s="706"/>
      <c r="E466" s="706"/>
      <c r="F466" s="706"/>
      <c r="G466" s="706"/>
      <c r="H466" s="706"/>
      <c r="I466" s="707"/>
      <c r="J466" s="707"/>
      <c r="K466" s="707"/>
      <c r="L466" s="707"/>
      <c r="M466" s="707"/>
      <c r="N466" s="707"/>
      <c r="O466" s="707"/>
      <c r="P466" s="707"/>
      <c r="Q466" s="707"/>
      <c r="R466" s="707"/>
      <c r="S466" s="707"/>
      <c r="T466" s="707"/>
      <c r="U466" s="707"/>
      <c r="V466" s="707"/>
      <c r="W466" s="707"/>
      <c r="X466" s="707"/>
      <c r="Y466" s="707"/>
      <c r="Z466" s="707"/>
      <c r="AA466" s="707"/>
      <c r="AB466" s="707"/>
      <c r="AC466" s="707"/>
      <c r="AD466" s="707"/>
      <c r="AE466" s="707"/>
      <c r="AF466" s="707"/>
      <c r="AG466" s="707"/>
      <c r="AH466" s="707"/>
      <c r="AI466" s="707"/>
      <c r="AJ466" s="707"/>
      <c r="AK466" s="707"/>
      <c r="AL466" s="707"/>
      <c r="AM466" s="707"/>
      <c r="AN466" s="707"/>
      <c r="AO466" s="707"/>
      <c r="AP466" s="707"/>
      <c r="AQ466" s="707"/>
      <c r="AR466" s="707"/>
      <c r="AS466" s="707"/>
      <c r="AT466" s="707"/>
      <c r="AU466" s="707"/>
      <c r="AV466" s="707"/>
      <c r="AW466" s="707"/>
      <c r="AX466" s="707"/>
      <c r="AY466" s="707"/>
      <c r="AZ466" s="707"/>
      <c r="BA466" s="707"/>
      <c r="BB466" s="707"/>
      <c r="BC466" s="707"/>
      <c r="BD466" s="707"/>
      <c r="BE466" s="707"/>
      <c r="BF466" s="707"/>
      <c r="BG466" s="707"/>
      <c r="BH466" s="707"/>
      <c r="BI466" s="707"/>
      <c r="BJ466" s="707"/>
      <c r="BK466" s="707"/>
      <c r="BL466" s="707"/>
      <c r="BM466" s="707"/>
      <c r="BN466" s="707"/>
      <c r="BO466" s="707"/>
      <c r="BP466" s="707"/>
      <c r="BQ466" s="707"/>
      <c r="BR466" s="707"/>
      <c r="BS466" s="707"/>
      <c r="BT466" s="707"/>
      <c r="BU466" s="707"/>
      <c r="BV466" s="707"/>
      <c r="BW466" s="707"/>
      <c r="BX466" s="707"/>
      <c r="BY466" s="707"/>
      <c r="BZ466" s="707"/>
      <c r="CA466" s="707"/>
      <c r="CB466" s="707"/>
      <c r="CC466" s="707"/>
      <c r="CD466" s="707"/>
      <c r="CE466" s="707"/>
      <c r="CF466" s="707"/>
      <c r="CG466" s="707"/>
      <c r="CH466" s="707"/>
      <c r="CI466" s="707"/>
      <c r="CJ466" s="707"/>
      <c r="CK466" s="707"/>
      <c r="CL466" s="707"/>
      <c r="CM466" s="707"/>
      <c r="CN466" s="707"/>
      <c r="CO466" s="707"/>
      <c r="CP466" s="707"/>
      <c r="CQ466" s="707"/>
      <c r="CR466" s="707"/>
      <c r="CS466" s="707"/>
      <c r="CT466" s="707"/>
      <c r="CU466" s="707"/>
      <c r="CV466" s="707"/>
      <c r="CW466" s="707"/>
      <c r="CX466" s="707"/>
      <c r="CY466" s="707"/>
      <c r="CZ466" s="707"/>
      <c r="DA466" s="707"/>
      <c r="DB466" s="707"/>
      <c r="DC466" s="707"/>
      <c r="DD466" s="707"/>
      <c r="DE466" s="707"/>
      <c r="DF466" s="707"/>
      <c r="DG466" s="707"/>
      <c r="DH466" s="707"/>
      <c r="DI466" s="707"/>
      <c r="DJ466" s="707"/>
      <c r="DK466" s="707"/>
      <c r="DL466" s="707"/>
      <c r="DM466" s="707"/>
      <c r="DN466" s="707"/>
      <c r="DO466" s="707"/>
      <c r="DP466" s="707"/>
      <c r="DQ466" s="707"/>
      <c r="DR466" s="707"/>
      <c r="DS466" s="707"/>
      <c r="DT466" s="707"/>
      <c r="DU466" s="707"/>
      <c r="DV466" s="707"/>
      <c r="DW466" s="707"/>
      <c r="DX466" s="707"/>
      <c r="DY466" s="707"/>
      <c r="DZ466" s="707"/>
      <c r="EA466" s="707"/>
      <c r="EB466" s="707"/>
      <c r="EC466" s="707"/>
      <c r="ED466" s="707"/>
      <c r="EE466" s="707"/>
      <c r="EF466" s="707"/>
      <c r="EG466" s="707"/>
      <c r="EH466" s="707"/>
      <c r="EI466" s="707"/>
      <c r="EJ466" s="707"/>
      <c r="EK466" s="707"/>
      <c r="EL466" s="707"/>
      <c r="EM466" s="707"/>
      <c r="EN466" s="707"/>
      <c r="EO466" s="707"/>
      <c r="EP466" s="707"/>
      <c r="EQ466" s="707"/>
      <c r="ER466" s="707"/>
      <c r="ES466" s="707"/>
      <c r="ET466" s="707"/>
      <c r="EU466" s="707"/>
      <c r="EV466" s="707"/>
      <c r="EW466" s="707"/>
      <c r="EX466" s="707"/>
      <c r="EY466" s="707"/>
      <c r="EZ466" s="707"/>
      <c r="FA466" s="707"/>
      <c r="FB466" s="707"/>
      <c r="FC466" s="707"/>
      <c r="FD466" s="707"/>
      <c r="FE466" s="707"/>
      <c r="FF466" s="707"/>
      <c r="FG466" s="707"/>
      <c r="FH466" s="707"/>
      <c r="FI466" s="707"/>
      <c r="FJ466" s="707"/>
      <c r="FK466" s="707"/>
      <c r="FL466" s="707"/>
      <c r="FM466" s="707"/>
      <c r="FN466" s="707"/>
      <c r="FO466" s="707"/>
      <c r="FP466" s="707"/>
      <c r="FQ466" s="707"/>
      <c r="FR466" s="707"/>
      <c r="FS466" s="707"/>
      <c r="FT466" s="707"/>
      <c r="FU466" s="707"/>
      <c r="FV466" s="707"/>
      <c r="FW466" s="707"/>
      <c r="FX466" s="707"/>
      <c r="FY466" s="707"/>
      <c r="FZ466" s="707"/>
      <c r="GA466" s="707"/>
      <c r="GB466" s="707"/>
      <c r="GC466" s="707"/>
      <c r="GD466" s="707"/>
      <c r="GE466" s="707"/>
      <c r="GF466" s="707"/>
      <c r="GG466" s="707"/>
      <c r="GH466" s="707"/>
      <c r="GI466" s="707"/>
      <c r="GJ466" s="707"/>
      <c r="GK466" s="707"/>
      <c r="GL466" s="707"/>
      <c r="GM466" s="707"/>
      <c r="GN466" s="707"/>
      <c r="GO466" s="707"/>
      <c r="GP466" s="707"/>
      <c r="GQ466" s="707"/>
      <c r="GR466" s="707"/>
      <c r="GS466" s="707"/>
      <c r="GT466" s="707"/>
      <c r="GU466" s="707"/>
      <c r="GV466" s="707"/>
      <c r="GW466" s="707"/>
      <c r="GX466" s="707"/>
      <c r="GY466" s="707"/>
      <c r="GZ466" s="707"/>
      <c r="HA466" s="707"/>
      <c r="HB466" s="707"/>
      <c r="HC466" s="707"/>
      <c r="HD466" s="707"/>
      <c r="HE466" s="707"/>
      <c r="HF466" s="707"/>
      <c r="HG466" s="707"/>
      <c r="HH466" s="707"/>
      <c r="HI466" s="707"/>
      <c r="HJ466" s="707"/>
      <c r="HK466" s="707"/>
      <c r="HL466" s="707"/>
      <c r="HM466" s="707"/>
      <c r="HN466" s="707"/>
      <c r="HO466" s="707"/>
      <c r="HP466" s="707"/>
      <c r="HQ466" s="707"/>
      <c r="HR466" s="707"/>
      <c r="HS466" s="707"/>
      <c r="HT466" s="707"/>
      <c r="HU466" s="707"/>
      <c r="HV466" s="707"/>
      <c r="HW466" s="707"/>
      <c r="HX466" s="707"/>
      <c r="HY466" s="707"/>
      <c r="HZ466" s="707"/>
      <c r="IA466" s="707"/>
      <c r="IB466" s="707"/>
      <c r="IC466" s="707"/>
      <c r="ID466" s="707"/>
      <c r="IE466" s="707"/>
      <c r="IF466" s="707"/>
      <c r="IG466" s="707"/>
      <c r="IH466" s="707"/>
      <c r="II466" s="707"/>
      <c r="IJ466" s="707"/>
      <c r="IK466" s="707"/>
      <c r="IL466" s="707"/>
      <c r="IM466" s="707"/>
      <c r="IN466" s="707"/>
      <c r="IO466" s="707"/>
      <c r="IP466" s="707"/>
      <c r="IQ466" s="707"/>
      <c r="IR466" s="707"/>
      <c r="IS466" s="707"/>
      <c r="IT466" s="707"/>
      <c r="IU466" s="707"/>
      <c r="IV466" s="707"/>
      <c r="IW466" s="707"/>
    </row>
    <row r="467" customFormat="false" ht="12.75" hidden="false" customHeight="false" outlineLevel="1" collapsed="false">
      <c r="A467" s="706"/>
      <c r="B467" s="706"/>
      <c r="C467" s="706"/>
      <c r="D467" s="706"/>
      <c r="E467" s="706"/>
      <c r="F467" s="706"/>
      <c r="G467" s="708"/>
      <c r="H467" s="709"/>
      <c r="I467" s="706"/>
      <c r="J467" s="710"/>
      <c r="K467" s="707"/>
      <c r="L467" s="707"/>
      <c r="M467" s="707"/>
      <c r="N467" s="707"/>
      <c r="O467" s="707"/>
      <c r="P467" s="707"/>
      <c r="Q467" s="707"/>
      <c r="R467" s="707"/>
      <c r="S467" s="707"/>
      <c r="T467" s="707"/>
      <c r="U467" s="707"/>
      <c r="V467" s="707"/>
      <c r="W467" s="707"/>
      <c r="X467" s="707"/>
      <c r="Y467" s="707"/>
      <c r="Z467" s="707"/>
      <c r="AA467" s="707"/>
      <c r="AB467" s="707"/>
      <c r="AC467" s="707"/>
      <c r="AD467" s="707"/>
      <c r="AE467" s="707"/>
      <c r="AF467" s="707"/>
      <c r="AG467" s="707"/>
      <c r="AH467" s="707"/>
      <c r="AI467" s="707"/>
      <c r="AJ467" s="707"/>
      <c r="AK467" s="707"/>
      <c r="AL467" s="707"/>
      <c r="AM467" s="707"/>
      <c r="AN467" s="707"/>
      <c r="AO467" s="707"/>
      <c r="AP467" s="707"/>
      <c r="AQ467" s="707"/>
      <c r="AR467" s="707"/>
      <c r="AS467" s="707"/>
      <c r="AT467" s="707"/>
      <c r="AU467" s="707"/>
      <c r="AV467" s="707"/>
      <c r="AW467" s="707"/>
      <c r="AX467" s="707"/>
      <c r="AY467" s="707"/>
      <c r="AZ467" s="707"/>
      <c r="BA467" s="707"/>
      <c r="BB467" s="707"/>
      <c r="BC467" s="707"/>
      <c r="BD467" s="707"/>
      <c r="BE467" s="707"/>
      <c r="BF467" s="707"/>
      <c r="BG467" s="707"/>
      <c r="BH467" s="707"/>
      <c r="BI467" s="707"/>
      <c r="BJ467" s="707"/>
      <c r="BK467" s="707"/>
      <c r="BL467" s="707"/>
      <c r="BM467" s="707"/>
      <c r="BN467" s="707"/>
      <c r="BO467" s="707"/>
      <c r="BP467" s="707"/>
      <c r="BQ467" s="707"/>
      <c r="BR467" s="707"/>
      <c r="BS467" s="707"/>
      <c r="BT467" s="707"/>
      <c r="BU467" s="707"/>
      <c r="BV467" s="707"/>
      <c r="BW467" s="707"/>
      <c r="BX467" s="707"/>
      <c r="BY467" s="707"/>
      <c r="BZ467" s="707"/>
      <c r="CA467" s="707"/>
      <c r="CB467" s="707"/>
      <c r="CC467" s="707"/>
      <c r="CD467" s="707"/>
      <c r="CE467" s="707"/>
      <c r="CF467" s="707"/>
      <c r="CG467" s="707"/>
      <c r="CH467" s="707"/>
      <c r="CI467" s="707"/>
      <c r="CJ467" s="707"/>
      <c r="CK467" s="707"/>
      <c r="CL467" s="707"/>
      <c r="CM467" s="707"/>
      <c r="CN467" s="707"/>
      <c r="CO467" s="707"/>
      <c r="CP467" s="707"/>
      <c r="CQ467" s="707"/>
      <c r="CR467" s="707"/>
      <c r="CS467" s="707"/>
      <c r="CT467" s="707"/>
      <c r="CU467" s="707"/>
      <c r="CV467" s="707"/>
      <c r="CW467" s="707"/>
      <c r="CX467" s="707"/>
      <c r="CY467" s="707"/>
      <c r="CZ467" s="707"/>
      <c r="DA467" s="707"/>
      <c r="DB467" s="707"/>
      <c r="DC467" s="707"/>
      <c r="DD467" s="707"/>
      <c r="DE467" s="707"/>
      <c r="DF467" s="707"/>
      <c r="DG467" s="707"/>
      <c r="DH467" s="707"/>
      <c r="DI467" s="707"/>
      <c r="DJ467" s="707"/>
      <c r="DK467" s="707"/>
      <c r="DL467" s="707"/>
      <c r="DM467" s="707"/>
      <c r="DN467" s="707"/>
      <c r="DO467" s="707"/>
      <c r="DP467" s="707"/>
      <c r="DQ467" s="707"/>
      <c r="DR467" s="707"/>
      <c r="DS467" s="707"/>
      <c r="DT467" s="707"/>
      <c r="DU467" s="707"/>
      <c r="DV467" s="707"/>
      <c r="DW467" s="707"/>
      <c r="DX467" s="707"/>
      <c r="DY467" s="707"/>
      <c r="DZ467" s="707"/>
      <c r="EA467" s="707"/>
      <c r="EB467" s="707"/>
      <c r="EC467" s="707"/>
      <c r="ED467" s="707"/>
      <c r="EE467" s="707"/>
      <c r="EF467" s="707"/>
      <c r="EG467" s="707"/>
      <c r="EH467" s="707"/>
      <c r="EI467" s="707"/>
      <c r="EJ467" s="707"/>
      <c r="EK467" s="707"/>
      <c r="EL467" s="707"/>
      <c r="EM467" s="707"/>
      <c r="EN467" s="707"/>
      <c r="EO467" s="707"/>
      <c r="EP467" s="707"/>
      <c r="EQ467" s="707"/>
      <c r="ER467" s="707"/>
      <c r="ES467" s="707"/>
      <c r="ET467" s="707"/>
      <c r="EU467" s="707"/>
      <c r="EV467" s="707"/>
      <c r="EW467" s="707"/>
      <c r="EX467" s="707"/>
      <c r="EY467" s="707"/>
      <c r="EZ467" s="707"/>
      <c r="FA467" s="707"/>
      <c r="FB467" s="707"/>
      <c r="FC467" s="707"/>
      <c r="FD467" s="707"/>
      <c r="FE467" s="707"/>
      <c r="FF467" s="707"/>
      <c r="FG467" s="707"/>
      <c r="FH467" s="707"/>
      <c r="FI467" s="707"/>
      <c r="FJ467" s="707"/>
      <c r="FK467" s="707"/>
      <c r="FL467" s="707"/>
      <c r="FM467" s="707"/>
      <c r="FN467" s="707"/>
      <c r="FO467" s="707"/>
      <c r="FP467" s="707"/>
      <c r="FQ467" s="707"/>
      <c r="FR467" s="707"/>
      <c r="FS467" s="707"/>
      <c r="FT467" s="707"/>
      <c r="FU467" s="707"/>
      <c r="FV467" s="707"/>
      <c r="FW467" s="707"/>
      <c r="FX467" s="707"/>
      <c r="FY467" s="707"/>
      <c r="FZ467" s="707"/>
      <c r="GA467" s="707"/>
      <c r="GB467" s="707"/>
      <c r="GC467" s="707"/>
      <c r="GD467" s="707"/>
      <c r="GE467" s="707"/>
      <c r="GF467" s="707"/>
      <c r="GG467" s="707"/>
      <c r="GH467" s="707"/>
      <c r="GI467" s="707"/>
      <c r="GJ467" s="707"/>
      <c r="GK467" s="707"/>
      <c r="GL467" s="707"/>
      <c r="GM467" s="707"/>
      <c r="GN467" s="707"/>
      <c r="GO467" s="707"/>
      <c r="GP467" s="707"/>
      <c r="GQ467" s="707"/>
      <c r="GR467" s="707"/>
      <c r="GS467" s="707"/>
      <c r="GT467" s="707"/>
      <c r="GU467" s="707"/>
      <c r="GV467" s="707"/>
      <c r="GW467" s="707"/>
      <c r="GX467" s="707"/>
      <c r="GY467" s="707"/>
      <c r="GZ467" s="707"/>
      <c r="HA467" s="707"/>
      <c r="HB467" s="707"/>
      <c r="HC467" s="707"/>
      <c r="HD467" s="707"/>
      <c r="HE467" s="707"/>
      <c r="HF467" s="707"/>
      <c r="HG467" s="707"/>
      <c r="HH467" s="707"/>
      <c r="HI467" s="707"/>
      <c r="HJ467" s="707"/>
      <c r="HK467" s="707"/>
      <c r="HL467" s="707"/>
      <c r="HM467" s="707"/>
      <c r="HN467" s="707"/>
      <c r="HO467" s="707"/>
      <c r="HP467" s="707"/>
      <c r="HQ467" s="707"/>
      <c r="HR467" s="707"/>
      <c r="HS467" s="707"/>
      <c r="HT467" s="707"/>
      <c r="HU467" s="707"/>
      <c r="HV467" s="707"/>
      <c r="HW467" s="707"/>
      <c r="HX467" s="707"/>
      <c r="HY467" s="707"/>
      <c r="HZ467" s="707"/>
      <c r="IA467" s="707"/>
      <c r="IB467" s="707"/>
      <c r="IC467" s="707"/>
      <c r="ID467" s="707"/>
      <c r="IE467" s="707"/>
      <c r="IF467" s="707"/>
      <c r="IG467" s="707"/>
      <c r="IH467" s="707"/>
      <c r="II467" s="707"/>
      <c r="IJ467" s="707"/>
      <c r="IK467" s="707"/>
      <c r="IL467" s="707"/>
      <c r="IM467" s="707"/>
      <c r="IN467" s="707"/>
      <c r="IO467" s="707"/>
      <c r="IP467" s="707"/>
      <c r="IQ467" s="707"/>
      <c r="IR467" s="707"/>
      <c r="IS467" s="707"/>
      <c r="IT467" s="707"/>
      <c r="IU467" s="707"/>
      <c r="IV467" s="707"/>
      <c r="IW467" s="707"/>
    </row>
    <row r="468" customFormat="false" ht="12.75" hidden="false" customHeight="false" outlineLevel="1" collapsed="false">
      <c r="A468" s="706"/>
      <c r="B468" s="709"/>
      <c r="C468" s="709"/>
      <c r="D468" s="709"/>
      <c r="E468" s="709"/>
      <c r="F468" s="709"/>
      <c r="G468" s="711"/>
      <c r="H468" s="688"/>
      <c r="I468" s="688"/>
      <c r="J468" s="710"/>
      <c r="K468" s="707"/>
      <c r="L468" s="707"/>
      <c r="M468" s="707"/>
      <c r="N468" s="707"/>
      <c r="O468" s="707"/>
      <c r="P468" s="707"/>
      <c r="Q468" s="707"/>
      <c r="R468" s="707"/>
      <c r="S468" s="707"/>
      <c r="T468" s="707"/>
      <c r="U468" s="707"/>
      <c r="V468" s="707"/>
      <c r="W468" s="707"/>
      <c r="X468" s="707"/>
      <c r="Y468" s="707"/>
      <c r="Z468" s="707"/>
      <c r="AA468" s="707"/>
      <c r="AB468" s="707"/>
      <c r="AC468" s="707"/>
      <c r="AD468" s="707"/>
      <c r="AE468" s="707"/>
      <c r="AF468" s="707"/>
      <c r="AG468" s="707"/>
      <c r="AH468" s="707"/>
      <c r="AI468" s="707"/>
      <c r="AJ468" s="707"/>
      <c r="AK468" s="707"/>
      <c r="AL468" s="707"/>
      <c r="AM468" s="707"/>
      <c r="AN468" s="707"/>
      <c r="AO468" s="707"/>
      <c r="AP468" s="707"/>
      <c r="AQ468" s="707"/>
      <c r="AR468" s="707"/>
      <c r="AS468" s="707"/>
      <c r="AT468" s="707"/>
      <c r="AU468" s="707"/>
      <c r="AV468" s="707"/>
      <c r="AW468" s="707"/>
      <c r="AX468" s="707"/>
      <c r="AY468" s="707"/>
      <c r="AZ468" s="707"/>
      <c r="BA468" s="707"/>
      <c r="BB468" s="707"/>
      <c r="BC468" s="707"/>
      <c r="BD468" s="707"/>
      <c r="BE468" s="707"/>
      <c r="BF468" s="707"/>
      <c r="BG468" s="707"/>
      <c r="BH468" s="707"/>
      <c r="BI468" s="707"/>
      <c r="BJ468" s="707"/>
      <c r="BK468" s="707"/>
      <c r="BL468" s="707"/>
      <c r="BM468" s="707"/>
      <c r="BN468" s="707"/>
      <c r="BO468" s="707"/>
      <c r="BP468" s="707"/>
      <c r="BQ468" s="707"/>
      <c r="BR468" s="707"/>
      <c r="BS468" s="707"/>
      <c r="BT468" s="707"/>
      <c r="BU468" s="707"/>
      <c r="BV468" s="707"/>
      <c r="BW468" s="707"/>
      <c r="BX468" s="707"/>
      <c r="BY468" s="707"/>
      <c r="BZ468" s="707"/>
      <c r="CA468" s="707"/>
      <c r="CB468" s="707"/>
      <c r="CC468" s="707"/>
      <c r="CD468" s="707"/>
      <c r="CE468" s="707"/>
      <c r="CF468" s="707"/>
      <c r="CG468" s="707"/>
      <c r="CH468" s="707"/>
      <c r="CI468" s="707"/>
      <c r="CJ468" s="707"/>
      <c r="CK468" s="707"/>
      <c r="CL468" s="707"/>
      <c r="CM468" s="707"/>
      <c r="CN468" s="707"/>
      <c r="CO468" s="707"/>
      <c r="CP468" s="707"/>
      <c r="CQ468" s="707"/>
      <c r="CR468" s="707"/>
      <c r="CS468" s="707"/>
      <c r="CT468" s="707"/>
      <c r="CU468" s="707"/>
      <c r="CV468" s="707"/>
      <c r="CW468" s="707"/>
      <c r="CX468" s="707"/>
      <c r="CY468" s="707"/>
      <c r="CZ468" s="707"/>
      <c r="DA468" s="707"/>
      <c r="DB468" s="707"/>
      <c r="DC468" s="707"/>
      <c r="DD468" s="707"/>
      <c r="DE468" s="707"/>
      <c r="DF468" s="707"/>
      <c r="DG468" s="707"/>
      <c r="DH468" s="707"/>
      <c r="DI468" s="707"/>
      <c r="DJ468" s="707"/>
      <c r="DK468" s="707"/>
      <c r="DL468" s="707"/>
      <c r="DM468" s="707"/>
      <c r="DN468" s="707"/>
      <c r="DO468" s="707"/>
      <c r="DP468" s="707"/>
      <c r="DQ468" s="707"/>
      <c r="DR468" s="707"/>
      <c r="DS468" s="707"/>
      <c r="DT468" s="707"/>
      <c r="DU468" s="707"/>
      <c r="DV468" s="707"/>
      <c r="DW468" s="707"/>
      <c r="DX468" s="707"/>
      <c r="DY468" s="707"/>
      <c r="DZ468" s="707"/>
      <c r="EA468" s="707"/>
      <c r="EB468" s="707"/>
      <c r="EC468" s="707"/>
      <c r="ED468" s="707"/>
      <c r="EE468" s="707"/>
      <c r="EF468" s="707"/>
      <c r="EG468" s="707"/>
      <c r="EH468" s="707"/>
      <c r="EI468" s="707"/>
      <c r="EJ468" s="707"/>
      <c r="EK468" s="707"/>
      <c r="EL468" s="707"/>
      <c r="EM468" s="707"/>
      <c r="EN468" s="707"/>
      <c r="EO468" s="707"/>
      <c r="EP468" s="707"/>
      <c r="EQ468" s="707"/>
      <c r="ER468" s="707"/>
      <c r="ES468" s="707"/>
      <c r="ET468" s="707"/>
      <c r="EU468" s="707"/>
      <c r="EV468" s="707"/>
      <c r="EW468" s="707"/>
      <c r="EX468" s="707"/>
      <c r="EY468" s="707"/>
      <c r="EZ468" s="707"/>
      <c r="FA468" s="707"/>
      <c r="FB468" s="707"/>
      <c r="FC468" s="707"/>
      <c r="FD468" s="707"/>
      <c r="FE468" s="707"/>
      <c r="FF468" s="707"/>
      <c r="FG468" s="707"/>
      <c r="FH468" s="707"/>
      <c r="FI468" s="707"/>
      <c r="FJ468" s="707"/>
      <c r="FK468" s="707"/>
      <c r="FL468" s="707"/>
      <c r="FM468" s="707"/>
      <c r="FN468" s="707"/>
      <c r="FO468" s="707"/>
      <c r="FP468" s="707"/>
      <c r="FQ468" s="707"/>
      <c r="FR468" s="707"/>
      <c r="FS468" s="707"/>
      <c r="FT468" s="707"/>
      <c r="FU468" s="707"/>
      <c r="FV468" s="707"/>
      <c r="FW468" s="707"/>
      <c r="FX468" s="707"/>
      <c r="FY468" s="707"/>
      <c r="FZ468" s="707"/>
      <c r="GA468" s="707"/>
      <c r="GB468" s="707"/>
      <c r="GC468" s="707"/>
      <c r="GD468" s="707"/>
      <c r="GE468" s="707"/>
      <c r="GF468" s="707"/>
      <c r="GG468" s="707"/>
      <c r="GH468" s="707"/>
      <c r="GI468" s="707"/>
      <c r="GJ468" s="707"/>
      <c r="GK468" s="707"/>
      <c r="GL468" s="707"/>
      <c r="GM468" s="707"/>
      <c r="GN468" s="707"/>
      <c r="GO468" s="707"/>
      <c r="GP468" s="707"/>
      <c r="GQ468" s="707"/>
      <c r="GR468" s="707"/>
      <c r="GS468" s="707"/>
      <c r="GT468" s="707"/>
      <c r="GU468" s="707"/>
      <c r="GV468" s="707"/>
      <c r="GW468" s="707"/>
      <c r="GX468" s="707"/>
      <c r="GY468" s="707"/>
      <c r="GZ468" s="707"/>
      <c r="HA468" s="707"/>
      <c r="HB468" s="707"/>
      <c r="HC468" s="707"/>
      <c r="HD468" s="707"/>
      <c r="HE468" s="707"/>
      <c r="HF468" s="707"/>
      <c r="HG468" s="707"/>
      <c r="HH468" s="707"/>
      <c r="HI468" s="707"/>
      <c r="HJ468" s="707"/>
      <c r="HK468" s="707"/>
      <c r="HL468" s="707"/>
      <c r="HM468" s="707"/>
      <c r="HN468" s="707"/>
      <c r="HO468" s="707"/>
      <c r="HP468" s="707"/>
      <c r="HQ468" s="707"/>
      <c r="HR468" s="707"/>
      <c r="HS468" s="707"/>
      <c r="HT468" s="707"/>
      <c r="HU468" s="707"/>
      <c r="HV468" s="707"/>
      <c r="HW468" s="707"/>
      <c r="HX468" s="707"/>
      <c r="HY468" s="707"/>
      <c r="HZ468" s="707"/>
      <c r="IA468" s="707"/>
      <c r="IB468" s="707"/>
      <c r="IC468" s="707"/>
      <c r="ID468" s="707"/>
      <c r="IE468" s="707"/>
      <c r="IF468" s="707"/>
      <c r="IG468" s="707"/>
      <c r="IH468" s="707"/>
      <c r="II468" s="707"/>
      <c r="IJ468" s="707"/>
      <c r="IK468" s="707"/>
      <c r="IL468" s="707"/>
      <c r="IM468" s="707"/>
      <c r="IN468" s="707"/>
      <c r="IO468" s="707"/>
      <c r="IP468" s="707"/>
      <c r="IQ468" s="707"/>
      <c r="IR468" s="707"/>
      <c r="IS468" s="707"/>
      <c r="IT468" s="707"/>
      <c r="IU468" s="707"/>
      <c r="IV468" s="707"/>
      <c r="IW468" s="707"/>
    </row>
    <row r="469" customFormat="false" ht="12.75" hidden="false" customHeight="false" outlineLevel="1" collapsed="false">
      <c r="A469" s="706"/>
      <c r="B469" s="688"/>
      <c r="C469" s="688"/>
      <c r="D469" s="688"/>
      <c r="E469" s="688"/>
      <c r="F469" s="688"/>
      <c r="G469" s="688"/>
      <c r="H469" s="710"/>
      <c r="I469" s="688"/>
      <c r="J469" s="711"/>
      <c r="K469" s="707"/>
      <c r="L469" s="707"/>
      <c r="M469" s="707"/>
      <c r="N469" s="707"/>
      <c r="O469" s="707"/>
      <c r="P469" s="707"/>
      <c r="Q469" s="707"/>
      <c r="R469" s="707"/>
      <c r="S469" s="707"/>
      <c r="T469" s="707"/>
      <c r="U469" s="707"/>
      <c r="V469" s="707"/>
      <c r="W469" s="707"/>
      <c r="X469" s="707"/>
      <c r="Y469" s="707"/>
      <c r="Z469" s="707"/>
      <c r="AA469" s="707"/>
      <c r="AB469" s="707"/>
      <c r="AC469" s="707"/>
      <c r="AD469" s="707"/>
      <c r="AE469" s="707"/>
      <c r="AF469" s="707"/>
      <c r="AG469" s="707"/>
      <c r="AH469" s="707"/>
      <c r="AI469" s="707"/>
      <c r="AJ469" s="707"/>
      <c r="AK469" s="707"/>
      <c r="AL469" s="707"/>
      <c r="AM469" s="707"/>
      <c r="AN469" s="707"/>
      <c r="AO469" s="707"/>
      <c r="AP469" s="707"/>
      <c r="AQ469" s="707"/>
      <c r="AR469" s="707"/>
      <c r="AS469" s="707"/>
      <c r="AT469" s="707"/>
      <c r="AU469" s="707"/>
      <c r="AV469" s="707"/>
      <c r="AW469" s="707"/>
      <c r="AX469" s="707"/>
      <c r="AY469" s="707"/>
      <c r="AZ469" s="707"/>
      <c r="BA469" s="707"/>
      <c r="BB469" s="707"/>
      <c r="BC469" s="707"/>
      <c r="BD469" s="707"/>
      <c r="BE469" s="707"/>
      <c r="BF469" s="707"/>
      <c r="BG469" s="707"/>
      <c r="BH469" s="707"/>
      <c r="BI469" s="707"/>
      <c r="BJ469" s="707"/>
      <c r="BK469" s="707"/>
      <c r="BL469" s="707"/>
      <c r="BM469" s="707"/>
      <c r="BN469" s="707"/>
      <c r="BO469" s="707"/>
      <c r="BP469" s="707"/>
      <c r="BQ469" s="707"/>
      <c r="BR469" s="707"/>
      <c r="BS469" s="707"/>
      <c r="BT469" s="707"/>
      <c r="BU469" s="707"/>
      <c r="BV469" s="707"/>
      <c r="BW469" s="707"/>
      <c r="BX469" s="707"/>
      <c r="BY469" s="707"/>
      <c r="BZ469" s="707"/>
      <c r="CA469" s="707"/>
      <c r="CB469" s="707"/>
      <c r="CC469" s="707"/>
      <c r="CD469" s="707"/>
      <c r="CE469" s="707"/>
      <c r="CF469" s="707"/>
      <c r="CG469" s="707"/>
      <c r="CH469" s="707"/>
      <c r="CI469" s="707"/>
      <c r="CJ469" s="707"/>
      <c r="CK469" s="707"/>
      <c r="CL469" s="707"/>
      <c r="CM469" s="707"/>
      <c r="CN469" s="707"/>
      <c r="CO469" s="707"/>
      <c r="CP469" s="707"/>
      <c r="CQ469" s="707"/>
      <c r="CR469" s="707"/>
      <c r="CS469" s="707"/>
      <c r="CT469" s="707"/>
      <c r="CU469" s="707"/>
      <c r="CV469" s="707"/>
      <c r="CW469" s="707"/>
      <c r="CX469" s="707"/>
      <c r="CY469" s="707"/>
      <c r="CZ469" s="707"/>
      <c r="DA469" s="707"/>
      <c r="DB469" s="707"/>
      <c r="DC469" s="707"/>
      <c r="DD469" s="707"/>
      <c r="DE469" s="707"/>
      <c r="DF469" s="707"/>
      <c r="DG469" s="707"/>
      <c r="DH469" s="707"/>
      <c r="DI469" s="707"/>
      <c r="DJ469" s="707"/>
      <c r="DK469" s="707"/>
      <c r="DL469" s="707"/>
      <c r="DM469" s="707"/>
      <c r="DN469" s="707"/>
      <c r="DO469" s="707"/>
      <c r="DP469" s="707"/>
      <c r="DQ469" s="707"/>
      <c r="DR469" s="707"/>
      <c r="DS469" s="707"/>
      <c r="DT469" s="707"/>
      <c r="DU469" s="707"/>
      <c r="DV469" s="707"/>
      <c r="DW469" s="707"/>
      <c r="DX469" s="707"/>
      <c r="DY469" s="707"/>
      <c r="DZ469" s="707"/>
      <c r="EA469" s="707"/>
      <c r="EB469" s="707"/>
      <c r="EC469" s="707"/>
      <c r="ED469" s="707"/>
      <c r="EE469" s="707"/>
      <c r="EF469" s="707"/>
      <c r="EG469" s="707"/>
      <c r="EH469" s="707"/>
      <c r="EI469" s="707"/>
      <c r="EJ469" s="707"/>
      <c r="EK469" s="707"/>
      <c r="EL469" s="707"/>
      <c r="EM469" s="707"/>
      <c r="EN469" s="707"/>
      <c r="EO469" s="707"/>
      <c r="EP469" s="707"/>
      <c r="EQ469" s="707"/>
      <c r="ER469" s="707"/>
      <c r="ES469" s="707"/>
      <c r="ET469" s="707"/>
      <c r="EU469" s="707"/>
      <c r="EV469" s="707"/>
      <c r="EW469" s="707"/>
      <c r="EX469" s="707"/>
      <c r="EY469" s="707"/>
      <c r="EZ469" s="707"/>
      <c r="FA469" s="707"/>
      <c r="FB469" s="707"/>
      <c r="FC469" s="707"/>
      <c r="FD469" s="707"/>
      <c r="FE469" s="707"/>
      <c r="FF469" s="707"/>
      <c r="FG469" s="707"/>
      <c r="FH469" s="707"/>
      <c r="FI469" s="707"/>
      <c r="FJ469" s="707"/>
      <c r="FK469" s="707"/>
      <c r="FL469" s="707"/>
      <c r="FM469" s="707"/>
      <c r="FN469" s="707"/>
      <c r="FO469" s="707"/>
      <c r="FP469" s="707"/>
      <c r="FQ469" s="707"/>
      <c r="FR469" s="707"/>
      <c r="FS469" s="707"/>
      <c r="FT469" s="707"/>
      <c r="FU469" s="707"/>
      <c r="FV469" s="707"/>
      <c r="FW469" s="707"/>
      <c r="FX469" s="707"/>
      <c r="FY469" s="707"/>
      <c r="FZ469" s="707"/>
      <c r="GA469" s="707"/>
      <c r="GB469" s="707"/>
      <c r="GC469" s="707"/>
      <c r="GD469" s="707"/>
      <c r="GE469" s="707"/>
      <c r="GF469" s="707"/>
      <c r="GG469" s="707"/>
      <c r="GH469" s="707"/>
      <c r="GI469" s="707"/>
      <c r="GJ469" s="707"/>
      <c r="GK469" s="707"/>
      <c r="GL469" s="707"/>
      <c r="GM469" s="707"/>
      <c r="GN469" s="707"/>
      <c r="GO469" s="707"/>
      <c r="GP469" s="707"/>
      <c r="GQ469" s="707"/>
      <c r="GR469" s="707"/>
      <c r="GS469" s="707"/>
      <c r="GT469" s="707"/>
      <c r="GU469" s="707"/>
      <c r="GV469" s="707"/>
      <c r="GW469" s="707"/>
      <c r="GX469" s="707"/>
      <c r="GY469" s="707"/>
      <c r="GZ469" s="707"/>
      <c r="HA469" s="707"/>
      <c r="HB469" s="707"/>
      <c r="HC469" s="707"/>
      <c r="HD469" s="707"/>
      <c r="HE469" s="707"/>
      <c r="HF469" s="707"/>
      <c r="HG469" s="707"/>
      <c r="HH469" s="707"/>
      <c r="HI469" s="707"/>
      <c r="HJ469" s="707"/>
      <c r="HK469" s="707"/>
      <c r="HL469" s="707"/>
      <c r="HM469" s="707"/>
      <c r="HN469" s="707"/>
      <c r="HO469" s="707"/>
      <c r="HP469" s="707"/>
      <c r="HQ469" s="707"/>
      <c r="HR469" s="707"/>
      <c r="HS469" s="707"/>
      <c r="HT469" s="707"/>
      <c r="HU469" s="707"/>
      <c r="HV469" s="707"/>
      <c r="HW469" s="707"/>
      <c r="HX469" s="707"/>
      <c r="HY469" s="707"/>
      <c r="HZ469" s="707"/>
      <c r="IA469" s="707"/>
      <c r="IB469" s="707"/>
      <c r="IC469" s="707"/>
      <c r="ID469" s="707"/>
      <c r="IE469" s="707"/>
      <c r="IF469" s="707"/>
      <c r="IG469" s="707"/>
      <c r="IH469" s="707"/>
      <c r="II469" s="707"/>
      <c r="IJ469" s="707"/>
      <c r="IK469" s="707"/>
      <c r="IL469" s="707"/>
      <c r="IM469" s="707"/>
      <c r="IN469" s="707"/>
      <c r="IO469" s="707"/>
      <c r="IP469" s="707"/>
      <c r="IQ469" s="707"/>
      <c r="IR469" s="707"/>
      <c r="IS469" s="707"/>
      <c r="IT469" s="707"/>
      <c r="IU469" s="707"/>
      <c r="IV469" s="707"/>
      <c r="IW469" s="707"/>
    </row>
    <row r="470" customFormat="false" ht="12.75" hidden="false" customHeight="false" outlineLevel="1" collapsed="false">
      <c r="A470" s="712"/>
      <c r="B470" s="708"/>
      <c r="C470" s="708"/>
      <c r="D470" s="708"/>
      <c r="E470" s="708"/>
      <c r="F470" s="708"/>
      <c r="G470" s="708"/>
      <c r="H470" s="708"/>
      <c r="I470" s="708"/>
      <c r="J470" s="708"/>
      <c r="K470" s="708"/>
      <c r="L470" s="708"/>
      <c r="M470" s="708"/>
      <c r="N470" s="708"/>
      <c r="O470" s="708"/>
      <c r="P470" s="708"/>
      <c r="Q470" s="708"/>
      <c r="R470" s="708"/>
      <c r="S470" s="708"/>
      <c r="T470" s="708"/>
      <c r="U470" s="708"/>
      <c r="V470" s="708"/>
      <c r="W470" s="708"/>
      <c r="X470" s="708"/>
      <c r="Y470" s="708"/>
      <c r="Z470" s="708"/>
      <c r="AA470" s="707"/>
      <c r="AB470" s="707"/>
      <c r="AC470" s="707"/>
      <c r="AD470" s="707"/>
      <c r="AE470" s="707"/>
      <c r="AF470" s="707"/>
      <c r="AG470" s="707"/>
      <c r="AH470" s="707"/>
      <c r="AI470" s="707"/>
      <c r="AJ470" s="707"/>
      <c r="AK470" s="707"/>
      <c r="AL470" s="707"/>
      <c r="AM470" s="707"/>
      <c r="AN470" s="707"/>
      <c r="AO470" s="707"/>
      <c r="AP470" s="707"/>
      <c r="AQ470" s="707"/>
      <c r="AR470" s="707"/>
      <c r="AS470" s="707"/>
      <c r="AT470" s="707"/>
      <c r="AU470" s="707"/>
      <c r="AV470" s="707"/>
      <c r="AW470" s="707"/>
      <c r="AX470" s="707"/>
      <c r="AY470" s="707"/>
      <c r="AZ470" s="707"/>
      <c r="BA470" s="707"/>
      <c r="BB470" s="707"/>
      <c r="BC470" s="707"/>
      <c r="BD470" s="707"/>
      <c r="BE470" s="707"/>
      <c r="BF470" s="707"/>
      <c r="BG470" s="707"/>
      <c r="BH470" s="707"/>
      <c r="BI470" s="707"/>
      <c r="BJ470" s="707"/>
      <c r="BK470" s="707"/>
      <c r="BL470" s="707"/>
      <c r="BM470" s="707"/>
      <c r="BN470" s="707"/>
      <c r="BO470" s="707"/>
      <c r="BP470" s="707"/>
      <c r="BQ470" s="707"/>
      <c r="BR470" s="707"/>
      <c r="BS470" s="707"/>
      <c r="BT470" s="707"/>
      <c r="BU470" s="707"/>
      <c r="BV470" s="707"/>
      <c r="BW470" s="707"/>
      <c r="BX470" s="707"/>
      <c r="BY470" s="707"/>
      <c r="BZ470" s="707"/>
      <c r="CA470" s="707"/>
      <c r="CB470" s="707"/>
      <c r="CC470" s="707"/>
      <c r="CD470" s="707"/>
      <c r="CE470" s="707"/>
      <c r="CF470" s="707"/>
      <c r="CG470" s="707"/>
      <c r="CH470" s="707"/>
      <c r="CI470" s="707"/>
      <c r="CJ470" s="707"/>
      <c r="CK470" s="707"/>
      <c r="CL470" s="707"/>
      <c r="CM470" s="707"/>
      <c r="CN470" s="707"/>
      <c r="CO470" s="707"/>
      <c r="CP470" s="707"/>
      <c r="CQ470" s="707"/>
      <c r="CR470" s="707"/>
      <c r="CS470" s="707"/>
      <c r="CT470" s="707"/>
      <c r="CU470" s="707"/>
      <c r="CV470" s="707"/>
      <c r="CW470" s="707"/>
      <c r="CX470" s="707"/>
      <c r="CY470" s="707"/>
      <c r="CZ470" s="707"/>
      <c r="DA470" s="707"/>
      <c r="DB470" s="707"/>
      <c r="DC470" s="707"/>
      <c r="DD470" s="707"/>
      <c r="DE470" s="707"/>
      <c r="DF470" s="707"/>
      <c r="DG470" s="707"/>
      <c r="DH470" s="707"/>
      <c r="DI470" s="707"/>
      <c r="DJ470" s="707"/>
      <c r="DK470" s="707"/>
      <c r="DL470" s="707"/>
      <c r="DM470" s="707"/>
      <c r="DN470" s="707"/>
      <c r="DO470" s="707"/>
      <c r="DP470" s="707"/>
      <c r="DQ470" s="707"/>
      <c r="DR470" s="707"/>
      <c r="DS470" s="707"/>
      <c r="DT470" s="707"/>
      <c r="DU470" s="707"/>
      <c r="DV470" s="707"/>
      <c r="DW470" s="707"/>
      <c r="DX470" s="707"/>
      <c r="DY470" s="707"/>
      <c r="DZ470" s="707"/>
      <c r="EA470" s="707"/>
      <c r="EB470" s="707"/>
      <c r="EC470" s="707"/>
      <c r="ED470" s="707"/>
      <c r="EE470" s="707"/>
      <c r="EF470" s="707"/>
      <c r="EG470" s="707"/>
      <c r="EH470" s="707"/>
      <c r="EI470" s="707"/>
      <c r="EJ470" s="707"/>
      <c r="EK470" s="707"/>
      <c r="EL470" s="707"/>
      <c r="EM470" s="707"/>
      <c r="EN470" s="707"/>
      <c r="EO470" s="707"/>
      <c r="EP470" s="707"/>
      <c r="EQ470" s="707"/>
      <c r="ER470" s="707"/>
      <c r="ES470" s="707"/>
      <c r="ET470" s="707"/>
      <c r="EU470" s="707"/>
      <c r="EV470" s="707"/>
      <c r="EW470" s="707"/>
      <c r="EX470" s="707"/>
      <c r="EY470" s="707"/>
      <c r="EZ470" s="707"/>
      <c r="FA470" s="707"/>
      <c r="FB470" s="707"/>
      <c r="FC470" s="707"/>
      <c r="FD470" s="707"/>
      <c r="FE470" s="707"/>
      <c r="FF470" s="707"/>
      <c r="FG470" s="707"/>
      <c r="FH470" s="707"/>
      <c r="FI470" s="707"/>
      <c r="FJ470" s="707"/>
      <c r="FK470" s="707"/>
      <c r="FL470" s="707"/>
      <c r="FM470" s="707"/>
      <c r="FN470" s="707"/>
      <c r="FO470" s="707"/>
      <c r="FP470" s="707"/>
      <c r="FQ470" s="707"/>
      <c r="FR470" s="707"/>
      <c r="FS470" s="707"/>
      <c r="FT470" s="707"/>
      <c r="FU470" s="707"/>
      <c r="FV470" s="707"/>
      <c r="FW470" s="707"/>
      <c r="FX470" s="707"/>
      <c r="FY470" s="707"/>
      <c r="FZ470" s="707"/>
      <c r="GA470" s="707"/>
      <c r="GB470" s="707"/>
      <c r="GC470" s="707"/>
      <c r="GD470" s="707"/>
      <c r="GE470" s="707"/>
      <c r="GF470" s="707"/>
      <c r="GG470" s="707"/>
      <c r="GH470" s="707"/>
      <c r="GI470" s="707"/>
      <c r="GJ470" s="707"/>
      <c r="GK470" s="707"/>
      <c r="GL470" s="707"/>
      <c r="GM470" s="707"/>
      <c r="GN470" s="707"/>
      <c r="GO470" s="707"/>
      <c r="GP470" s="707"/>
      <c r="GQ470" s="707"/>
      <c r="GR470" s="707"/>
      <c r="GS470" s="707"/>
      <c r="GT470" s="707"/>
      <c r="GU470" s="707"/>
      <c r="GV470" s="707"/>
      <c r="GW470" s="707"/>
      <c r="GX470" s="707"/>
      <c r="GY470" s="707"/>
      <c r="GZ470" s="707"/>
      <c r="HA470" s="707"/>
      <c r="HB470" s="707"/>
      <c r="HC470" s="707"/>
      <c r="HD470" s="707"/>
      <c r="HE470" s="707"/>
      <c r="HF470" s="707"/>
      <c r="HG470" s="707"/>
      <c r="HH470" s="707"/>
      <c r="HI470" s="707"/>
      <c r="HJ470" s="707"/>
      <c r="HK470" s="707"/>
      <c r="HL470" s="707"/>
      <c r="HM470" s="707"/>
      <c r="HN470" s="707"/>
      <c r="HO470" s="707"/>
      <c r="HP470" s="707"/>
      <c r="HQ470" s="707"/>
      <c r="HR470" s="707"/>
      <c r="HS470" s="707"/>
      <c r="HT470" s="707"/>
      <c r="HU470" s="707"/>
      <c r="HV470" s="707"/>
      <c r="HW470" s="707"/>
      <c r="HX470" s="707"/>
      <c r="HY470" s="707"/>
      <c r="HZ470" s="707"/>
      <c r="IA470" s="707"/>
      <c r="IB470" s="707"/>
      <c r="IC470" s="707"/>
      <c r="ID470" s="707"/>
      <c r="IE470" s="707"/>
      <c r="IF470" s="707"/>
      <c r="IG470" s="707"/>
      <c r="IH470" s="707"/>
      <c r="II470" s="707"/>
      <c r="IJ470" s="707"/>
      <c r="IK470" s="707"/>
      <c r="IL470" s="707"/>
      <c r="IM470" s="707"/>
      <c r="IN470" s="707"/>
      <c r="IO470" s="707"/>
      <c r="IP470" s="707"/>
      <c r="IQ470" s="707"/>
      <c r="IR470" s="707"/>
      <c r="IS470" s="707"/>
      <c r="IT470" s="707"/>
      <c r="IU470" s="707"/>
      <c r="IV470" s="707"/>
      <c r="IW470" s="707"/>
    </row>
    <row r="471" customFormat="false" ht="12.75" hidden="false" customHeight="false" outlineLevel="1" collapsed="false">
      <c r="A471" s="388"/>
      <c r="B471" s="706"/>
      <c r="C471" s="706"/>
      <c r="D471" s="706"/>
      <c r="E471" s="706"/>
      <c r="F471" s="706"/>
      <c r="G471" s="706"/>
      <c r="H471" s="713"/>
      <c r="I471" s="713"/>
      <c r="J471" s="713"/>
      <c r="K471" s="713"/>
      <c r="L471" s="713"/>
      <c r="M471" s="713"/>
      <c r="N471" s="713"/>
      <c r="O471" s="713"/>
      <c r="P471" s="713"/>
      <c r="Q471" s="713"/>
      <c r="R471" s="713"/>
      <c r="S471" s="713"/>
      <c r="T471" s="713"/>
      <c r="U471" s="713"/>
      <c r="V471" s="713"/>
      <c r="W471" s="713"/>
      <c r="X471" s="713"/>
      <c r="Y471" s="713"/>
      <c r="Z471" s="713"/>
      <c r="AA471" s="707"/>
      <c r="AB471" s="707"/>
      <c r="AC471" s="707"/>
      <c r="AD471" s="707"/>
      <c r="AE471" s="707"/>
      <c r="AF471" s="707"/>
      <c r="AG471" s="707"/>
      <c r="AH471" s="707"/>
      <c r="AI471" s="707"/>
      <c r="AJ471" s="707"/>
      <c r="AK471" s="707"/>
      <c r="AL471" s="707"/>
      <c r="AM471" s="707"/>
      <c r="AN471" s="707"/>
      <c r="AO471" s="707"/>
      <c r="AP471" s="707"/>
      <c r="AQ471" s="707"/>
      <c r="AR471" s="707"/>
      <c r="AS471" s="707"/>
      <c r="AT471" s="707"/>
      <c r="AU471" s="707"/>
      <c r="AV471" s="707"/>
      <c r="AW471" s="707"/>
      <c r="AX471" s="707"/>
      <c r="AY471" s="707"/>
      <c r="AZ471" s="707"/>
      <c r="BA471" s="707"/>
      <c r="BB471" s="707"/>
      <c r="BC471" s="707"/>
      <c r="BD471" s="707"/>
      <c r="BE471" s="707"/>
      <c r="BF471" s="707"/>
      <c r="BG471" s="707"/>
      <c r="BH471" s="707"/>
      <c r="BI471" s="707"/>
      <c r="BJ471" s="707"/>
      <c r="BK471" s="707"/>
      <c r="BL471" s="707"/>
      <c r="BM471" s="707"/>
      <c r="BN471" s="707"/>
      <c r="BO471" s="707"/>
      <c r="BP471" s="707"/>
      <c r="BQ471" s="707"/>
      <c r="BR471" s="707"/>
      <c r="BS471" s="707"/>
      <c r="BT471" s="707"/>
      <c r="BU471" s="707"/>
      <c r="BV471" s="707"/>
      <c r="BW471" s="707"/>
      <c r="BX471" s="707"/>
      <c r="BY471" s="707"/>
      <c r="BZ471" s="707"/>
      <c r="CA471" s="707"/>
      <c r="CB471" s="707"/>
      <c r="CC471" s="707"/>
      <c r="CD471" s="707"/>
      <c r="CE471" s="707"/>
      <c r="CF471" s="707"/>
      <c r="CG471" s="707"/>
      <c r="CH471" s="707"/>
      <c r="CI471" s="707"/>
      <c r="CJ471" s="707"/>
      <c r="CK471" s="707"/>
      <c r="CL471" s="707"/>
      <c r="CM471" s="707"/>
      <c r="CN471" s="707"/>
      <c r="CO471" s="707"/>
      <c r="CP471" s="707"/>
      <c r="CQ471" s="707"/>
      <c r="CR471" s="707"/>
      <c r="CS471" s="707"/>
      <c r="CT471" s="707"/>
      <c r="CU471" s="707"/>
      <c r="CV471" s="707"/>
      <c r="CW471" s="707"/>
      <c r="CX471" s="707"/>
      <c r="CY471" s="707"/>
      <c r="CZ471" s="707"/>
      <c r="DA471" s="707"/>
      <c r="DB471" s="707"/>
      <c r="DC471" s="707"/>
      <c r="DD471" s="707"/>
      <c r="DE471" s="707"/>
      <c r="DF471" s="707"/>
      <c r="DG471" s="707"/>
      <c r="DH471" s="707"/>
      <c r="DI471" s="707"/>
      <c r="DJ471" s="707"/>
      <c r="DK471" s="707"/>
      <c r="DL471" s="707"/>
      <c r="DM471" s="707"/>
      <c r="DN471" s="707"/>
      <c r="DO471" s="707"/>
      <c r="DP471" s="707"/>
      <c r="DQ471" s="707"/>
      <c r="DR471" s="707"/>
      <c r="DS471" s="707"/>
      <c r="DT471" s="707"/>
      <c r="DU471" s="707"/>
      <c r="DV471" s="707"/>
      <c r="DW471" s="707"/>
      <c r="DX471" s="707"/>
      <c r="DY471" s="707"/>
      <c r="DZ471" s="707"/>
      <c r="EA471" s="707"/>
      <c r="EB471" s="707"/>
      <c r="EC471" s="707"/>
      <c r="ED471" s="707"/>
      <c r="EE471" s="707"/>
      <c r="EF471" s="707"/>
      <c r="EG471" s="707"/>
      <c r="EH471" s="707"/>
      <c r="EI471" s="707"/>
      <c r="EJ471" s="707"/>
      <c r="EK471" s="707"/>
      <c r="EL471" s="707"/>
      <c r="EM471" s="707"/>
      <c r="EN471" s="707"/>
      <c r="EO471" s="707"/>
      <c r="EP471" s="707"/>
      <c r="EQ471" s="707"/>
      <c r="ER471" s="707"/>
      <c r="ES471" s="707"/>
      <c r="ET471" s="707"/>
      <c r="EU471" s="707"/>
      <c r="EV471" s="707"/>
      <c r="EW471" s="707"/>
      <c r="EX471" s="707"/>
      <c r="EY471" s="707"/>
      <c r="EZ471" s="707"/>
      <c r="FA471" s="707"/>
      <c r="FB471" s="707"/>
      <c r="FC471" s="707"/>
      <c r="FD471" s="707"/>
      <c r="FE471" s="707"/>
      <c r="FF471" s="707"/>
      <c r="FG471" s="707"/>
      <c r="FH471" s="707"/>
      <c r="FI471" s="707"/>
      <c r="FJ471" s="707"/>
      <c r="FK471" s="707"/>
      <c r="FL471" s="707"/>
      <c r="FM471" s="707"/>
      <c r="FN471" s="707"/>
      <c r="FO471" s="707"/>
      <c r="FP471" s="707"/>
      <c r="FQ471" s="707"/>
      <c r="FR471" s="707"/>
      <c r="FS471" s="707"/>
      <c r="FT471" s="707"/>
      <c r="FU471" s="707"/>
      <c r="FV471" s="707"/>
      <c r="FW471" s="707"/>
      <c r="FX471" s="707"/>
      <c r="FY471" s="707"/>
      <c r="FZ471" s="707"/>
      <c r="GA471" s="707"/>
      <c r="GB471" s="707"/>
      <c r="GC471" s="707"/>
      <c r="GD471" s="707"/>
      <c r="GE471" s="707"/>
      <c r="GF471" s="707"/>
      <c r="GG471" s="707"/>
      <c r="GH471" s="707"/>
      <c r="GI471" s="707"/>
      <c r="GJ471" s="707"/>
      <c r="GK471" s="707"/>
      <c r="GL471" s="707"/>
      <c r="GM471" s="707"/>
      <c r="GN471" s="707"/>
      <c r="GO471" s="707"/>
      <c r="GP471" s="707"/>
      <c r="GQ471" s="707"/>
      <c r="GR471" s="707"/>
      <c r="GS471" s="707"/>
      <c r="GT471" s="707"/>
      <c r="GU471" s="707"/>
      <c r="GV471" s="707"/>
      <c r="GW471" s="707"/>
      <c r="GX471" s="707"/>
      <c r="GY471" s="707"/>
      <c r="GZ471" s="707"/>
      <c r="HA471" s="707"/>
      <c r="HB471" s="707"/>
      <c r="HC471" s="707"/>
      <c r="HD471" s="707"/>
      <c r="HE471" s="707"/>
      <c r="HF471" s="707"/>
      <c r="HG471" s="707"/>
      <c r="HH471" s="707"/>
      <c r="HI471" s="707"/>
      <c r="HJ471" s="707"/>
      <c r="HK471" s="707"/>
      <c r="HL471" s="707"/>
      <c r="HM471" s="707"/>
      <c r="HN471" s="707"/>
      <c r="HO471" s="707"/>
      <c r="HP471" s="707"/>
      <c r="HQ471" s="707"/>
      <c r="HR471" s="707"/>
      <c r="HS471" s="707"/>
      <c r="HT471" s="707"/>
      <c r="HU471" s="707"/>
      <c r="HV471" s="707"/>
      <c r="HW471" s="707"/>
      <c r="HX471" s="707"/>
      <c r="HY471" s="707"/>
      <c r="HZ471" s="707"/>
      <c r="IA471" s="707"/>
      <c r="IB471" s="707"/>
      <c r="IC471" s="707"/>
      <c r="ID471" s="707"/>
      <c r="IE471" s="707"/>
      <c r="IF471" s="707"/>
      <c r="IG471" s="707"/>
      <c r="IH471" s="707"/>
      <c r="II471" s="707"/>
      <c r="IJ471" s="707"/>
      <c r="IK471" s="707"/>
      <c r="IL471" s="707"/>
      <c r="IM471" s="707"/>
      <c r="IN471" s="707"/>
      <c r="IO471" s="707"/>
      <c r="IP471" s="707"/>
      <c r="IQ471" s="707"/>
      <c r="IR471" s="707"/>
      <c r="IS471" s="707"/>
      <c r="IT471" s="707"/>
      <c r="IU471" s="707"/>
      <c r="IV471" s="707"/>
      <c r="IW471" s="707"/>
    </row>
    <row r="472" customFormat="false" ht="12.75" hidden="false" customHeight="false" outlineLevel="1" collapsed="false">
      <c r="A472" s="367"/>
      <c r="B472" s="706"/>
      <c r="C472" s="706"/>
      <c r="D472" s="706"/>
      <c r="E472" s="713"/>
      <c r="F472" s="713"/>
      <c r="G472" s="713"/>
      <c r="H472" s="713"/>
      <c r="I472" s="713"/>
      <c r="J472" s="713"/>
      <c r="K472" s="713"/>
      <c r="L472" s="713"/>
      <c r="M472" s="713"/>
      <c r="N472" s="713"/>
      <c r="O472" s="713"/>
      <c r="P472" s="713"/>
      <c r="Q472" s="713"/>
      <c r="R472" s="713"/>
      <c r="S472" s="713"/>
      <c r="T472" s="713"/>
      <c r="U472" s="713"/>
      <c r="V472" s="713"/>
      <c r="W472" s="713"/>
      <c r="X472" s="713"/>
      <c r="Y472" s="713"/>
      <c r="Z472" s="713"/>
      <c r="AA472" s="707"/>
      <c r="AB472" s="707"/>
      <c r="AC472" s="707"/>
      <c r="AD472" s="707"/>
      <c r="AE472" s="707"/>
      <c r="AF472" s="707"/>
      <c r="AG472" s="707"/>
      <c r="AH472" s="707"/>
      <c r="AI472" s="707"/>
      <c r="AJ472" s="707"/>
      <c r="AK472" s="707"/>
      <c r="AL472" s="707"/>
      <c r="AM472" s="707"/>
      <c r="AN472" s="707"/>
      <c r="AO472" s="707"/>
      <c r="AP472" s="707"/>
      <c r="AQ472" s="707"/>
      <c r="AR472" s="707"/>
      <c r="AS472" s="707"/>
      <c r="AT472" s="707"/>
      <c r="AU472" s="707"/>
      <c r="AV472" s="707"/>
      <c r="AW472" s="707"/>
      <c r="AX472" s="707"/>
      <c r="AY472" s="707"/>
      <c r="AZ472" s="707"/>
      <c r="BA472" s="707"/>
      <c r="BB472" s="707"/>
      <c r="BC472" s="707"/>
      <c r="BD472" s="707"/>
      <c r="BE472" s="707"/>
      <c r="BF472" s="707"/>
      <c r="BG472" s="707"/>
      <c r="BH472" s="707"/>
      <c r="BI472" s="707"/>
      <c r="BJ472" s="707"/>
      <c r="BK472" s="707"/>
      <c r="BL472" s="707"/>
      <c r="BM472" s="707"/>
      <c r="BN472" s="707"/>
      <c r="BO472" s="707"/>
      <c r="BP472" s="707"/>
      <c r="BQ472" s="707"/>
      <c r="BR472" s="707"/>
      <c r="BS472" s="707"/>
      <c r="BT472" s="707"/>
      <c r="BU472" s="707"/>
      <c r="BV472" s="707"/>
      <c r="BW472" s="707"/>
      <c r="BX472" s="707"/>
      <c r="BY472" s="707"/>
      <c r="BZ472" s="707"/>
      <c r="CA472" s="707"/>
      <c r="CB472" s="707"/>
      <c r="CC472" s="707"/>
      <c r="CD472" s="707"/>
      <c r="CE472" s="707"/>
      <c r="CF472" s="707"/>
      <c r="CG472" s="707"/>
      <c r="CH472" s="707"/>
      <c r="CI472" s="707"/>
      <c r="CJ472" s="707"/>
      <c r="CK472" s="707"/>
      <c r="CL472" s="707"/>
      <c r="CM472" s="707"/>
      <c r="CN472" s="707"/>
      <c r="CO472" s="707"/>
      <c r="CP472" s="707"/>
      <c r="CQ472" s="707"/>
      <c r="CR472" s="707"/>
      <c r="CS472" s="707"/>
      <c r="CT472" s="707"/>
      <c r="CU472" s="707"/>
      <c r="CV472" s="707"/>
      <c r="CW472" s="707"/>
      <c r="CX472" s="707"/>
      <c r="CY472" s="707"/>
      <c r="CZ472" s="707"/>
      <c r="DA472" s="707"/>
      <c r="DB472" s="707"/>
      <c r="DC472" s="707"/>
      <c r="DD472" s="707"/>
      <c r="DE472" s="707"/>
      <c r="DF472" s="707"/>
      <c r="DG472" s="707"/>
      <c r="DH472" s="707"/>
      <c r="DI472" s="707"/>
      <c r="DJ472" s="707"/>
      <c r="DK472" s="707"/>
      <c r="DL472" s="707"/>
      <c r="DM472" s="707"/>
      <c r="DN472" s="707"/>
      <c r="DO472" s="707"/>
      <c r="DP472" s="707"/>
      <c r="DQ472" s="707"/>
      <c r="DR472" s="707"/>
      <c r="DS472" s="707"/>
      <c r="DT472" s="707"/>
      <c r="DU472" s="707"/>
      <c r="DV472" s="707"/>
      <c r="DW472" s="707"/>
      <c r="DX472" s="707"/>
      <c r="DY472" s="707"/>
      <c r="DZ472" s="707"/>
      <c r="EA472" s="707"/>
      <c r="EB472" s="707"/>
      <c r="EC472" s="707"/>
      <c r="ED472" s="707"/>
      <c r="EE472" s="707"/>
      <c r="EF472" s="707"/>
      <c r="EG472" s="707"/>
      <c r="EH472" s="707"/>
      <c r="EI472" s="707"/>
      <c r="EJ472" s="707"/>
      <c r="EK472" s="707"/>
      <c r="EL472" s="707"/>
      <c r="EM472" s="707"/>
      <c r="EN472" s="707"/>
      <c r="EO472" s="707"/>
      <c r="EP472" s="707"/>
      <c r="EQ472" s="707"/>
      <c r="ER472" s="707"/>
      <c r="ES472" s="707"/>
      <c r="ET472" s="707"/>
      <c r="EU472" s="707"/>
      <c r="EV472" s="707"/>
      <c r="EW472" s="707"/>
      <c r="EX472" s="707"/>
      <c r="EY472" s="707"/>
      <c r="EZ472" s="707"/>
      <c r="FA472" s="707"/>
      <c r="FB472" s="707"/>
      <c r="FC472" s="707"/>
      <c r="FD472" s="707"/>
      <c r="FE472" s="707"/>
      <c r="FF472" s="707"/>
      <c r="FG472" s="707"/>
      <c r="FH472" s="707"/>
      <c r="FI472" s="707"/>
      <c r="FJ472" s="707"/>
      <c r="FK472" s="707"/>
      <c r="FL472" s="707"/>
      <c r="FM472" s="707"/>
      <c r="FN472" s="707"/>
      <c r="FO472" s="707"/>
      <c r="FP472" s="707"/>
      <c r="FQ472" s="707"/>
      <c r="FR472" s="707"/>
      <c r="FS472" s="707"/>
      <c r="FT472" s="707"/>
      <c r="FU472" s="707"/>
      <c r="FV472" s="707"/>
      <c r="FW472" s="707"/>
      <c r="FX472" s="707"/>
      <c r="FY472" s="707"/>
      <c r="FZ472" s="707"/>
      <c r="GA472" s="707"/>
      <c r="GB472" s="707"/>
      <c r="GC472" s="707"/>
      <c r="GD472" s="707"/>
      <c r="GE472" s="707"/>
      <c r="GF472" s="707"/>
      <c r="GG472" s="707"/>
      <c r="GH472" s="707"/>
      <c r="GI472" s="707"/>
      <c r="GJ472" s="707"/>
      <c r="GK472" s="707"/>
      <c r="GL472" s="707"/>
      <c r="GM472" s="707"/>
      <c r="GN472" s="707"/>
      <c r="GO472" s="707"/>
      <c r="GP472" s="707"/>
      <c r="GQ472" s="707"/>
      <c r="GR472" s="707"/>
      <c r="GS472" s="707"/>
      <c r="GT472" s="707"/>
      <c r="GU472" s="707"/>
      <c r="GV472" s="707"/>
      <c r="GW472" s="707"/>
      <c r="GX472" s="707"/>
      <c r="GY472" s="707"/>
      <c r="GZ472" s="707"/>
      <c r="HA472" s="707"/>
      <c r="HB472" s="707"/>
      <c r="HC472" s="707"/>
      <c r="HD472" s="707"/>
      <c r="HE472" s="707"/>
      <c r="HF472" s="707"/>
      <c r="HG472" s="707"/>
      <c r="HH472" s="707"/>
      <c r="HI472" s="707"/>
      <c r="HJ472" s="707"/>
      <c r="HK472" s="707"/>
      <c r="HL472" s="707"/>
      <c r="HM472" s="707"/>
      <c r="HN472" s="707"/>
      <c r="HO472" s="707"/>
      <c r="HP472" s="707"/>
      <c r="HQ472" s="707"/>
      <c r="HR472" s="707"/>
      <c r="HS472" s="707"/>
      <c r="HT472" s="707"/>
      <c r="HU472" s="707"/>
      <c r="HV472" s="707"/>
      <c r="HW472" s="707"/>
      <c r="HX472" s="707"/>
      <c r="HY472" s="707"/>
      <c r="HZ472" s="707"/>
      <c r="IA472" s="707"/>
      <c r="IB472" s="707"/>
      <c r="IC472" s="707"/>
      <c r="ID472" s="707"/>
      <c r="IE472" s="707"/>
      <c r="IF472" s="707"/>
      <c r="IG472" s="707"/>
      <c r="IH472" s="707"/>
      <c r="II472" s="707"/>
      <c r="IJ472" s="707"/>
      <c r="IK472" s="707"/>
      <c r="IL472" s="707"/>
      <c r="IM472" s="707"/>
      <c r="IN472" s="707"/>
      <c r="IO472" s="707"/>
      <c r="IP472" s="707"/>
      <c r="IQ472" s="707"/>
      <c r="IR472" s="707"/>
      <c r="IS472" s="707"/>
      <c r="IT472" s="707"/>
      <c r="IU472" s="707"/>
      <c r="IV472" s="707"/>
      <c r="IW472" s="707"/>
    </row>
    <row r="473" customFormat="false" ht="12.75" hidden="false" customHeight="false" outlineLevel="1" collapsed="false">
      <c r="A473" s="367"/>
      <c r="B473" s="714"/>
      <c r="C473" s="714"/>
      <c r="D473" s="714"/>
      <c r="E473" s="713"/>
      <c r="F473" s="713"/>
      <c r="G473" s="713"/>
      <c r="H473" s="713"/>
      <c r="I473" s="713"/>
      <c r="J473" s="713"/>
      <c r="K473" s="713"/>
      <c r="L473" s="713"/>
      <c r="M473" s="713"/>
      <c r="N473" s="713"/>
      <c r="O473" s="713"/>
      <c r="P473" s="713"/>
      <c r="Q473" s="713"/>
      <c r="R473" s="713"/>
      <c r="S473" s="713"/>
      <c r="T473" s="713"/>
      <c r="U473" s="713"/>
      <c r="V473" s="713"/>
      <c r="W473" s="713"/>
      <c r="X473" s="713"/>
      <c r="Y473" s="713"/>
      <c r="Z473" s="713"/>
      <c r="AA473" s="707"/>
      <c r="AB473" s="707"/>
      <c r="AC473" s="707"/>
      <c r="AD473" s="707"/>
      <c r="AE473" s="707"/>
      <c r="AF473" s="707"/>
      <c r="AG473" s="707"/>
      <c r="AH473" s="707"/>
      <c r="AI473" s="707"/>
      <c r="AJ473" s="707"/>
      <c r="AK473" s="707"/>
      <c r="AL473" s="707"/>
      <c r="AM473" s="707"/>
      <c r="AN473" s="707"/>
      <c r="AO473" s="707"/>
      <c r="AP473" s="707"/>
      <c r="AQ473" s="707"/>
      <c r="AR473" s="707"/>
      <c r="AS473" s="707"/>
      <c r="AT473" s="707"/>
      <c r="AU473" s="707"/>
      <c r="AV473" s="707"/>
      <c r="AW473" s="707"/>
      <c r="AX473" s="707"/>
      <c r="AY473" s="707"/>
      <c r="AZ473" s="707"/>
      <c r="BA473" s="707"/>
      <c r="BB473" s="707"/>
      <c r="BC473" s="707"/>
      <c r="BD473" s="707"/>
      <c r="BE473" s="707"/>
      <c r="BF473" s="707"/>
      <c r="BG473" s="707"/>
      <c r="BH473" s="707"/>
      <c r="BI473" s="707"/>
      <c r="BJ473" s="707"/>
      <c r="BK473" s="707"/>
      <c r="BL473" s="707"/>
      <c r="BM473" s="707"/>
      <c r="BN473" s="707"/>
      <c r="BO473" s="707"/>
      <c r="BP473" s="707"/>
      <c r="BQ473" s="707"/>
      <c r="BR473" s="707"/>
      <c r="BS473" s="707"/>
      <c r="BT473" s="707"/>
      <c r="BU473" s="707"/>
      <c r="BV473" s="707"/>
      <c r="BW473" s="707"/>
      <c r="BX473" s="707"/>
      <c r="BY473" s="707"/>
      <c r="BZ473" s="707"/>
      <c r="CA473" s="707"/>
      <c r="CB473" s="707"/>
      <c r="CC473" s="707"/>
      <c r="CD473" s="707"/>
      <c r="CE473" s="707"/>
      <c r="CF473" s="707"/>
      <c r="CG473" s="707"/>
      <c r="CH473" s="707"/>
      <c r="CI473" s="707"/>
      <c r="CJ473" s="707"/>
      <c r="CK473" s="707"/>
      <c r="CL473" s="707"/>
      <c r="CM473" s="707"/>
      <c r="CN473" s="707"/>
      <c r="CO473" s="707"/>
      <c r="CP473" s="707"/>
      <c r="CQ473" s="707"/>
      <c r="CR473" s="707"/>
      <c r="CS473" s="707"/>
      <c r="CT473" s="707"/>
      <c r="CU473" s="707"/>
      <c r="CV473" s="707"/>
      <c r="CW473" s="707"/>
      <c r="CX473" s="707"/>
      <c r="CY473" s="707"/>
      <c r="CZ473" s="707"/>
      <c r="DA473" s="707"/>
      <c r="DB473" s="707"/>
      <c r="DC473" s="707"/>
      <c r="DD473" s="707"/>
      <c r="DE473" s="707"/>
      <c r="DF473" s="707"/>
      <c r="DG473" s="707"/>
      <c r="DH473" s="707"/>
      <c r="DI473" s="707"/>
      <c r="DJ473" s="707"/>
      <c r="DK473" s="707"/>
      <c r="DL473" s="707"/>
      <c r="DM473" s="707"/>
      <c r="DN473" s="707"/>
      <c r="DO473" s="707"/>
      <c r="DP473" s="707"/>
      <c r="DQ473" s="707"/>
      <c r="DR473" s="707"/>
      <c r="DS473" s="707"/>
      <c r="DT473" s="707"/>
      <c r="DU473" s="707"/>
      <c r="DV473" s="707"/>
      <c r="DW473" s="707"/>
      <c r="DX473" s="707"/>
      <c r="DY473" s="707"/>
      <c r="DZ473" s="707"/>
      <c r="EA473" s="707"/>
      <c r="EB473" s="707"/>
      <c r="EC473" s="707"/>
      <c r="ED473" s="707"/>
      <c r="EE473" s="707"/>
      <c r="EF473" s="707"/>
      <c r="EG473" s="707"/>
      <c r="EH473" s="707"/>
      <c r="EI473" s="707"/>
      <c r="EJ473" s="707"/>
      <c r="EK473" s="707"/>
      <c r="EL473" s="707"/>
      <c r="EM473" s="707"/>
      <c r="EN473" s="707"/>
      <c r="EO473" s="707"/>
      <c r="EP473" s="707"/>
      <c r="EQ473" s="707"/>
      <c r="ER473" s="707"/>
      <c r="ES473" s="707"/>
      <c r="ET473" s="707"/>
      <c r="EU473" s="707"/>
      <c r="EV473" s="707"/>
      <c r="EW473" s="707"/>
      <c r="EX473" s="707"/>
      <c r="EY473" s="707"/>
      <c r="EZ473" s="707"/>
      <c r="FA473" s="707"/>
      <c r="FB473" s="707"/>
      <c r="FC473" s="707"/>
      <c r="FD473" s="707"/>
      <c r="FE473" s="707"/>
      <c r="FF473" s="707"/>
      <c r="FG473" s="707"/>
      <c r="FH473" s="707"/>
      <c r="FI473" s="707"/>
      <c r="FJ473" s="707"/>
      <c r="FK473" s="707"/>
      <c r="FL473" s="707"/>
      <c r="FM473" s="707"/>
      <c r="FN473" s="707"/>
      <c r="FO473" s="707"/>
      <c r="FP473" s="707"/>
      <c r="FQ473" s="707"/>
      <c r="FR473" s="707"/>
      <c r="FS473" s="707"/>
      <c r="FT473" s="707"/>
      <c r="FU473" s="707"/>
      <c r="FV473" s="707"/>
      <c r="FW473" s="707"/>
      <c r="FX473" s="707"/>
      <c r="FY473" s="707"/>
      <c r="FZ473" s="707"/>
      <c r="GA473" s="707"/>
      <c r="GB473" s="707"/>
      <c r="GC473" s="707"/>
      <c r="GD473" s="707"/>
      <c r="GE473" s="707"/>
      <c r="GF473" s="707"/>
      <c r="GG473" s="707"/>
      <c r="GH473" s="707"/>
      <c r="GI473" s="707"/>
      <c r="GJ473" s="707"/>
      <c r="GK473" s="707"/>
      <c r="GL473" s="707"/>
      <c r="GM473" s="707"/>
      <c r="GN473" s="707"/>
      <c r="GO473" s="707"/>
      <c r="GP473" s="707"/>
      <c r="GQ473" s="707"/>
      <c r="GR473" s="707"/>
      <c r="GS473" s="707"/>
      <c r="GT473" s="707"/>
      <c r="GU473" s="707"/>
      <c r="GV473" s="707"/>
      <c r="GW473" s="707"/>
      <c r="GX473" s="707"/>
      <c r="GY473" s="707"/>
      <c r="GZ473" s="707"/>
      <c r="HA473" s="707"/>
      <c r="HB473" s="707"/>
      <c r="HC473" s="707"/>
      <c r="HD473" s="707"/>
      <c r="HE473" s="707"/>
      <c r="HF473" s="707"/>
      <c r="HG473" s="707"/>
      <c r="HH473" s="707"/>
      <c r="HI473" s="707"/>
      <c r="HJ473" s="707"/>
      <c r="HK473" s="707"/>
      <c r="HL473" s="707"/>
      <c r="HM473" s="707"/>
      <c r="HN473" s="707"/>
      <c r="HO473" s="707"/>
      <c r="HP473" s="707"/>
      <c r="HQ473" s="707"/>
      <c r="HR473" s="707"/>
      <c r="HS473" s="707"/>
      <c r="HT473" s="707"/>
      <c r="HU473" s="707"/>
      <c r="HV473" s="707"/>
      <c r="HW473" s="707"/>
      <c r="HX473" s="707"/>
      <c r="HY473" s="707"/>
      <c r="HZ473" s="707"/>
      <c r="IA473" s="707"/>
      <c r="IB473" s="707"/>
      <c r="IC473" s="707"/>
      <c r="ID473" s="707"/>
      <c r="IE473" s="707"/>
      <c r="IF473" s="707"/>
      <c r="IG473" s="707"/>
      <c r="IH473" s="707"/>
      <c r="II473" s="707"/>
      <c r="IJ473" s="707"/>
      <c r="IK473" s="707"/>
      <c r="IL473" s="707"/>
      <c r="IM473" s="707"/>
      <c r="IN473" s="707"/>
      <c r="IO473" s="707"/>
      <c r="IP473" s="707"/>
      <c r="IQ473" s="707"/>
      <c r="IR473" s="707"/>
      <c r="IS473" s="707"/>
      <c r="IT473" s="707"/>
      <c r="IU473" s="707"/>
      <c r="IV473" s="707"/>
      <c r="IW473" s="707"/>
    </row>
    <row r="474" customFormat="false" ht="12.75" hidden="false" customHeight="false" outlineLevel="1" collapsed="false">
      <c r="A474" s="367"/>
      <c r="B474" s="715"/>
      <c r="C474" s="715"/>
      <c r="D474" s="715"/>
      <c r="E474" s="713"/>
      <c r="F474" s="713"/>
      <c r="G474" s="713"/>
      <c r="H474" s="713"/>
      <c r="I474" s="713"/>
      <c r="J474" s="713"/>
      <c r="K474" s="713"/>
      <c r="L474" s="713"/>
      <c r="M474" s="713"/>
      <c r="N474" s="713"/>
      <c r="O474" s="713"/>
      <c r="P474" s="713"/>
      <c r="Q474" s="713"/>
      <c r="R474" s="713"/>
      <c r="S474" s="713"/>
      <c r="T474" s="713"/>
      <c r="U474" s="713"/>
      <c r="V474" s="713"/>
      <c r="W474" s="713"/>
      <c r="X474" s="713"/>
      <c r="Y474" s="713"/>
      <c r="Z474" s="713"/>
      <c r="AA474" s="707"/>
      <c r="AB474" s="707"/>
      <c r="AC474" s="707"/>
      <c r="AD474" s="707"/>
      <c r="AE474" s="707"/>
      <c r="AF474" s="707"/>
      <c r="AG474" s="707"/>
      <c r="AH474" s="707"/>
      <c r="AI474" s="707"/>
      <c r="AJ474" s="707"/>
      <c r="AK474" s="707"/>
      <c r="AL474" s="707"/>
      <c r="AM474" s="707"/>
      <c r="AN474" s="707"/>
      <c r="AO474" s="707"/>
      <c r="AP474" s="707"/>
      <c r="AQ474" s="707"/>
      <c r="AR474" s="707"/>
      <c r="AS474" s="707"/>
      <c r="AT474" s="707"/>
      <c r="AU474" s="707"/>
      <c r="AV474" s="707"/>
      <c r="AW474" s="707"/>
      <c r="AX474" s="707"/>
      <c r="AY474" s="707"/>
      <c r="AZ474" s="707"/>
      <c r="BA474" s="707"/>
      <c r="BB474" s="707"/>
      <c r="BC474" s="707"/>
      <c r="BD474" s="707"/>
      <c r="BE474" s="707"/>
      <c r="BF474" s="707"/>
      <c r="BG474" s="707"/>
      <c r="BH474" s="707"/>
      <c r="BI474" s="707"/>
      <c r="BJ474" s="707"/>
      <c r="BK474" s="707"/>
      <c r="BL474" s="707"/>
      <c r="BM474" s="707"/>
      <c r="BN474" s="707"/>
      <c r="BO474" s="707"/>
      <c r="BP474" s="707"/>
      <c r="BQ474" s="707"/>
      <c r="BR474" s="707"/>
      <c r="BS474" s="707"/>
      <c r="BT474" s="707"/>
      <c r="BU474" s="707"/>
      <c r="BV474" s="707"/>
      <c r="BW474" s="707"/>
      <c r="BX474" s="707"/>
      <c r="BY474" s="707"/>
      <c r="BZ474" s="707"/>
      <c r="CA474" s="707"/>
      <c r="CB474" s="707"/>
      <c r="CC474" s="707"/>
      <c r="CD474" s="707"/>
      <c r="CE474" s="707"/>
      <c r="CF474" s="707"/>
      <c r="CG474" s="707"/>
      <c r="CH474" s="707"/>
      <c r="CI474" s="707"/>
      <c r="CJ474" s="707"/>
      <c r="CK474" s="707"/>
      <c r="CL474" s="707"/>
      <c r="CM474" s="707"/>
      <c r="CN474" s="707"/>
      <c r="CO474" s="707"/>
      <c r="CP474" s="707"/>
      <c r="CQ474" s="707"/>
      <c r="CR474" s="707"/>
      <c r="CS474" s="707"/>
      <c r="CT474" s="707"/>
      <c r="CU474" s="707"/>
      <c r="CV474" s="707"/>
      <c r="CW474" s="707"/>
      <c r="CX474" s="707"/>
      <c r="CY474" s="707"/>
      <c r="CZ474" s="707"/>
      <c r="DA474" s="707"/>
      <c r="DB474" s="707"/>
      <c r="DC474" s="707"/>
      <c r="DD474" s="707"/>
      <c r="DE474" s="707"/>
      <c r="DF474" s="707"/>
      <c r="DG474" s="707"/>
      <c r="DH474" s="707"/>
      <c r="DI474" s="707"/>
      <c r="DJ474" s="707"/>
      <c r="DK474" s="707"/>
      <c r="DL474" s="707"/>
      <c r="DM474" s="707"/>
      <c r="DN474" s="707"/>
      <c r="DO474" s="707"/>
      <c r="DP474" s="707"/>
      <c r="DQ474" s="707"/>
      <c r="DR474" s="707"/>
      <c r="DS474" s="707"/>
      <c r="DT474" s="707"/>
      <c r="DU474" s="707"/>
      <c r="DV474" s="707"/>
      <c r="DW474" s="707"/>
      <c r="DX474" s="707"/>
      <c r="DY474" s="707"/>
      <c r="DZ474" s="707"/>
      <c r="EA474" s="707"/>
      <c r="EB474" s="707"/>
      <c r="EC474" s="707"/>
      <c r="ED474" s="707"/>
      <c r="EE474" s="707"/>
      <c r="EF474" s="707"/>
      <c r="EG474" s="707"/>
      <c r="EH474" s="707"/>
      <c r="EI474" s="707"/>
      <c r="EJ474" s="707"/>
      <c r="EK474" s="707"/>
      <c r="EL474" s="707"/>
      <c r="EM474" s="707"/>
      <c r="EN474" s="707"/>
      <c r="EO474" s="707"/>
      <c r="EP474" s="707"/>
      <c r="EQ474" s="707"/>
      <c r="ER474" s="707"/>
      <c r="ES474" s="707"/>
      <c r="ET474" s="707"/>
      <c r="EU474" s="707"/>
      <c r="EV474" s="707"/>
      <c r="EW474" s="707"/>
      <c r="EX474" s="707"/>
      <c r="EY474" s="707"/>
      <c r="EZ474" s="707"/>
      <c r="FA474" s="707"/>
      <c r="FB474" s="707"/>
      <c r="FC474" s="707"/>
      <c r="FD474" s="707"/>
      <c r="FE474" s="707"/>
      <c r="FF474" s="707"/>
      <c r="FG474" s="707"/>
      <c r="FH474" s="707"/>
      <c r="FI474" s="707"/>
      <c r="FJ474" s="707"/>
      <c r="FK474" s="707"/>
      <c r="FL474" s="707"/>
      <c r="FM474" s="707"/>
      <c r="FN474" s="707"/>
      <c r="FO474" s="707"/>
      <c r="FP474" s="707"/>
      <c r="FQ474" s="707"/>
      <c r="FR474" s="707"/>
      <c r="FS474" s="707"/>
      <c r="FT474" s="707"/>
      <c r="FU474" s="707"/>
      <c r="FV474" s="707"/>
      <c r="FW474" s="707"/>
      <c r="FX474" s="707"/>
      <c r="FY474" s="707"/>
      <c r="FZ474" s="707"/>
      <c r="GA474" s="707"/>
      <c r="GB474" s="707"/>
      <c r="GC474" s="707"/>
      <c r="GD474" s="707"/>
      <c r="GE474" s="707"/>
      <c r="GF474" s="707"/>
      <c r="GG474" s="707"/>
      <c r="GH474" s="707"/>
      <c r="GI474" s="707"/>
      <c r="GJ474" s="707"/>
      <c r="GK474" s="707"/>
      <c r="GL474" s="707"/>
      <c r="GM474" s="707"/>
      <c r="GN474" s="707"/>
      <c r="GO474" s="707"/>
      <c r="GP474" s="707"/>
      <c r="GQ474" s="707"/>
      <c r="GR474" s="707"/>
      <c r="GS474" s="707"/>
      <c r="GT474" s="707"/>
      <c r="GU474" s="707"/>
      <c r="GV474" s="707"/>
      <c r="GW474" s="707"/>
      <c r="GX474" s="707"/>
      <c r="GY474" s="707"/>
      <c r="GZ474" s="707"/>
      <c r="HA474" s="707"/>
      <c r="HB474" s="707"/>
      <c r="HC474" s="707"/>
      <c r="HD474" s="707"/>
      <c r="HE474" s="707"/>
      <c r="HF474" s="707"/>
      <c r="HG474" s="707"/>
      <c r="HH474" s="707"/>
      <c r="HI474" s="707"/>
      <c r="HJ474" s="707"/>
      <c r="HK474" s="707"/>
      <c r="HL474" s="707"/>
      <c r="HM474" s="707"/>
      <c r="HN474" s="707"/>
      <c r="HO474" s="707"/>
      <c r="HP474" s="707"/>
      <c r="HQ474" s="707"/>
      <c r="HR474" s="707"/>
      <c r="HS474" s="707"/>
      <c r="HT474" s="707"/>
      <c r="HU474" s="707"/>
      <c r="HV474" s="707"/>
      <c r="HW474" s="707"/>
      <c r="HX474" s="707"/>
      <c r="HY474" s="707"/>
      <c r="HZ474" s="707"/>
      <c r="IA474" s="707"/>
      <c r="IB474" s="707"/>
      <c r="IC474" s="707"/>
      <c r="ID474" s="707"/>
      <c r="IE474" s="707"/>
      <c r="IF474" s="707"/>
      <c r="IG474" s="707"/>
      <c r="IH474" s="707"/>
      <c r="II474" s="707"/>
      <c r="IJ474" s="707"/>
      <c r="IK474" s="707"/>
      <c r="IL474" s="707"/>
      <c r="IM474" s="707"/>
      <c r="IN474" s="707"/>
      <c r="IO474" s="707"/>
      <c r="IP474" s="707"/>
      <c r="IQ474" s="707"/>
      <c r="IR474" s="707"/>
      <c r="IS474" s="707"/>
      <c r="IT474" s="707"/>
      <c r="IU474" s="707"/>
      <c r="IV474" s="707"/>
      <c r="IW474" s="707"/>
    </row>
    <row r="475" customFormat="false" ht="12.75" hidden="false" customHeight="false" outlineLevel="1" collapsed="false">
      <c r="A475" s="366"/>
      <c r="B475" s="712"/>
      <c r="C475" s="712"/>
      <c r="D475" s="712"/>
      <c r="E475" s="713"/>
      <c r="F475" s="713"/>
      <c r="G475" s="713"/>
      <c r="H475" s="713"/>
      <c r="I475" s="713"/>
      <c r="J475" s="713"/>
      <c r="K475" s="713"/>
      <c r="L475" s="713"/>
      <c r="M475" s="713"/>
      <c r="N475" s="713"/>
      <c r="O475" s="713"/>
      <c r="P475" s="713"/>
      <c r="Q475" s="713"/>
      <c r="R475" s="713"/>
      <c r="S475" s="713"/>
      <c r="T475" s="713"/>
      <c r="U475" s="713"/>
      <c r="V475" s="713"/>
      <c r="W475" s="713"/>
      <c r="X475" s="713"/>
      <c r="Y475" s="713"/>
      <c r="Z475" s="713"/>
      <c r="AA475" s="707"/>
      <c r="AB475" s="707"/>
      <c r="AC475" s="707"/>
      <c r="AD475" s="707"/>
      <c r="AE475" s="707"/>
      <c r="AF475" s="707"/>
      <c r="AG475" s="707"/>
      <c r="AH475" s="707"/>
      <c r="AI475" s="707"/>
      <c r="AJ475" s="707"/>
      <c r="AK475" s="707"/>
      <c r="AL475" s="707"/>
      <c r="AM475" s="707"/>
      <c r="AN475" s="707"/>
      <c r="AO475" s="707"/>
      <c r="AP475" s="707"/>
      <c r="AQ475" s="707"/>
      <c r="AR475" s="707"/>
      <c r="AS475" s="707"/>
      <c r="AT475" s="707"/>
      <c r="AU475" s="707"/>
      <c r="AV475" s="707"/>
      <c r="AW475" s="707"/>
      <c r="AX475" s="707"/>
      <c r="AY475" s="707"/>
      <c r="AZ475" s="707"/>
      <c r="BA475" s="707"/>
      <c r="BB475" s="707"/>
      <c r="BC475" s="707"/>
      <c r="BD475" s="707"/>
      <c r="BE475" s="707"/>
      <c r="BF475" s="707"/>
      <c r="BG475" s="707"/>
      <c r="BH475" s="707"/>
      <c r="BI475" s="707"/>
      <c r="BJ475" s="707"/>
      <c r="BK475" s="707"/>
      <c r="BL475" s="707"/>
      <c r="BM475" s="707"/>
      <c r="BN475" s="707"/>
      <c r="BO475" s="707"/>
      <c r="BP475" s="707"/>
      <c r="BQ475" s="707"/>
      <c r="BR475" s="707"/>
      <c r="BS475" s="707"/>
      <c r="BT475" s="707"/>
      <c r="BU475" s="707"/>
      <c r="BV475" s="707"/>
      <c r="BW475" s="707"/>
      <c r="BX475" s="707"/>
      <c r="BY475" s="707"/>
      <c r="BZ475" s="707"/>
      <c r="CA475" s="707"/>
      <c r="CB475" s="707"/>
      <c r="CC475" s="707"/>
      <c r="CD475" s="707"/>
      <c r="CE475" s="707"/>
      <c r="CF475" s="707"/>
      <c r="CG475" s="707"/>
      <c r="CH475" s="707"/>
      <c r="CI475" s="707"/>
      <c r="CJ475" s="707"/>
      <c r="CK475" s="707"/>
      <c r="CL475" s="707"/>
      <c r="CM475" s="707"/>
      <c r="CN475" s="707"/>
      <c r="CO475" s="707"/>
      <c r="CP475" s="707"/>
      <c r="CQ475" s="707"/>
      <c r="CR475" s="707"/>
      <c r="CS475" s="707"/>
      <c r="CT475" s="707"/>
      <c r="CU475" s="707"/>
      <c r="CV475" s="707"/>
      <c r="CW475" s="707"/>
      <c r="CX475" s="707"/>
      <c r="CY475" s="707"/>
      <c r="CZ475" s="707"/>
      <c r="DA475" s="707"/>
      <c r="DB475" s="707"/>
      <c r="DC475" s="707"/>
      <c r="DD475" s="707"/>
      <c r="DE475" s="707"/>
      <c r="DF475" s="707"/>
      <c r="DG475" s="707"/>
      <c r="DH475" s="707"/>
      <c r="DI475" s="707"/>
      <c r="DJ475" s="707"/>
      <c r="DK475" s="707"/>
      <c r="DL475" s="707"/>
      <c r="DM475" s="707"/>
      <c r="DN475" s="707"/>
      <c r="DO475" s="707"/>
      <c r="DP475" s="707"/>
      <c r="DQ475" s="707"/>
      <c r="DR475" s="707"/>
      <c r="DS475" s="707"/>
      <c r="DT475" s="707"/>
      <c r="DU475" s="707"/>
      <c r="DV475" s="707"/>
      <c r="DW475" s="707"/>
      <c r="DX475" s="707"/>
      <c r="DY475" s="707"/>
      <c r="DZ475" s="707"/>
      <c r="EA475" s="707"/>
      <c r="EB475" s="707"/>
      <c r="EC475" s="707"/>
      <c r="ED475" s="707"/>
      <c r="EE475" s="707"/>
      <c r="EF475" s="707"/>
      <c r="EG475" s="707"/>
      <c r="EH475" s="707"/>
      <c r="EI475" s="707"/>
      <c r="EJ475" s="707"/>
      <c r="EK475" s="707"/>
      <c r="EL475" s="707"/>
      <c r="EM475" s="707"/>
      <c r="EN475" s="707"/>
      <c r="EO475" s="707"/>
      <c r="EP475" s="707"/>
      <c r="EQ475" s="707"/>
      <c r="ER475" s="707"/>
      <c r="ES475" s="707"/>
      <c r="ET475" s="707"/>
      <c r="EU475" s="707"/>
      <c r="EV475" s="707"/>
      <c r="EW475" s="707"/>
      <c r="EX475" s="707"/>
      <c r="EY475" s="707"/>
      <c r="EZ475" s="707"/>
      <c r="FA475" s="707"/>
      <c r="FB475" s="707"/>
      <c r="FC475" s="707"/>
      <c r="FD475" s="707"/>
      <c r="FE475" s="707"/>
      <c r="FF475" s="707"/>
      <c r="FG475" s="707"/>
      <c r="FH475" s="707"/>
      <c r="FI475" s="707"/>
      <c r="FJ475" s="707"/>
      <c r="FK475" s="707"/>
      <c r="FL475" s="707"/>
      <c r="FM475" s="707"/>
      <c r="FN475" s="707"/>
      <c r="FO475" s="707"/>
      <c r="FP475" s="707"/>
      <c r="FQ475" s="707"/>
      <c r="FR475" s="707"/>
      <c r="FS475" s="707"/>
      <c r="FT475" s="707"/>
      <c r="FU475" s="707"/>
      <c r="FV475" s="707"/>
      <c r="FW475" s="707"/>
      <c r="FX475" s="707"/>
      <c r="FY475" s="707"/>
      <c r="FZ475" s="707"/>
      <c r="GA475" s="707"/>
      <c r="GB475" s="707"/>
      <c r="GC475" s="707"/>
      <c r="GD475" s="707"/>
      <c r="GE475" s="707"/>
      <c r="GF475" s="707"/>
      <c r="GG475" s="707"/>
      <c r="GH475" s="707"/>
      <c r="GI475" s="707"/>
      <c r="GJ475" s="707"/>
      <c r="GK475" s="707"/>
      <c r="GL475" s="707"/>
      <c r="GM475" s="707"/>
      <c r="GN475" s="707"/>
      <c r="GO475" s="707"/>
      <c r="GP475" s="707"/>
      <c r="GQ475" s="707"/>
      <c r="GR475" s="707"/>
      <c r="GS475" s="707"/>
      <c r="GT475" s="707"/>
      <c r="GU475" s="707"/>
      <c r="GV475" s="707"/>
      <c r="GW475" s="707"/>
      <c r="GX475" s="707"/>
      <c r="GY475" s="707"/>
      <c r="GZ475" s="707"/>
      <c r="HA475" s="707"/>
      <c r="HB475" s="707"/>
      <c r="HC475" s="707"/>
      <c r="HD475" s="707"/>
      <c r="HE475" s="707"/>
      <c r="HF475" s="707"/>
      <c r="HG475" s="707"/>
      <c r="HH475" s="707"/>
      <c r="HI475" s="707"/>
      <c r="HJ475" s="707"/>
      <c r="HK475" s="707"/>
      <c r="HL475" s="707"/>
      <c r="HM475" s="707"/>
      <c r="HN475" s="707"/>
      <c r="HO475" s="707"/>
      <c r="HP475" s="707"/>
      <c r="HQ475" s="707"/>
      <c r="HR475" s="707"/>
      <c r="HS475" s="707"/>
      <c r="HT475" s="707"/>
      <c r="HU475" s="707"/>
      <c r="HV475" s="707"/>
      <c r="HW475" s="707"/>
      <c r="HX475" s="707"/>
      <c r="HY475" s="707"/>
      <c r="HZ475" s="707"/>
      <c r="IA475" s="707"/>
      <c r="IB475" s="707"/>
      <c r="IC475" s="707"/>
      <c r="ID475" s="707"/>
      <c r="IE475" s="707"/>
      <c r="IF475" s="707"/>
      <c r="IG475" s="707"/>
      <c r="IH475" s="707"/>
      <c r="II475" s="707"/>
      <c r="IJ475" s="707"/>
      <c r="IK475" s="707"/>
      <c r="IL475" s="707"/>
      <c r="IM475" s="707"/>
      <c r="IN475" s="707"/>
      <c r="IO475" s="707"/>
      <c r="IP475" s="707"/>
      <c r="IQ475" s="707"/>
      <c r="IR475" s="707"/>
      <c r="IS475" s="707"/>
      <c r="IT475" s="707"/>
      <c r="IU475" s="707"/>
      <c r="IV475" s="707"/>
      <c r="IW475" s="707"/>
    </row>
    <row r="476" customFormat="false" ht="12.75" hidden="false" customHeight="false" outlineLevel="1" collapsed="false">
      <c r="A476" s="245"/>
      <c r="B476" s="707"/>
      <c r="C476" s="707"/>
      <c r="D476" s="707"/>
      <c r="E476" s="713"/>
      <c r="F476" s="713"/>
      <c r="G476" s="713"/>
      <c r="H476" s="713"/>
      <c r="I476" s="713"/>
      <c r="J476" s="713"/>
      <c r="K476" s="713"/>
      <c r="L476" s="713"/>
      <c r="M476" s="713"/>
      <c r="N476" s="713"/>
      <c r="O476" s="713"/>
      <c r="P476" s="713"/>
      <c r="Q476" s="713"/>
      <c r="R476" s="713"/>
      <c r="S476" s="713"/>
      <c r="T476" s="713"/>
      <c r="U476" s="713"/>
      <c r="V476" s="713"/>
      <c r="W476" s="713"/>
      <c r="X476" s="713"/>
      <c r="Y476" s="713"/>
      <c r="Z476" s="713"/>
      <c r="AA476" s="707"/>
      <c r="AB476" s="707"/>
      <c r="AC476" s="707"/>
      <c r="AD476" s="707"/>
      <c r="AE476" s="707"/>
      <c r="AF476" s="707"/>
      <c r="AG476" s="707"/>
      <c r="AH476" s="707"/>
      <c r="AI476" s="707"/>
      <c r="AJ476" s="707"/>
      <c r="AK476" s="707"/>
      <c r="AL476" s="707"/>
      <c r="AM476" s="707"/>
      <c r="AN476" s="707"/>
      <c r="AO476" s="707"/>
      <c r="AP476" s="707"/>
      <c r="AQ476" s="707"/>
      <c r="AR476" s="707"/>
      <c r="AS476" s="707"/>
      <c r="AT476" s="707"/>
      <c r="AU476" s="707"/>
      <c r="AV476" s="707"/>
      <c r="AW476" s="707"/>
      <c r="AX476" s="707"/>
      <c r="AY476" s="707"/>
      <c r="AZ476" s="707"/>
      <c r="BA476" s="707"/>
      <c r="BB476" s="707"/>
      <c r="BC476" s="707"/>
      <c r="BD476" s="707"/>
      <c r="BE476" s="707"/>
      <c r="BF476" s="707"/>
      <c r="BG476" s="707"/>
      <c r="BH476" s="707"/>
      <c r="BI476" s="707"/>
      <c r="BJ476" s="707"/>
      <c r="BK476" s="707"/>
      <c r="BL476" s="707"/>
      <c r="BM476" s="707"/>
      <c r="BN476" s="707"/>
      <c r="BO476" s="707"/>
      <c r="BP476" s="707"/>
      <c r="BQ476" s="707"/>
      <c r="BR476" s="707"/>
      <c r="BS476" s="707"/>
      <c r="BT476" s="707"/>
      <c r="BU476" s="707"/>
      <c r="BV476" s="707"/>
      <c r="BW476" s="707"/>
      <c r="BX476" s="707"/>
      <c r="BY476" s="707"/>
      <c r="BZ476" s="707"/>
      <c r="CA476" s="707"/>
      <c r="CB476" s="707"/>
      <c r="CC476" s="707"/>
      <c r="CD476" s="707"/>
      <c r="CE476" s="707"/>
      <c r="CF476" s="707"/>
      <c r="CG476" s="707"/>
      <c r="CH476" s="707"/>
      <c r="CI476" s="707"/>
      <c r="CJ476" s="707"/>
      <c r="CK476" s="707"/>
      <c r="CL476" s="707"/>
      <c r="CM476" s="707"/>
      <c r="CN476" s="707"/>
      <c r="CO476" s="707"/>
      <c r="CP476" s="707"/>
      <c r="CQ476" s="707"/>
      <c r="CR476" s="707"/>
      <c r="CS476" s="707"/>
      <c r="CT476" s="707"/>
      <c r="CU476" s="707"/>
      <c r="CV476" s="707"/>
      <c r="CW476" s="707"/>
      <c r="CX476" s="707"/>
      <c r="CY476" s="707"/>
      <c r="CZ476" s="707"/>
      <c r="DA476" s="707"/>
      <c r="DB476" s="707"/>
      <c r="DC476" s="707"/>
      <c r="DD476" s="707"/>
      <c r="DE476" s="707"/>
      <c r="DF476" s="707"/>
      <c r="DG476" s="707"/>
      <c r="DH476" s="707"/>
      <c r="DI476" s="707"/>
      <c r="DJ476" s="707"/>
      <c r="DK476" s="707"/>
      <c r="DL476" s="707"/>
      <c r="DM476" s="707"/>
      <c r="DN476" s="707"/>
      <c r="DO476" s="707"/>
      <c r="DP476" s="707"/>
      <c r="DQ476" s="707"/>
      <c r="DR476" s="707"/>
      <c r="DS476" s="707"/>
      <c r="DT476" s="707"/>
      <c r="DU476" s="707"/>
      <c r="DV476" s="707"/>
      <c r="DW476" s="707"/>
      <c r="DX476" s="707"/>
      <c r="DY476" s="707"/>
      <c r="DZ476" s="707"/>
      <c r="EA476" s="707"/>
      <c r="EB476" s="707"/>
      <c r="EC476" s="707"/>
      <c r="ED476" s="707"/>
      <c r="EE476" s="707"/>
      <c r="EF476" s="707"/>
      <c r="EG476" s="707"/>
      <c r="EH476" s="707"/>
      <c r="EI476" s="707"/>
      <c r="EJ476" s="707"/>
      <c r="EK476" s="707"/>
      <c r="EL476" s="707"/>
      <c r="EM476" s="707"/>
      <c r="EN476" s="707"/>
      <c r="EO476" s="707"/>
      <c r="EP476" s="707"/>
      <c r="EQ476" s="707"/>
      <c r="ER476" s="707"/>
      <c r="ES476" s="707"/>
      <c r="ET476" s="707"/>
      <c r="EU476" s="707"/>
      <c r="EV476" s="707"/>
      <c r="EW476" s="707"/>
      <c r="EX476" s="707"/>
      <c r="EY476" s="707"/>
      <c r="EZ476" s="707"/>
      <c r="FA476" s="707"/>
      <c r="FB476" s="707"/>
      <c r="FC476" s="707"/>
      <c r="FD476" s="707"/>
      <c r="FE476" s="707"/>
      <c r="FF476" s="707"/>
      <c r="FG476" s="707"/>
      <c r="FH476" s="707"/>
      <c r="FI476" s="707"/>
      <c r="FJ476" s="707"/>
      <c r="FK476" s="707"/>
      <c r="FL476" s="707"/>
      <c r="FM476" s="707"/>
      <c r="FN476" s="707"/>
      <c r="FO476" s="707"/>
      <c r="FP476" s="707"/>
      <c r="FQ476" s="707"/>
      <c r="FR476" s="707"/>
      <c r="FS476" s="707"/>
      <c r="FT476" s="707"/>
      <c r="FU476" s="707"/>
      <c r="FV476" s="707"/>
      <c r="FW476" s="707"/>
      <c r="FX476" s="707"/>
      <c r="FY476" s="707"/>
      <c r="FZ476" s="707"/>
      <c r="GA476" s="707"/>
      <c r="GB476" s="707"/>
      <c r="GC476" s="707"/>
      <c r="GD476" s="707"/>
      <c r="GE476" s="707"/>
      <c r="GF476" s="707"/>
      <c r="GG476" s="707"/>
      <c r="GH476" s="707"/>
      <c r="GI476" s="707"/>
      <c r="GJ476" s="707"/>
      <c r="GK476" s="707"/>
      <c r="GL476" s="707"/>
      <c r="GM476" s="707"/>
      <c r="GN476" s="707"/>
      <c r="GO476" s="707"/>
      <c r="GP476" s="707"/>
      <c r="GQ476" s="707"/>
      <c r="GR476" s="707"/>
      <c r="GS476" s="707"/>
      <c r="GT476" s="707"/>
      <c r="GU476" s="707"/>
      <c r="GV476" s="707"/>
      <c r="GW476" s="707"/>
      <c r="GX476" s="707"/>
      <c r="GY476" s="707"/>
      <c r="GZ476" s="707"/>
      <c r="HA476" s="707"/>
      <c r="HB476" s="707"/>
      <c r="HC476" s="707"/>
      <c r="HD476" s="707"/>
      <c r="HE476" s="707"/>
      <c r="HF476" s="707"/>
      <c r="HG476" s="707"/>
      <c r="HH476" s="707"/>
      <c r="HI476" s="707"/>
      <c r="HJ476" s="707"/>
      <c r="HK476" s="707"/>
      <c r="HL476" s="707"/>
      <c r="HM476" s="707"/>
      <c r="HN476" s="707"/>
      <c r="HO476" s="707"/>
      <c r="HP476" s="707"/>
      <c r="HQ476" s="707"/>
      <c r="HR476" s="707"/>
      <c r="HS476" s="707"/>
      <c r="HT476" s="707"/>
      <c r="HU476" s="707"/>
      <c r="HV476" s="707"/>
      <c r="HW476" s="707"/>
      <c r="HX476" s="707"/>
      <c r="HY476" s="707"/>
      <c r="HZ476" s="707"/>
      <c r="IA476" s="707"/>
      <c r="IB476" s="707"/>
      <c r="IC476" s="707"/>
      <c r="ID476" s="707"/>
      <c r="IE476" s="707"/>
      <c r="IF476" s="707"/>
      <c r="IG476" s="707"/>
      <c r="IH476" s="707"/>
      <c r="II476" s="707"/>
      <c r="IJ476" s="707"/>
      <c r="IK476" s="707"/>
      <c r="IL476" s="707"/>
      <c r="IM476" s="707"/>
      <c r="IN476" s="707"/>
      <c r="IO476" s="707"/>
      <c r="IP476" s="707"/>
      <c r="IQ476" s="707"/>
      <c r="IR476" s="707"/>
      <c r="IS476" s="707"/>
      <c r="IT476" s="707"/>
      <c r="IU476" s="707"/>
      <c r="IV476" s="707"/>
      <c r="IW476" s="707"/>
    </row>
    <row r="477" customFormat="false" ht="12.75" hidden="false" customHeight="false" outlineLevel="1" collapsed="false">
      <c r="A477" s="388"/>
      <c r="B477" s="706"/>
      <c r="C477" s="706"/>
      <c r="D477" s="706"/>
      <c r="E477" s="713"/>
      <c r="F477" s="713"/>
      <c r="G477" s="713"/>
      <c r="H477" s="713"/>
      <c r="I477" s="713"/>
      <c r="J477" s="713"/>
      <c r="K477" s="713"/>
      <c r="L477" s="713"/>
      <c r="M477" s="713"/>
      <c r="N477" s="713"/>
      <c r="O477" s="713"/>
      <c r="P477" s="713"/>
      <c r="Q477" s="713"/>
      <c r="R477" s="713"/>
      <c r="S477" s="713"/>
      <c r="T477" s="713"/>
      <c r="U477" s="713"/>
      <c r="V477" s="713"/>
      <c r="W477" s="713"/>
      <c r="X477" s="713"/>
      <c r="Y477" s="713"/>
      <c r="Z477" s="713"/>
      <c r="AA477" s="707"/>
      <c r="AB477" s="707"/>
      <c r="AC477" s="707"/>
      <c r="AD477" s="707"/>
      <c r="AE477" s="707"/>
      <c r="AF477" s="707"/>
      <c r="AG477" s="707"/>
      <c r="AH477" s="707"/>
      <c r="AI477" s="707"/>
      <c r="AJ477" s="707"/>
      <c r="AK477" s="707"/>
      <c r="AL477" s="707"/>
      <c r="AM477" s="707"/>
      <c r="AN477" s="707"/>
      <c r="AO477" s="707"/>
      <c r="AP477" s="707"/>
      <c r="AQ477" s="707"/>
      <c r="AR477" s="707"/>
      <c r="AS477" s="707"/>
      <c r="AT477" s="707"/>
      <c r="AU477" s="707"/>
      <c r="AV477" s="707"/>
      <c r="AW477" s="707"/>
      <c r="AX477" s="707"/>
      <c r="AY477" s="707"/>
      <c r="AZ477" s="707"/>
      <c r="BA477" s="707"/>
      <c r="BB477" s="707"/>
      <c r="BC477" s="707"/>
      <c r="BD477" s="707"/>
      <c r="BE477" s="707"/>
      <c r="BF477" s="707"/>
      <c r="BG477" s="707"/>
      <c r="BH477" s="707"/>
      <c r="BI477" s="707"/>
      <c r="BJ477" s="707"/>
      <c r="BK477" s="707"/>
      <c r="BL477" s="707"/>
      <c r="BM477" s="707"/>
      <c r="BN477" s="707"/>
      <c r="BO477" s="707"/>
      <c r="BP477" s="707"/>
      <c r="BQ477" s="707"/>
      <c r="BR477" s="707"/>
      <c r="BS477" s="707"/>
      <c r="BT477" s="707"/>
      <c r="BU477" s="707"/>
      <c r="BV477" s="707"/>
      <c r="BW477" s="707"/>
      <c r="BX477" s="707"/>
      <c r="BY477" s="707"/>
      <c r="BZ477" s="707"/>
      <c r="CA477" s="707"/>
      <c r="CB477" s="707"/>
      <c r="CC477" s="707"/>
      <c r="CD477" s="707"/>
      <c r="CE477" s="707"/>
      <c r="CF477" s="707"/>
      <c r="CG477" s="707"/>
      <c r="CH477" s="707"/>
      <c r="CI477" s="707"/>
      <c r="CJ477" s="707"/>
      <c r="CK477" s="707"/>
      <c r="CL477" s="707"/>
      <c r="CM477" s="707"/>
      <c r="CN477" s="707"/>
      <c r="CO477" s="707"/>
      <c r="CP477" s="707"/>
      <c r="CQ477" s="707"/>
      <c r="CR477" s="707"/>
      <c r="CS477" s="707"/>
      <c r="CT477" s="707"/>
      <c r="CU477" s="707"/>
      <c r="CV477" s="707"/>
      <c r="CW477" s="707"/>
      <c r="CX477" s="707"/>
      <c r="CY477" s="707"/>
      <c r="CZ477" s="707"/>
      <c r="DA477" s="707"/>
      <c r="DB477" s="707"/>
      <c r="DC477" s="707"/>
      <c r="DD477" s="707"/>
      <c r="DE477" s="707"/>
      <c r="DF477" s="707"/>
      <c r="DG477" s="707"/>
      <c r="DH477" s="707"/>
      <c r="DI477" s="707"/>
      <c r="DJ477" s="707"/>
      <c r="DK477" s="707"/>
      <c r="DL477" s="707"/>
      <c r="DM477" s="707"/>
      <c r="DN477" s="707"/>
      <c r="DO477" s="707"/>
      <c r="DP477" s="707"/>
      <c r="DQ477" s="707"/>
      <c r="DR477" s="707"/>
      <c r="DS477" s="707"/>
      <c r="DT477" s="707"/>
      <c r="DU477" s="707"/>
      <c r="DV477" s="707"/>
      <c r="DW477" s="707"/>
      <c r="DX477" s="707"/>
      <c r="DY477" s="707"/>
      <c r="DZ477" s="707"/>
      <c r="EA477" s="707"/>
      <c r="EB477" s="707"/>
      <c r="EC477" s="707"/>
      <c r="ED477" s="707"/>
      <c r="EE477" s="707"/>
      <c r="EF477" s="707"/>
      <c r="EG477" s="707"/>
      <c r="EH477" s="707"/>
      <c r="EI477" s="707"/>
      <c r="EJ477" s="707"/>
      <c r="EK477" s="707"/>
      <c r="EL477" s="707"/>
      <c r="EM477" s="707"/>
      <c r="EN477" s="707"/>
      <c r="EO477" s="707"/>
      <c r="EP477" s="707"/>
      <c r="EQ477" s="707"/>
      <c r="ER477" s="707"/>
      <c r="ES477" s="707"/>
      <c r="ET477" s="707"/>
      <c r="EU477" s="707"/>
      <c r="EV477" s="707"/>
      <c r="EW477" s="707"/>
      <c r="EX477" s="707"/>
      <c r="EY477" s="707"/>
      <c r="EZ477" s="707"/>
      <c r="FA477" s="707"/>
      <c r="FB477" s="707"/>
      <c r="FC477" s="707"/>
      <c r="FD477" s="707"/>
      <c r="FE477" s="707"/>
      <c r="FF477" s="707"/>
      <c r="FG477" s="707"/>
      <c r="FH477" s="707"/>
      <c r="FI477" s="707"/>
      <c r="FJ477" s="707"/>
      <c r="FK477" s="707"/>
      <c r="FL477" s="707"/>
      <c r="FM477" s="707"/>
      <c r="FN477" s="707"/>
      <c r="FO477" s="707"/>
      <c r="FP477" s="707"/>
      <c r="FQ477" s="707"/>
      <c r="FR477" s="707"/>
      <c r="FS477" s="707"/>
      <c r="FT477" s="707"/>
      <c r="FU477" s="707"/>
      <c r="FV477" s="707"/>
      <c r="FW477" s="707"/>
      <c r="FX477" s="707"/>
      <c r="FY477" s="707"/>
      <c r="FZ477" s="707"/>
      <c r="GA477" s="707"/>
      <c r="GB477" s="707"/>
      <c r="GC477" s="707"/>
      <c r="GD477" s="707"/>
      <c r="GE477" s="707"/>
      <c r="GF477" s="707"/>
      <c r="GG477" s="707"/>
      <c r="GH477" s="707"/>
      <c r="GI477" s="707"/>
      <c r="GJ477" s="707"/>
      <c r="GK477" s="707"/>
      <c r="GL477" s="707"/>
      <c r="GM477" s="707"/>
      <c r="GN477" s="707"/>
      <c r="GO477" s="707"/>
      <c r="GP477" s="707"/>
      <c r="GQ477" s="707"/>
      <c r="GR477" s="707"/>
      <c r="GS477" s="707"/>
      <c r="GT477" s="707"/>
      <c r="GU477" s="707"/>
      <c r="GV477" s="707"/>
      <c r="GW477" s="707"/>
      <c r="GX477" s="707"/>
      <c r="GY477" s="707"/>
      <c r="GZ477" s="707"/>
      <c r="HA477" s="707"/>
      <c r="HB477" s="707"/>
      <c r="HC477" s="707"/>
      <c r="HD477" s="707"/>
      <c r="HE477" s="707"/>
      <c r="HF477" s="707"/>
      <c r="HG477" s="707"/>
      <c r="HH477" s="707"/>
      <c r="HI477" s="707"/>
      <c r="HJ477" s="707"/>
      <c r="HK477" s="707"/>
      <c r="HL477" s="707"/>
      <c r="HM477" s="707"/>
      <c r="HN477" s="707"/>
      <c r="HO477" s="707"/>
      <c r="HP477" s="707"/>
      <c r="HQ477" s="707"/>
      <c r="HR477" s="707"/>
      <c r="HS477" s="707"/>
      <c r="HT477" s="707"/>
      <c r="HU477" s="707"/>
      <c r="HV477" s="707"/>
      <c r="HW477" s="707"/>
      <c r="HX477" s="707"/>
      <c r="HY477" s="707"/>
      <c r="HZ477" s="707"/>
      <c r="IA477" s="707"/>
      <c r="IB477" s="707"/>
      <c r="IC477" s="707"/>
      <c r="ID477" s="707"/>
      <c r="IE477" s="707"/>
      <c r="IF477" s="707"/>
      <c r="IG477" s="707"/>
      <c r="IH477" s="707"/>
      <c r="II477" s="707"/>
      <c r="IJ477" s="707"/>
      <c r="IK477" s="707"/>
      <c r="IL477" s="707"/>
      <c r="IM477" s="707"/>
      <c r="IN477" s="707"/>
      <c r="IO477" s="707"/>
      <c r="IP477" s="707"/>
      <c r="IQ477" s="707"/>
      <c r="IR477" s="707"/>
      <c r="IS477" s="707"/>
      <c r="IT477" s="707"/>
      <c r="IU477" s="707"/>
      <c r="IV477" s="707"/>
      <c r="IW477" s="707"/>
    </row>
    <row r="478" customFormat="false" ht="12.75" hidden="false" customHeight="false" outlineLevel="1" collapsed="false">
      <c r="A478" s="716"/>
      <c r="B478" s="717"/>
      <c r="C478" s="717"/>
      <c r="D478" s="717"/>
      <c r="E478" s="713"/>
      <c r="F478" s="713"/>
      <c r="G478" s="713"/>
      <c r="H478" s="713"/>
      <c r="I478" s="713"/>
      <c r="J478" s="713"/>
      <c r="K478" s="713"/>
      <c r="L478" s="713"/>
      <c r="M478" s="713"/>
      <c r="N478" s="713"/>
      <c r="O478" s="713"/>
      <c r="P478" s="713"/>
      <c r="Q478" s="713"/>
      <c r="R478" s="713"/>
      <c r="S478" s="713"/>
      <c r="T478" s="713"/>
      <c r="U478" s="713"/>
      <c r="V478" s="713"/>
      <c r="W478" s="713"/>
      <c r="X478" s="713"/>
      <c r="Y478" s="713"/>
      <c r="Z478" s="713"/>
      <c r="AA478" s="707"/>
      <c r="AB478" s="707"/>
      <c r="AC478" s="707"/>
      <c r="AD478" s="707"/>
      <c r="AE478" s="707"/>
      <c r="AF478" s="707"/>
      <c r="AG478" s="707"/>
      <c r="AH478" s="707"/>
      <c r="AI478" s="707"/>
      <c r="AJ478" s="707"/>
      <c r="AK478" s="707"/>
      <c r="AL478" s="707"/>
      <c r="AM478" s="707"/>
      <c r="AN478" s="707"/>
      <c r="AO478" s="707"/>
      <c r="AP478" s="707"/>
      <c r="AQ478" s="707"/>
      <c r="AR478" s="707"/>
      <c r="AS478" s="707"/>
      <c r="AT478" s="707"/>
      <c r="AU478" s="707"/>
      <c r="AV478" s="707"/>
      <c r="AW478" s="707"/>
      <c r="AX478" s="707"/>
      <c r="AY478" s="707"/>
      <c r="AZ478" s="707"/>
      <c r="BA478" s="707"/>
      <c r="BB478" s="707"/>
      <c r="BC478" s="707"/>
      <c r="BD478" s="707"/>
      <c r="BE478" s="707"/>
      <c r="BF478" s="707"/>
      <c r="BG478" s="707"/>
      <c r="BH478" s="707"/>
      <c r="BI478" s="707"/>
      <c r="BJ478" s="707"/>
      <c r="BK478" s="707"/>
      <c r="BL478" s="707"/>
      <c r="BM478" s="707"/>
      <c r="BN478" s="707"/>
      <c r="BO478" s="707"/>
      <c r="BP478" s="707"/>
      <c r="BQ478" s="707"/>
      <c r="BR478" s="707"/>
      <c r="BS478" s="707"/>
      <c r="BT478" s="707"/>
      <c r="BU478" s="707"/>
      <c r="BV478" s="707"/>
      <c r="BW478" s="707"/>
      <c r="BX478" s="707"/>
      <c r="BY478" s="707"/>
      <c r="BZ478" s="707"/>
      <c r="CA478" s="707"/>
      <c r="CB478" s="707"/>
      <c r="CC478" s="707"/>
      <c r="CD478" s="707"/>
      <c r="CE478" s="707"/>
      <c r="CF478" s="707"/>
      <c r="CG478" s="707"/>
      <c r="CH478" s="707"/>
      <c r="CI478" s="707"/>
      <c r="CJ478" s="707"/>
      <c r="CK478" s="707"/>
      <c r="CL478" s="707"/>
      <c r="CM478" s="707"/>
      <c r="CN478" s="707"/>
      <c r="CO478" s="707"/>
      <c r="CP478" s="707"/>
      <c r="CQ478" s="707"/>
      <c r="CR478" s="707"/>
      <c r="CS478" s="707"/>
      <c r="CT478" s="707"/>
      <c r="CU478" s="707"/>
      <c r="CV478" s="707"/>
      <c r="CW478" s="707"/>
      <c r="CX478" s="707"/>
      <c r="CY478" s="707"/>
      <c r="CZ478" s="707"/>
      <c r="DA478" s="707"/>
      <c r="DB478" s="707"/>
      <c r="DC478" s="707"/>
      <c r="DD478" s="707"/>
      <c r="DE478" s="707"/>
      <c r="DF478" s="707"/>
      <c r="DG478" s="707"/>
      <c r="DH478" s="707"/>
      <c r="DI478" s="707"/>
      <c r="DJ478" s="707"/>
      <c r="DK478" s="707"/>
      <c r="DL478" s="707"/>
      <c r="DM478" s="707"/>
      <c r="DN478" s="707"/>
      <c r="DO478" s="707"/>
      <c r="DP478" s="707"/>
      <c r="DQ478" s="707"/>
      <c r="DR478" s="707"/>
      <c r="DS478" s="707"/>
      <c r="DT478" s="707"/>
      <c r="DU478" s="707"/>
      <c r="DV478" s="707"/>
      <c r="DW478" s="707"/>
      <c r="DX478" s="707"/>
      <c r="DY478" s="707"/>
      <c r="DZ478" s="707"/>
      <c r="EA478" s="707"/>
      <c r="EB478" s="707"/>
      <c r="EC478" s="707"/>
      <c r="ED478" s="707"/>
      <c r="EE478" s="707"/>
      <c r="EF478" s="707"/>
      <c r="EG478" s="707"/>
      <c r="EH478" s="707"/>
      <c r="EI478" s="707"/>
      <c r="EJ478" s="707"/>
      <c r="EK478" s="707"/>
      <c r="EL478" s="707"/>
      <c r="EM478" s="707"/>
      <c r="EN478" s="707"/>
      <c r="EO478" s="707"/>
      <c r="EP478" s="707"/>
      <c r="EQ478" s="707"/>
      <c r="ER478" s="707"/>
      <c r="ES478" s="707"/>
      <c r="ET478" s="707"/>
      <c r="EU478" s="707"/>
      <c r="EV478" s="707"/>
      <c r="EW478" s="707"/>
      <c r="EX478" s="707"/>
      <c r="EY478" s="707"/>
      <c r="EZ478" s="707"/>
      <c r="FA478" s="707"/>
      <c r="FB478" s="707"/>
      <c r="FC478" s="707"/>
      <c r="FD478" s="707"/>
      <c r="FE478" s="707"/>
      <c r="FF478" s="707"/>
      <c r="FG478" s="707"/>
      <c r="FH478" s="707"/>
      <c r="FI478" s="707"/>
      <c r="FJ478" s="707"/>
      <c r="FK478" s="707"/>
      <c r="FL478" s="707"/>
      <c r="FM478" s="707"/>
      <c r="FN478" s="707"/>
      <c r="FO478" s="707"/>
      <c r="FP478" s="707"/>
      <c r="FQ478" s="707"/>
      <c r="FR478" s="707"/>
      <c r="FS478" s="707"/>
      <c r="FT478" s="707"/>
      <c r="FU478" s="707"/>
      <c r="FV478" s="707"/>
      <c r="FW478" s="707"/>
      <c r="FX478" s="707"/>
      <c r="FY478" s="707"/>
      <c r="FZ478" s="707"/>
      <c r="GA478" s="707"/>
      <c r="GB478" s="707"/>
      <c r="GC478" s="707"/>
      <c r="GD478" s="707"/>
      <c r="GE478" s="707"/>
      <c r="GF478" s="707"/>
      <c r="GG478" s="707"/>
      <c r="GH478" s="707"/>
      <c r="GI478" s="707"/>
      <c r="GJ478" s="707"/>
      <c r="GK478" s="707"/>
      <c r="GL478" s="707"/>
      <c r="GM478" s="707"/>
      <c r="GN478" s="707"/>
      <c r="GO478" s="707"/>
      <c r="GP478" s="707"/>
      <c r="GQ478" s="707"/>
      <c r="GR478" s="707"/>
      <c r="GS478" s="707"/>
      <c r="GT478" s="707"/>
      <c r="GU478" s="707"/>
      <c r="GV478" s="707"/>
      <c r="GW478" s="707"/>
      <c r="GX478" s="707"/>
      <c r="GY478" s="707"/>
      <c r="GZ478" s="707"/>
      <c r="HA478" s="707"/>
      <c r="HB478" s="707"/>
      <c r="HC478" s="707"/>
      <c r="HD478" s="707"/>
      <c r="HE478" s="707"/>
      <c r="HF478" s="707"/>
      <c r="HG478" s="707"/>
      <c r="HH478" s="707"/>
      <c r="HI478" s="707"/>
      <c r="HJ478" s="707"/>
      <c r="HK478" s="707"/>
      <c r="HL478" s="707"/>
      <c r="HM478" s="707"/>
      <c r="HN478" s="707"/>
      <c r="HO478" s="707"/>
      <c r="HP478" s="707"/>
      <c r="HQ478" s="707"/>
      <c r="HR478" s="707"/>
      <c r="HS478" s="707"/>
      <c r="HT478" s="707"/>
      <c r="HU478" s="707"/>
      <c r="HV478" s="707"/>
      <c r="HW478" s="707"/>
      <c r="HX478" s="707"/>
      <c r="HY478" s="707"/>
      <c r="HZ478" s="707"/>
      <c r="IA478" s="707"/>
      <c r="IB478" s="707"/>
      <c r="IC478" s="707"/>
      <c r="ID478" s="707"/>
      <c r="IE478" s="707"/>
      <c r="IF478" s="707"/>
      <c r="IG478" s="707"/>
      <c r="IH478" s="707"/>
      <c r="II478" s="707"/>
      <c r="IJ478" s="707"/>
      <c r="IK478" s="707"/>
      <c r="IL478" s="707"/>
      <c r="IM478" s="707"/>
      <c r="IN478" s="707"/>
      <c r="IO478" s="707"/>
      <c r="IP478" s="707"/>
      <c r="IQ478" s="707"/>
      <c r="IR478" s="707"/>
      <c r="IS478" s="707"/>
      <c r="IT478" s="707"/>
      <c r="IU478" s="707"/>
      <c r="IV478" s="707"/>
      <c r="IW478" s="707"/>
    </row>
    <row r="479" customFormat="false" ht="12.75" hidden="false" customHeight="false" outlineLevel="1" collapsed="false">
      <c r="A479" s="716"/>
      <c r="B479" s="717"/>
      <c r="C479" s="717"/>
      <c r="D479" s="717"/>
      <c r="E479" s="713"/>
      <c r="F479" s="713"/>
      <c r="G479" s="713"/>
      <c r="H479" s="713"/>
      <c r="I479" s="713"/>
      <c r="J479" s="713"/>
      <c r="K479" s="713"/>
      <c r="L479" s="713"/>
      <c r="M479" s="713"/>
      <c r="N479" s="713"/>
      <c r="O479" s="713"/>
      <c r="P479" s="713"/>
      <c r="Q479" s="713"/>
      <c r="R479" s="713"/>
      <c r="S479" s="713"/>
      <c r="T479" s="713"/>
      <c r="U479" s="713"/>
      <c r="V479" s="713"/>
      <c r="W479" s="713"/>
      <c r="X479" s="713"/>
      <c r="Y479" s="713"/>
      <c r="Z479" s="713"/>
      <c r="AA479" s="707"/>
      <c r="AB479" s="707"/>
      <c r="AC479" s="707"/>
      <c r="AD479" s="707"/>
      <c r="AE479" s="707"/>
      <c r="AF479" s="707"/>
      <c r="AG479" s="707"/>
      <c r="AH479" s="707"/>
      <c r="AI479" s="707"/>
      <c r="AJ479" s="707"/>
      <c r="AK479" s="707"/>
      <c r="AL479" s="707"/>
      <c r="AM479" s="707"/>
      <c r="AN479" s="707"/>
      <c r="AO479" s="707"/>
      <c r="AP479" s="707"/>
      <c r="AQ479" s="707"/>
      <c r="AR479" s="707"/>
      <c r="AS479" s="707"/>
      <c r="AT479" s="707"/>
      <c r="AU479" s="707"/>
      <c r="AV479" s="707"/>
      <c r="AW479" s="707"/>
      <c r="AX479" s="707"/>
      <c r="AY479" s="707"/>
      <c r="AZ479" s="707"/>
      <c r="BA479" s="707"/>
      <c r="BB479" s="707"/>
      <c r="BC479" s="707"/>
      <c r="BD479" s="707"/>
      <c r="BE479" s="707"/>
      <c r="BF479" s="707"/>
      <c r="BG479" s="707"/>
      <c r="BH479" s="707"/>
      <c r="BI479" s="707"/>
      <c r="BJ479" s="707"/>
      <c r="BK479" s="707"/>
      <c r="BL479" s="707"/>
      <c r="BM479" s="707"/>
      <c r="BN479" s="707"/>
      <c r="BO479" s="707"/>
      <c r="BP479" s="707"/>
      <c r="BQ479" s="707"/>
      <c r="BR479" s="707"/>
      <c r="BS479" s="707"/>
      <c r="BT479" s="707"/>
      <c r="BU479" s="707"/>
      <c r="BV479" s="707"/>
      <c r="BW479" s="707"/>
      <c r="BX479" s="707"/>
      <c r="BY479" s="707"/>
      <c r="BZ479" s="707"/>
      <c r="CA479" s="707"/>
      <c r="CB479" s="707"/>
      <c r="CC479" s="707"/>
      <c r="CD479" s="707"/>
      <c r="CE479" s="707"/>
      <c r="CF479" s="707"/>
      <c r="CG479" s="707"/>
      <c r="CH479" s="707"/>
      <c r="CI479" s="707"/>
      <c r="CJ479" s="707"/>
      <c r="CK479" s="707"/>
      <c r="CL479" s="707"/>
      <c r="CM479" s="707"/>
      <c r="CN479" s="707"/>
      <c r="CO479" s="707"/>
      <c r="CP479" s="707"/>
      <c r="CQ479" s="707"/>
      <c r="CR479" s="707"/>
      <c r="CS479" s="707"/>
      <c r="CT479" s="707"/>
      <c r="CU479" s="707"/>
      <c r="CV479" s="707"/>
      <c r="CW479" s="707"/>
      <c r="CX479" s="707"/>
      <c r="CY479" s="707"/>
      <c r="CZ479" s="707"/>
      <c r="DA479" s="707"/>
      <c r="DB479" s="707"/>
      <c r="DC479" s="707"/>
      <c r="DD479" s="707"/>
      <c r="DE479" s="707"/>
      <c r="DF479" s="707"/>
      <c r="DG479" s="707"/>
      <c r="DH479" s="707"/>
      <c r="DI479" s="707"/>
      <c r="DJ479" s="707"/>
      <c r="DK479" s="707"/>
      <c r="DL479" s="707"/>
      <c r="DM479" s="707"/>
      <c r="DN479" s="707"/>
      <c r="DO479" s="707"/>
      <c r="DP479" s="707"/>
      <c r="DQ479" s="707"/>
      <c r="DR479" s="707"/>
      <c r="DS479" s="707"/>
      <c r="DT479" s="707"/>
      <c r="DU479" s="707"/>
      <c r="DV479" s="707"/>
      <c r="DW479" s="707"/>
      <c r="DX479" s="707"/>
      <c r="DY479" s="707"/>
      <c r="DZ479" s="707"/>
      <c r="EA479" s="707"/>
      <c r="EB479" s="707"/>
      <c r="EC479" s="707"/>
      <c r="ED479" s="707"/>
      <c r="EE479" s="707"/>
      <c r="EF479" s="707"/>
      <c r="EG479" s="707"/>
      <c r="EH479" s="707"/>
      <c r="EI479" s="707"/>
      <c r="EJ479" s="707"/>
      <c r="EK479" s="707"/>
      <c r="EL479" s="707"/>
      <c r="EM479" s="707"/>
      <c r="EN479" s="707"/>
      <c r="EO479" s="707"/>
      <c r="EP479" s="707"/>
      <c r="EQ479" s="707"/>
      <c r="ER479" s="707"/>
      <c r="ES479" s="707"/>
      <c r="ET479" s="707"/>
      <c r="EU479" s="707"/>
      <c r="EV479" s="707"/>
      <c r="EW479" s="707"/>
      <c r="EX479" s="707"/>
      <c r="EY479" s="707"/>
      <c r="EZ479" s="707"/>
      <c r="FA479" s="707"/>
      <c r="FB479" s="707"/>
      <c r="FC479" s="707"/>
      <c r="FD479" s="707"/>
      <c r="FE479" s="707"/>
      <c r="FF479" s="707"/>
      <c r="FG479" s="707"/>
      <c r="FH479" s="707"/>
      <c r="FI479" s="707"/>
      <c r="FJ479" s="707"/>
      <c r="FK479" s="707"/>
      <c r="FL479" s="707"/>
      <c r="FM479" s="707"/>
      <c r="FN479" s="707"/>
      <c r="FO479" s="707"/>
      <c r="FP479" s="707"/>
      <c r="FQ479" s="707"/>
      <c r="FR479" s="707"/>
      <c r="FS479" s="707"/>
      <c r="FT479" s="707"/>
      <c r="FU479" s="707"/>
      <c r="FV479" s="707"/>
      <c r="FW479" s="707"/>
      <c r="FX479" s="707"/>
      <c r="FY479" s="707"/>
      <c r="FZ479" s="707"/>
      <c r="GA479" s="707"/>
      <c r="GB479" s="707"/>
      <c r="GC479" s="707"/>
      <c r="GD479" s="707"/>
      <c r="GE479" s="707"/>
      <c r="GF479" s="707"/>
      <c r="GG479" s="707"/>
      <c r="GH479" s="707"/>
      <c r="GI479" s="707"/>
      <c r="GJ479" s="707"/>
      <c r="GK479" s="707"/>
      <c r="GL479" s="707"/>
      <c r="GM479" s="707"/>
      <c r="GN479" s="707"/>
      <c r="GO479" s="707"/>
      <c r="GP479" s="707"/>
      <c r="GQ479" s="707"/>
      <c r="GR479" s="707"/>
      <c r="GS479" s="707"/>
      <c r="GT479" s="707"/>
      <c r="GU479" s="707"/>
      <c r="GV479" s="707"/>
      <c r="GW479" s="707"/>
      <c r="GX479" s="707"/>
      <c r="GY479" s="707"/>
      <c r="GZ479" s="707"/>
      <c r="HA479" s="707"/>
      <c r="HB479" s="707"/>
      <c r="HC479" s="707"/>
      <c r="HD479" s="707"/>
      <c r="HE479" s="707"/>
      <c r="HF479" s="707"/>
      <c r="HG479" s="707"/>
      <c r="HH479" s="707"/>
      <c r="HI479" s="707"/>
      <c r="HJ479" s="707"/>
      <c r="HK479" s="707"/>
      <c r="HL479" s="707"/>
      <c r="HM479" s="707"/>
      <c r="HN479" s="707"/>
      <c r="HO479" s="707"/>
      <c r="HP479" s="707"/>
      <c r="HQ479" s="707"/>
      <c r="HR479" s="707"/>
      <c r="HS479" s="707"/>
      <c r="HT479" s="707"/>
      <c r="HU479" s="707"/>
      <c r="HV479" s="707"/>
      <c r="HW479" s="707"/>
      <c r="HX479" s="707"/>
      <c r="HY479" s="707"/>
      <c r="HZ479" s="707"/>
      <c r="IA479" s="707"/>
      <c r="IB479" s="707"/>
      <c r="IC479" s="707"/>
      <c r="ID479" s="707"/>
      <c r="IE479" s="707"/>
      <c r="IF479" s="707"/>
      <c r="IG479" s="707"/>
      <c r="IH479" s="707"/>
      <c r="II479" s="707"/>
      <c r="IJ479" s="707"/>
      <c r="IK479" s="707"/>
      <c r="IL479" s="707"/>
      <c r="IM479" s="707"/>
      <c r="IN479" s="707"/>
      <c r="IO479" s="707"/>
      <c r="IP479" s="707"/>
      <c r="IQ479" s="707"/>
      <c r="IR479" s="707"/>
      <c r="IS479" s="707"/>
      <c r="IT479" s="707"/>
      <c r="IU479" s="707"/>
      <c r="IV479" s="707"/>
      <c r="IW479" s="707"/>
    </row>
    <row r="480" customFormat="false" ht="12.75" hidden="false" customHeight="false" outlineLevel="1" collapsed="false">
      <c r="A480" s="716"/>
      <c r="B480" s="717"/>
      <c r="C480" s="717"/>
      <c r="D480" s="717"/>
      <c r="E480" s="713"/>
      <c r="F480" s="713"/>
      <c r="G480" s="713"/>
      <c r="H480" s="713"/>
      <c r="I480" s="713"/>
      <c r="J480" s="713"/>
      <c r="K480" s="713"/>
      <c r="L480" s="713"/>
      <c r="M480" s="713"/>
      <c r="N480" s="713"/>
      <c r="O480" s="713"/>
      <c r="P480" s="713"/>
      <c r="Q480" s="713"/>
      <c r="R480" s="713"/>
      <c r="S480" s="713"/>
      <c r="T480" s="713"/>
      <c r="U480" s="713"/>
      <c r="V480" s="713"/>
      <c r="W480" s="713"/>
      <c r="X480" s="713"/>
      <c r="Y480" s="713"/>
      <c r="Z480" s="713"/>
      <c r="AA480" s="707"/>
      <c r="AB480" s="707"/>
      <c r="AC480" s="707"/>
      <c r="AD480" s="707"/>
      <c r="AE480" s="707"/>
      <c r="AF480" s="707"/>
      <c r="AG480" s="707"/>
      <c r="AH480" s="707"/>
      <c r="AI480" s="707"/>
      <c r="AJ480" s="707"/>
      <c r="AK480" s="707"/>
      <c r="AL480" s="707"/>
      <c r="AM480" s="707"/>
      <c r="AN480" s="707"/>
      <c r="AO480" s="707"/>
      <c r="AP480" s="707"/>
      <c r="AQ480" s="707"/>
      <c r="AR480" s="707"/>
      <c r="AS480" s="707"/>
      <c r="AT480" s="707"/>
      <c r="AU480" s="707"/>
      <c r="AV480" s="707"/>
      <c r="AW480" s="707"/>
      <c r="AX480" s="707"/>
      <c r="AY480" s="707"/>
      <c r="AZ480" s="707"/>
      <c r="BA480" s="707"/>
      <c r="BB480" s="707"/>
      <c r="BC480" s="707"/>
      <c r="BD480" s="707"/>
      <c r="BE480" s="707"/>
      <c r="BF480" s="707"/>
      <c r="BG480" s="707"/>
      <c r="BH480" s="707"/>
      <c r="BI480" s="707"/>
      <c r="BJ480" s="707"/>
      <c r="BK480" s="707"/>
      <c r="BL480" s="707"/>
      <c r="BM480" s="707"/>
      <c r="BN480" s="707"/>
      <c r="BO480" s="707"/>
      <c r="BP480" s="707"/>
      <c r="BQ480" s="707"/>
      <c r="BR480" s="707"/>
      <c r="BS480" s="707"/>
      <c r="BT480" s="707"/>
      <c r="BU480" s="707"/>
      <c r="BV480" s="707"/>
      <c r="BW480" s="707"/>
      <c r="BX480" s="707"/>
      <c r="BY480" s="707"/>
      <c r="BZ480" s="707"/>
      <c r="CA480" s="707"/>
      <c r="CB480" s="707"/>
      <c r="CC480" s="707"/>
      <c r="CD480" s="707"/>
      <c r="CE480" s="707"/>
      <c r="CF480" s="707"/>
      <c r="CG480" s="707"/>
      <c r="CH480" s="707"/>
      <c r="CI480" s="707"/>
      <c r="CJ480" s="707"/>
      <c r="CK480" s="707"/>
      <c r="CL480" s="707"/>
      <c r="CM480" s="707"/>
      <c r="CN480" s="707"/>
      <c r="CO480" s="707"/>
      <c r="CP480" s="707"/>
      <c r="CQ480" s="707"/>
      <c r="CR480" s="707"/>
      <c r="CS480" s="707"/>
      <c r="CT480" s="707"/>
      <c r="CU480" s="707"/>
      <c r="CV480" s="707"/>
      <c r="CW480" s="707"/>
      <c r="CX480" s="707"/>
      <c r="CY480" s="707"/>
      <c r="CZ480" s="707"/>
      <c r="DA480" s="707"/>
      <c r="DB480" s="707"/>
      <c r="DC480" s="707"/>
      <c r="DD480" s="707"/>
      <c r="DE480" s="707"/>
      <c r="DF480" s="707"/>
      <c r="DG480" s="707"/>
      <c r="DH480" s="707"/>
      <c r="DI480" s="707"/>
      <c r="DJ480" s="707"/>
      <c r="DK480" s="707"/>
      <c r="DL480" s="707"/>
      <c r="DM480" s="707"/>
      <c r="DN480" s="707"/>
      <c r="DO480" s="707"/>
      <c r="DP480" s="707"/>
      <c r="DQ480" s="707"/>
      <c r="DR480" s="707"/>
      <c r="DS480" s="707"/>
      <c r="DT480" s="707"/>
      <c r="DU480" s="707"/>
      <c r="DV480" s="707"/>
      <c r="DW480" s="707"/>
      <c r="DX480" s="707"/>
      <c r="DY480" s="707"/>
      <c r="DZ480" s="707"/>
      <c r="EA480" s="707"/>
      <c r="EB480" s="707"/>
      <c r="EC480" s="707"/>
      <c r="ED480" s="707"/>
      <c r="EE480" s="707"/>
      <c r="EF480" s="707"/>
      <c r="EG480" s="707"/>
      <c r="EH480" s="707"/>
      <c r="EI480" s="707"/>
      <c r="EJ480" s="707"/>
      <c r="EK480" s="707"/>
      <c r="EL480" s="707"/>
      <c r="EM480" s="707"/>
      <c r="EN480" s="707"/>
      <c r="EO480" s="707"/>
      <c r="EP480" s="707"/>
      <c r="EQ480" s="707"/>
      <c r="ER480" s="707"/>
      <c r="ES480" s="707"/>
      <c r="ET480" s="707"/>
      <c r="EU480" s="707"/>
      <c r="EV480" s="707"/>
      <c r="EW480" s="707"/>
      <c r="EX480" s="707"/>
      <c r="EY480" s="707"/>
      <c r="EZ480" s="707"/>
      <c r="FA480" s="707"/>
      <c r="FB480" s="707"/>
      <c r="FC480" s="707"/>
      <c r="FD480" s="707"/>
      <c r="FE480" s="707"/>
      <c r="FF480" s="707"/>
      <c r="FG480" s="707"/>
      <c r="FH480" s="707"/>
      <c r="FI480" s="707"/>
      <c r="FJ480" s="707"/>
      <c r="FK480" s="707"/>
      <c r="FL480" s="707"/>
      <c r="FM480" s="707"/>
      <c r="FN480" s="707"/>
      <c r="FO480" s="707"/>
      <c r="FP480" s="707"/>
      <c r="FQ480" s="707"/>
      <c r="FR480" s="707"/>
      <c r="FS480" s="707"/>
      <c r="FT480" s="707"/>
      <c r="FU480" s="707"/>
      <c r="FV480" s="707"/>
      <c r="FW480" s="707"/>
      <c r="FX480" s="707"/>
      <c r="FY480" s="707"/>
      <c r="FZ480" s="707"/>
      <c r="GA480" s="707"/>
      <c r="GB480" s="707"/>
      <c r="GC480" s="707"/>
      <c r="GD480" s="707"/>
      <c r="GE480" s="707"/>
      <c r="GF480" s="707"/>
      <c r="GG480" s="707"/>
      <c r="GH480" s="707"/>
      <c r="GI480" s="707"/>
      <c r="GJ480" s="707"/>
      <c r="GK480" s="707"/>
      <c r="GL480" s="707"/>
      <c r="GM480" s="707"/>
      <c r="GN480" s="707"/>
      <c r="GO480" s="707"/>
      <c r="GP480" s="707"/>
      <c r="GQ480" s="707"/>
      <c r="GR480" s="707"/>
      <c r="GS480" s="707"/>
      <c r="GT480" s="707"/>
      <c r="GU480" s="707"/>
      <c r="GV480" s="707"/>
      <c r="GW480" s="707"/>
      <c r="GX480" s="707"/>
      <c r="GY480" s="707"/>
      <c r="GZ480" s="707"/>
      <c r="HA480" s="707"/>
      <c r="HB480" s="707"/>
      <c r="HC480" s="707"/>
      <c r="HD480" s="707"/>
      <c r="HE480" s="707"/>
      <c r="HF480" s="707"/>
      <c r="HG480" s="707"/>
      <c r="HH480" s="707"/>
      <c r="HI480" s="707"/>
      <c r="HJ480" s="707"/>
      <c r="HK480" s="707"/>
      <c r="HL480" s="707"/>
      <c r="HM480" s="707"/>
      <c r="HN480" s="707"/>
      <c r="HO480" s="707"/>
      <c r="HP480" s="707"/>
      <c r="HQ480" s="707"/>
      <c r="HR480" s="707"/>
      <c r="HS480" s="707"/>
      <c r="HT480" s="707"/>
      <c r="HU480" s="707"/>
      <c r="HV480" s="707"/>
      <c r="HW480" s="707"/>
      <c r="HX480" s="707"/>
      <c r="HY480" s="707"/>
      <c r="HZ480" s="707"/>
      <c r="IA480" s="707"/>
      <c r="IB480" s="707"/>
      <c r="IC480" s="707"/>
      <c r="ID480" s="707"/>
      <c r="IE480" s="707"/>
      <c r="IF480" s="707"/>
      <c r="IG480" s="707"/>
      <c r="IH480" s="707"/>
      <c r="II480" s="707"/>
      <c r="IJ480" s="707"/>
      <c r="IK480" s="707"/>
      <c r="IL480" s="707"/>
      <c r="IM480" s="707"/>
      <c r="IN480" s="707"/>
      <c r="IO480" s="707"/>
      <c r="IP480" s="707"/>
      <c r="IQ480" s="707"/>
      <c r="IR480" s="707"/>
      <c r="IS480" s="707"/>
      <c r="IT480" s="707"/>
      <c r="IU480" s="707"/>
      <c r="IV480" s="707"/>
      <c r="IW480" s="707"/>
    </row>
    <row r="481" customFormat="false" ht="12.75" hidden="false" customHeight="false" outlineLevel="1" collapsed="false">
      <c r="A481" s="716"/>
      <c r="B481" s="717"/>
      <c r="C481" s="717"/>
      <c r="D481" s="717"/>
      <c r="E481" s="713"/>
      <c r="F481" s="713"/>
      <c r="G481" s="713"/>
      <c r="H481" s="713"/>
      <c r="I481" s="713"/>
      <c r="J481" s="713"/>
      <c r="K481" s="713"/>
      <c r="L481" s="713"/>
      <c r="M481" s="713"/>
      <c r="N481" s="713"/>
      <c r="O481" s="713"/>
      <c r="P481" s="713"/>
      <c r="Q481" s="713"/>
      <c r="R481" s="713"/>
      <c r="S481" s="713"/>
      <c r="T481" s="713"/>
      <c r="U481" s="713"/>
      <c r="V481" s="713"/>
      <c r="W481" s="713"/>
      <c r="X481" s="713"/>
      <c r="Y481" s="713"/>
      <c r="Z481" s="713"/>
      <c r="AA481" s="707"/>
      <c r="AB481" s="707"/>
      <c r="AC481" s="707"/>
      <c r="AD481" s="707"/>
      <c r="AE481" s="707"/>
      <c r="AF481" s="707"/>
      <c r="AG481" s="707"/>
      <c r="AH481" s="707"/>
      <c r="AI481" s="707"/>
      <c r="AJ481" s="707"/>
      <c r="AK481" s="707"/>
      <c r="AL481" s="707"/>
      <c r="AM481" s="707"/>
      <c r="AN481" s="707"/>
      <c r="AO481" s="707"/>
      <c r="AP481" s="707"/>
      <c r="AQ481" s="707"/>
      <c r="AR481" s="707"/>
      <c r="AS481" s="707"/>
      <c r="AT481" s="707"/>
      <c r="AU481" s="707"/>
      <c r="AV481" s="707"/>
      <c r="AW481" s="707"/>
      <c r="AX481" s="707"/>
      <c r="AY481" s="707"/>
      <c r="AZ481" s="707"/>
      <c r="BA481" s="707"/>
      <c r="BB481" s="707"/>
      <c r="BC481" s="707"/>
      <c r="BD481" s="707"/>
      <c r="BE481" s="707"/>
      <c r="BF481" s="707"/>
      <c r="BG481" s="707"/>
      <c r="BH481" s="707"/>
      <c r="BI481" s="707"/>
      <c r="BJ481" s="707"/>
      <c r="BK481" s="707"/>
      <c r="BL481" s="707"/>
      <c r="BM481" s="707"/>
      <c r="BN481" s="707"/>
      <c r="BO481" s="707"/>
      <c r="BP481" s="707"/>
      <c r="BQ481" s="707"/>
      <c r="BR481" s="707"/>
      <c r="BS481" s="707"/>
      <c r="BT481" s="707"/>
      <c r="BU481" s="707"/>
      <c r="BV481" s="707"/>
      <c r="BW481" s="707"/>
      <c r="BX481" s="707"/>
      <c r="BY481" s="707"/>
      <c r="BZ481" s="707"/>
      <c r="CA481" s="707"/>
      <c r="CB481" s="707"/>
      <c r="CC481" s="707"/>
      <c r="CD481" s="707"/>
      <c r="CE481" s="707"/>
      <c r="CF481" s="707"/>
      <c r="CG481" s="707"/>
      <c r="CH481" s="707"/>
      <c r="CI481" s="707"/>
      <c r="CJ481" s="707"/>
      <c r="CK481" s="707"/>
      <c r="CL481" s="707"/>
      <c r="CM481" s="707"/>
      <c r="CN481" s="707"/>
      <c r="CO481" s="707"/>
      <c r="CP481" s="707"/>
      <c r="CQ481" s="707"/>
      <c r="CR481" s="707"/>
      <c r="CS481" s="707"/>
      <c r="CT481" s="707"/>
      <c r="CU481" s="707"/>
      <c r="CV481" s="707"/>
      <c r="CW481" s="707"/>
      <c r="CX481" s="707"/>
      <c r="CY481" s="707"/>
      <c r="CZ481" s="707"/>
      <c r="DA481" s="707"/>
      <c r="DB481" s="707"/>
      <c r="DC481" s="707"/>
      <c r="DD481" s="707"/>
      <c r="DE481" s="707"/>
      <c r="DF481" s="707"/>
      <c r="DG481" s="707"/>
      <c r="DH481" s="707"/>
      <c r="DI481" s="707"/>
      <c r="DJ481" s="707"/>
      <c r="DK481" s="707"/>
      <c r="DL481" s="707"/>
      <c r="DM481" s="707"/>
      <c r="DN481" s="707"/>
      <c r="DO481" s="707"/>
      <c r="DP481" s="707"/>
      <c r="DQ481" s="707"/>
      <c r="DR481" s="707"/>
      <c r="DS481" s="707"/>
      <c r="DT481" s="707"/>
      <c r="DU481" s="707"/>
      <c r="DV481" s="707"/>
      <c r="DW481" s="707"/>
      <c r="DX481" s="707"/>
      <c r="DY481" s="707"/>
      <c r="DZ481" s="707"/>
      <c r="EA481" s="707"/>
      <c r="EB481" s="707"/>
      <c r="EC481" s="707"/>
      <c r="ED481" s="707"/>
      <c r="EE481" s="707"/>
      <c r="EF481" s="707"/>
      <c r="EG481" s="707"/>
      <c r="EH481" s="707"/>
      <c r="EI481" s="707"/>
      <c r="EJ481" s="707"/>
      <c r="EK481" s="707"/>
      <c r="EL481" s="707"/>
      <c r="EM481" s="707"/>
      <c r="EN481" s="707"/>
      <c r="EO481" s="707"/>
      <c r="EP481" s="707"/>
      <c r="EQ481" s="707"/>
      <c r="ER481" s="707"/>
      <c r="ES481" s="707"/>
      <c r="ET481" s="707"/>
      <c r="EU481" s="707"/>
      <c r="EV481" s="707"/>
      <c r="EW481" s="707"/>
      <c r="EX481" s="707"/>
      <c r="EY481" s="707"/>
      <c r="EZ481" s="707"/>
      <c r="FA481" s="707"/>
      <c r="FB481" s="707"/>
      <c r="FC481" s="707"/>
      <c r="FD481" s="707"/>
      <c r="FE481" s="707"/>
      <c r="FF481" s="707"/>
      <c r="FG481" s="707"/>
      <c r="FH481" s="707"/>
      <c r="FI481" s="707"/>
      <c r="FJ481" s="707"/>
      <c r="FK481" s="707"/>
      <c r="FL481" s="707"/>
      <c r="FM481" s="707"/>
      <c r="FN481" s="707"/>
      <c r="FO481" s="707"/>
      <c r="FP481" s="707"/>
      <c r="FQ481" s="707"/>
      <c r="FR481" s="707"/>
      <c r="FS481" s="707"/>
      <c r="FT481" s="707"/>
      <c r="FU481" s="707"/>
      <c r="FV481" s="707"/>
      <c r="FW481" s="707"/>
      <c r="FX481" s="707"/>
      <c r="FY481" s="707"/>
      <c r="FZ481" s="707"/>
      <c r="GA481" s="707"/>
      <c r="GB481" s="707"/>
      <c r="GC481" s="707"/>
      <c r="GD481" s="707"/>
      <c r="GE481" s="707"/>
      <c r="GF481" s="707"/>
      <c r="GG481" s="707"/>
      <c r="GH481" s="707"/>
      <c r="GI481" s="707"/>
      <c r="GJ481" s="707"/>
      <c r="GK481" s="707"/>
      <c r="GL481" s="707"/>
      <c r="GM481" s="707"/>
      <c r="GN481" s="707"/>
      <c r="GO481" s="707"/>
      <c r="GP481" s="707"/>
      <c r="GQ481" s="707"/>
      <c r="GR481" s="707"/>
      <c r="GS481" s="707"/>
      <c r="GT481" s="707"/>
      <c r="GU481" s="707"/>
      <c r="GV481" s="707"/>
      <c r="GW481" s="707"/>
      <c r="GX481" s="707"/>
      <c r="GY481" s="707"/>
      <c r="GZ481" s="707"/>
      <c r="HA481" s="707"/>
      <c r="HB481" s="707"/>
      <c r="HC481" s="707"/>
      <c r="HD481" s="707"/>
      <c r="HE481" s="707"/>
      <c r="HF481" s="707"/>
      <c r="HG481" s="707"/>
      <c r="HH481" s="707"/>
      <c r="HI481" s="707"/>
      <c r="HJ481" s="707"/>
      <c r="HK481" s="707"/>
      <c r="HL481" s="707"/>
      <c r="HM481" s="707"/>
      <c r="HN481" s="707"/>
      <c r="HO481" s="707"/>
      <c r="HP481" s="707"/>
      <c r="HQ481" s="707"/>
      <c r="HR481" s="707"/>
      <c r="HS481" s="707"/>
      <c r="HT481" s="707"/>
      <c r="HU481" s="707"/>
      <c r="HV481" s="707"/>
      <c r="HW481" s="707"/>
      <c r="HX481" s="707"/>
      <c r="HY481" s="707"/>
      <c r="HZ481" s="707"/>
      <c r="IA481" s="707"/>
      <c r="IB481" s="707"/>
      <c r="IC481" s="707"/>
      <c r="ID481" s="707"/>
      <c r="IE481" s="707"/>
      <c r="IF481" s="707"/>
      <c r="IG481" s="707"/>
      <c r="IH481" s="707"/>
      <c r="II481" s="707"/>
      <c r="IJ481" s="707"/>
      <c r="IK481" s="707"/>
      <c r="IL481" s="707"/>
      <c r="IM481" s="707"/>
      <c r="IN481" s="707"/>
      <c r="IO481" s="707"/>
      <c r="IP481" s="707"/>
      <c r="IQ481" s="707"/>
      <c r="IR481" s="707"/>
      <c r="IS481" s="707"/>
      <c r="IT481" s="707"/>
      <c r="IU481" s="707"/>
      <c r="IV481" s="707"/>
      <c r="IW481" s="707"/>
    </row>
    <row r="482" customFormat="false" ht="12.75" hidden="false" customHeight="false" outlineLevel="1" collapsed="false">
      <c r="A482" s="716"/>
      <c r="B482" s="717"/>
      <c r="C482" s="717"/>
      <c r="D482" s="717"/>
      <c r="E482" s="713"/>
      <c r="F482" s="713"/>
      <c r="G482" s="713"/>
      <c r="H482" s="713"/>
      <c r="I482" s="713"/>
      <c r="J482" s="713"/>
      <c r="K482" s="713"/>
      <c r="L482" s="713"/>
      <c r="M482" s="713"/>
      <c r="N482" s="713"/>
      <c r="O482" s="713"/>
      <c r="P482" s="713"/>
      <c r="Q482" s="713"/>
      <c r="R482" s="713"/>
      <c r="S482" s="713"/>
      <c r="T482" s="713"/>
      <c r="U482" s="713"/>
      <c r="V482" s="713"/>
      <c r="W482" s="713"/>
      <c r="X482" s="713"/>
      <c r="Y482" s="713"/>
      <c r="Z482" s="713"/>
      <c r="AA482" s="707"/>
      <c r="AB482" s="707"/>
      <c r="AC482" s="707"/>
      <c r="AD482" s="707"/>
      <c r="AE482" s="707"/>
      <c r="AF482" s="707"/>
      <c r="AG482" s="707"/>
      <c r="AH482" s="707"/>
      <c r="AI482" s="707"/>
      <c r="AJ482" s="707"/>
      <c r="AK482" s="707"/>
      <c r="AL482" s="707"/>
      <c r="AM482" s="707"/>
      <c r="AN482" s="707"/>
      <c r="AO482" s="707"/>
      <c r="AP482" s="707"/>
      <c r="AQ482" s="707"/>
      <c r="AR482" s="707"/>
      <c r="AS482" s="707"/>
      <c r="AT482" s="707"/>
      <c r="AU482" s="707"/>
      <c r="AV482" s="707"/>
      <c r="AW482" s="707"/>
      <c r="AX482" s="707"/>
      <c r="AY482" s="707"/>
      <c r="AZ482" s="707"/>
      <c r="BA482" s="707"/>
      <c r="BB482" s="707"/>
      <c r="BC482" s="707"/>
      <c r="BD482" s="707"/>
      <c r="BE482" s="707"/>
      <c r="BF482" s="707"/>
      <c r="BG482" s="707"/>
      <c r="BH482" s="707"/>
      <c r="BI482" s="707"/>
      <c r="BJ482" s="707"/>
      <c r="BK482" s="707"/>
      <c r="BL482" s="707"/>
      <c r="BM482" s="707"/>
      <c r="BN482" s="707"/>
      <c r="BO482" s="707"/>
      <c r="BP482" s="707"/>
      <c r="BQ482" s="707"/>
      <c r="BR482" s="707"/>
      <c r="BS482" s="707"/>
      <c r="BT482" s="707"/>
      <c r="BU482" s="707"/>
      <c r="BV482" s="707"/>
      <c r="BW482" s="707"/>
      <c r="BX482" s="707"/>
      <c r="BY482" s="707"/>
      <c r="BZ482" s="707"/>
      <c r="CA482" s="707"/>
      <c r="CB482" s="707"/>
      <c r="CC482" s="707"/>
      <c r="CD482" s="707"/>
      <c r="CE482" s="707"/>
      <c r="CF482" s="707"/>
      <c r="CG482" s="707"/>
      <c r="CH482" s="707"/>
      <c r="CI482" s="707"/>
      <c r="CJ482" s="707"/>
      <c r="CK482" s="707"/>
      <c r="CL482" s="707"/>
      <c r="CM482" s="707"/>
      <c r="CN482" s="707"/>
      <c r="CO482" s="707"/>
      <c r="CP482" s="707"/>
      <c r="CQ482" s="707"/>
      <c r="CR482" s="707"/>
      <c r="CS482" s="707"/>
      <c r="CT482" s="707"/>
      <c r="CU482" s="707"/>
      <c r="CV482" s="707"/>
      <c r="CW482" s="707"/>
      <c r="CX482" s="707"/>
      <c r="CY482" s="707"/>
      <c r="CZ482" s="707"/>
      <c r="DA482" s="707"/>
      <c r="DB482" s="707"/>
      <c r="DC482" s="707"/>
      <c r="DD482" s="707"/>
      <c r="DE482" s="707"/>
      <c r="DF482" s="707"/>
      <c r="DG482" s="707"/>
      <c r="DH482" s="707"/>
      <c r="DI482" s="707"/>
      <c r="DJ482" s="707"/>
      <c r="DK482" s="707"/>
      <c r="DL482" s="707"/>
      <c r="DM482" s="707"/>
      <c r="DN482" s="707"/>
      <c r="DO482" s="707"/>
      <c r="DP482" s="707"/>
      <c r="DQ482" s="707"/>
      <c r="DR482" s="707"/>
      <c r="DS482" s="707"/>
      <c r="DT482" s="707"/>
      <c r="DU482" s="707"/>
      <c r="DV482" s="707"/>
      <c r="DW482" s="707"/>
      <c r="DX482" s="707"/>
      <c r="DY482" s="707"/>
      <c r="DZ482" s="707"/>
      <c r="EA482" s="707"/>
      <c r="EB482" s="707"/>
      <c r="EC482" s="707"/>
      <c r="ED482" s="707"/>
      <c r="EE482" s="707"/>
      <c r="EF482" s="707"/>
      <c r="EG482" s="707"/>
      <c r="EH482" s="707"/>
      <c r="EI482" s="707"/>
      <c r="EJ482" s="707"/>
      <c r="EK482" s="707"/>
      <c r="EL482" s="707"/>
      <c r="EM482" s="707"/>
      <c r="EN482" s="707"/>
      <c r="EO482" s="707"/>
      <c r="EP482" s="707"/>
      <c r="EQ482" s="707"/>
      <c r="ER482" s="707"/>
      <c r="ES482" s="707"/>
      <c r="ET482" s="707"/>
      <c r="EU482" s="707"/>
      <c r="EV482" s="707"/>
      <c r="EW482" s="707"/>
      <c r="EX482" s="707"/>
      <c r="EY482" s="707"/>
      <c r="EZ482" s="707"/>
      <c r="FA482" s="707"/>
      <c r="FB482" s="707"/>
      <c r="FC482" s="707"/>
      <c r="FD482" s="707"/>
      <c r="FE482" s="707"/>
      <c r="FF482" s="707"/>
      <c r="FG482" s="707"/>
      <c r="FH482" s="707"/>
      <c r="FI482" s="707"/>
      <c r="FJ482" s="707"/>
      <c r="FK482" s="707"/>
      <c r="FL482" s="707"/>
      <c r="FM482" s="707"/>
      <c r="FN482" s="707"/>
      <c r="FO482" s="707"/>
      <c r="FP482" s="707"/>
      <c r="FQ482" s="707"/>
      <c r="FR482" s="707"/>
      <c r="FS482" s="707"/>
      <c r="FT482" s="707"/>
      <c r="FU482" s="707"/>
      <c r="FV482" s="707"/>
      <c r="FW482" s="707"/>
      <c r="FX482" s="707"/>
      <c r="FY482" s="707"/>
      <c r="FZ482" s="707"/>
      <c r="GA482" s="707"/>
      <c r="GB482" s="707"/>
      <c r="GC482" s="707"/>
      <c r="GD482" s="707"/>
      <c r="GE482" s="707"/>
      <c r="GF482" s="707"/>
      <c r="GG482" s="707"/>
      <c r="GH482" s="707"/>
      <c r="GI482" s="707"/>
      <c r="GJ482" s="707"/>
      <c r="GK482" s="707"/>
      <c r="GL482" s="707"/>
      <c r="GM482" s="707"/>
      <c r="GN482" s="707"/>
      <c r="GO482" s="707"/>
      <c r="GP482" s="707"/>
      <c r="GQ482" s="707"/>
      <c r="GR482" s="707"/>
      <c r="GS482" s="707"/>
      <c r="GT482" s="707"/>
      <c r="GU482" s="707"/>
      <c r="GV482" s="707"/>
      <c r="GW482" s="707"/>
      <c r="GX482" s="707"/>
      <c r="GY482" s="707"/>
      <c r="GZ482" s="707"/>
      <c r="HA482" s="707"/>
      <c r="HB482" s="707"/>
      <c r="HC482" s="707"/>
      <c r="HD482" s="707"/>
      <c r="HE482" s="707"/>
      <c r="HF482" s="707"/>
      <c r="HG482" s="707"/>
      <c r="HH482" s="707"/>
      <c r="HI482" s="707"/>
      <c r="HJ482" s="707"/>
      <c r="HK482" s="707"/>
      <c r="HL482" s="707"/>
      <c r="HM482" s="707"/>
      <c r="HN482" s="707"/>
      <c r="HO482" s="707"/>
      <c r="HP482" s="707"/>
      <c r="HQ482" s="707"/>
      <c r="HR482" s="707"/>
      <c r="HS482" s="707"/>
      <c r="HT482" s="707"/>
      <c r="HU482" s="707"/>
      <c r="HV482" s="707"/>
      <c r="HW482" s="707"/>
      <c r="HX482" s="707"/>
      <c r="HY482" s="707"/>
      <c r="HZ482" s="707"/>
      <c r="IA482" s="707"/>
      <c r="IB482" s="707"/>
      <c r="IC482" s="707"/>
      <c r="ID482" s="707"/>
      <c r="IE482" s="707"/>
      <c r="IF482" s="707"/>
      <c r="IG482" s="707"/>
      <c r="IH482" s="707"/>
      <c r="II482" s="707"/>
      <c r="IJ482" s="707"/>
      <c r="IK482" s="707"/>
      <c r="IL482" s="707"/>
      <c r="IM482" s="707"/>
      <c r="IN482" s="707"/>
      <c r="IO482" s="707"/>
      <c r="IP482" s="707"/>
      <c r="IQ482" s="707"/>
      <c r="IR482" s="707"/>
      <c r="IS482" s="707"/>
      <c r="IT482" s="707"/>
      <c r="IU482" s="707"/>
      <c r="IV482" s="707"/>
      <c r="IW482" s="707"/>
    </row>
    <row r="483" customFormat="false" ht="12.75" hidden="false" customHeight="false" outlineLevel="1" collapsed="false">
      <c r="A483" s="398"/>
      <c r="B483" s="717"/>
      <c r="C483" s="717"/>
      <c r="D483" s="717"/>
      <c r="E483" s="713"/>
      <c r="F483" s="713"/>
      <c r="G483" s="713"/>
      <c r="H483" s="713"/>
      <c r="I483" s="713"/>
      <c r="J483" s="713"/>
      <c r="K483" s="713"/>
      <c r="L483" s="713"/>
      <c r="M483" s="713"/>
      <c r="N483" s="713"/>
      <c r="O483" s="713"/>
      <c r="P483" s="713"/>
      <c r="Q483" s="713"/>
      <c r="R483" s="713"/>
      <c r="S483" s="713"/>
      <c r="T483" s="713"/>
      <c r="U483" s="713"/>
      <c r="V483" s="713"/>
      <c r="W483" s="713"/>
      <c r="X483" s="713"/>
      <c r="Y483" s="713"/>
      <c r="Z483" s="713"/>
      <c r="AA483" s="707"/>
      <c r="AB483" s="707"/>
      <c r="AC483" s="707"/>
      <c r="AD483" s="707"/>
      <c r="AE483" s="707"/>
      <c r="AF483" s="707"/>
      <c r="AG483" s="707"/>
      <c r="AH483" s="707"/>
      <c r="AI483" s="707"/>
      <c r="AJ483" s="707"/>
      <c r="AK483" s="707"/>
      <c r="AL483" s="707"/>
      <c r="AM483" s="707"/>
      <c r="AN483" s="707"/>
      <c r="AO483" s="707"/>
      <c r="AP483" s="707"/>
      <c r="AQ483" s="707"/>
      <c r="AR483" s="707"/>
      <c r="AS483" s="707"/>
      <c r="AT483" s="707"/>
      <c r="AU483" s="707"/>
      <c r="AV483" s="707"/>
      <c r="AW483" s="707"/>
      <c r="AX483" s="707"/>
      <c r="AY483" s="707"/>
      <c r="AZ483" s="707"/>
      <c r="BA483" s="707"/>
      <c r="BB483" s="707"/>
      <c r="BC483" s="707"/>
      <c r="BD483" s="707"/>
      <c r="BE483" s="707"/>
      <c r="BF483" s="707"/>
      <c r="BG483" s="707"/>
      <c r="BH483" s="707"/>
      <c r="BI483" s="707"/>
      <c r="BJ483" s="707"/>
      <c r="BK483" s="707"/>
      <c r="BL483" s="707"/>
      <c r="BM483" s="707"/>
      <c r="BN483" s="707"/>
      <c r="BO483" s="707"/>
      <c r="BP483" s="707"/>
      <c r="BQ483" s="707"/>
      <c r="BR483" s="707"/>
      <c r="BS483" s="707"/>
      <c r="BT483" s="707"/>
      <c r="BU483" s="707"/>
      <c r="BV483" s="707"/>
      <c r="BW483" s="707"/>
      <c r="BX483" s="707"/>
      <c r="BY483" s="707"/>
      <c r="BZ483" s="707"/>
      <c r="CA483" s="707"/>
      <c r="CB483" s="707"/>
      <c r="CC483" s="707"/>
      <c r="CD483" s="707"/>
      <c r="CE483" s="707"/>
      <c r="CF483" s="707"/>
      <c r="CG483" s="707"/>
      <c r="CH483" s="707"/>
      <c r="CI483" s="707"/>
      <c r="CJ483" s="707"/>
      <c r="CK483" s="707"/>
      <c r="CL483" s="707"/>
      <c r="CM483" s="707"/>
      <c r="CN483" s="707"/>
      <c r="CO483" s="707"/>
      <c r="CP483" s="707"/>
      <c r="CQ483" s="707"/>
      <c r="CR483" s="707"/>
      <c r="CS483" s="707"/>
      <c r="CT483" s="707"/>
      <c r="CU483" s="707"/>
      <c r="CV483" s="707"/>
      <c r="CW483" s="707"/>
      <c r="CX483" s="707"/>
      <c r="CY483" s="707"/>
      <c r="CZ483" s="707"/>
      <c r="DA483" s="707"/>
      <c r="DB483" s="707"/>
      <c r="DC483" s="707"/>
      <c r="DD483" s="707"/>
      <c r="DE483" s="707"/>
      <c r="DF483" s="707"/>
      <c r="DG483" s="707"/>
      <c r="DH483" s="707"/>
      <c r="DI483" s="707"/>
      <c r="DJ483" s="707"/>
      <c r="DK483" s="707"/>
      <c r="DL483" s="707"/>
      <c r="DM483" s="707"/>
      <c r="DN483" s="707"/>
      <c r="DO483" s="707"/>
      <c r="DP483" s="707"/>
      <c r="DQ483" s="707"/>
      <c r="DR483" s="707"/>
      <c r="DS483" s="707"/>
      <c r="DT483" s="707"/>
      <c r="DU483" s="707"/>
      <c r="DV483" s="707"/>
      <c r="DW483" s="707"/>
      <c r="DX483" s="707"/>
      <c r="DY483" s="707"/>
      <c r="DZ483" s="707"/>
      <c r="EA483" s="707"/>
      <c r="EB483" s="707"/>
      <c r="EC483" s="707"/>
      <c r="ED483" s="707"/>
      <c r="EE483" s="707"/>
      <c r="EF483" s="707"/>
      <c r="EG483" s="707"/>
      <c r="EH483" s="707"/>
      <c r="EI483" s="707"/>
      <c r="EJ483" s="707"/>
      <c r="EK483" s="707"/>
      <c r="EL483" s="707"/>
      <c r="EM483" s="707"/>
      <c r="EN483" s="707"/>
      <c r="EO483" s="707"/>
      <c r="EP483" s="707"/>
      <c r="EQ483" s="707"/>
      <c r="ER483" s="707"/>
      <c r="ES483" s="707"/>
      <c r="ET483" s="707"/>
      <c r="EU483" s="707"/>
      <c r="EV483" s="707"/>
      <c r="EW483" s="707"/>
      <c r="EX483" s="707"/>
      <c r="EY483" s="707"/>
      <c r="EZ483" s="707"/>
      <c r="FA483" s="707"/>
      <c r="FB483" s="707"/>
      <c r="FC483" s="707"/>
      <c r="FD483" s="707"/>
      <c r="FE483" s="707"/>
      <c r="FF483" s="707"/>
      <c r="FG483" s="707"/>
      <c r="FH483" s="707"/>
      <c r="FI483" s="707"/>
      <c r="FJ483" s="707"/>
      <c r="FK483" s="707"/>
      <c r="FL483" s="707"/>
      <c r="FM483" s="707"/>
      <c r="FN483" s="707"/>
      <c r="FO483" s="707"/>
      <c r="FP483" s="707"/>
      <c r="FQ483" s="707"/>
      <c r="FR483" s="707"/>
      <c r="FS483" s="707"/>
      <c r="FT483" s="707"/>
      <c r="FU483" s="707"/>
      <c r="FV483" s="707"/>
      <c r="FW483" s="707"/>
      <c r="FX483" s="707"/>
      <c r="FY483" s="707"/>
      <c r="FZ483" s="707"/>
      <c r="GA483" s="707"/>
      <c r="GB483" s="707"/>
      <c r="GC483" s="707"/>
      <c r="GD483" s="707"/>
      <c r="GE483" s="707"/>
      <c r="GF483" s="707"/>
      <c r="GG483" s="707"/>
      <c r="GH483" s="707"/>
      <c r="GI483" s="707"/>
      <c r="GJ483" s="707"/>
      <c r="GK483" s="707"/>
      <c r="GL483" s="707"/>
      <c r="GM483" s="707"/>
      <c r="GN483" s="707"/>
      <c r="GO483" s="707"/>
      <c r="GP483" s="707"/>
      <c r="GQ483" s="707"/>
      <c r="GR483" s="707"/>
      <c r="GS483" s="707"/>
      <c r="GT483" s="707"/>
      <c r="GU483" s="707"/>
      <c r="GV483" s="707"/>
      <c r="GW483" s="707"/>
      <c r="GX483" s="707"/>
      <c r="GY483" s="707"/>
      <c r="GZ483" s="707"/>
      <c r="HA483" s="707"/>
      <c r="HB483" s="707"/>
      <c r="HC483" s="707"/>
      <c r="HD483" s="707"/>
      <c r="HE483" s="707"/>
      <c r="HF483" s="707"/>
      <c r="HG483" s="707"/>
      <c r="HH483" s="707"/>
      <c r="HI483" s="707"/>
      <c r="HJ483" s="707"/>
      <c r="HK483" s="707"/>
      <c r="HL483" s="707"/>
      <c r="HM483" s="707"/>
      <c r="HN483" s="707"/>
      <c r="HO483" s="707"/>
      <c r="HP483" s="707"/>
      <c r="HQ483" s="707"/>
      <c r="HR483" s="707"/>
      <c r="HS483" s="707"/>
      <c r="HT483" s="707"/>
      <c r="HU483" s="707"/>
      <c r="HV483" s="707"/>
      <c r="HW483" s="707"/>
      <c r="HX483" s="707"/>
      <c r="HY483" s="707"/>
      <c r="HZ483" s="707"/>
      <c r="IA483" s="707"/>
      <c r="IB483" s="707"/>
      <c r="IC483" s="707"/>
      <c r="ID483" s="707"/>
      <c r="IE483" s="707"/>
      <c r="IF483" s="707"/>
      <c r="IG483" s="707"/>
      <c r="IH483" s="707"/>
      <c r="II483" s="707"/>
      <c r="IJ483" s="707"/>
      <c r="IK483" s="707"/>
      <c r="IL483" s="707"/>
      <c r="IM483" s="707"/>
      <c r="IN483" s="707"/>
      <c r="IO483" s="707"/>
      <c r="IP483" s="707"/>
      <c r="IQ483" s="707"/>
      <c r="IR483" s="707"/>
      <c r="IS483" s="707"/>
      <c r="IT483" s="707"/>
      <c r="IU483" s="707"/>
      <c r="IV483" s="707"/>
      <c r="IW483" s="707"/>
    </row>
    <row r="484" customFormat="false" ht="12.75" hidden="false" customHeight="false" outlineLevel="1" collapsed="false">
      <c r="A484" s="716"/>
      <c r="B484" s="717"/>
      <c r="C484" s="717"/>
      <c r="D484" s="717"/>
      <c r="E484" s="713"/>
      <c r="F484" s="713"/>
      <c r="G484" s="713"/>
      <c r="H484" s="713"/>
      <c r="I484" s="713"/>
      <c r="J484" s="713"/>
      <c r="K484" s="713"/>
      <c r="L484" s="713"/>
      <c r="M484" s="713"/>
      <c r="N484" s="713"/>
      <c r="O484" s="713"/>
      <c r="P484" s="713"/>
      <c r="Q484" s="713"/>
      <c r="R484" s="713"/>
      <c r="S484" s="713"/>
      <c r="T484" s="713"/>
      <c r="U484" s="713"/>
      <c r="V484" s="713"/>
      <c r="W484" s="713"/>
      <c r="X484" s="713"/>
      <c r="Y484" s="713"/>
      <c r="Z484" s="713"/>
      <c r="AA484" s="707"/>
      <c r="AB484" s="707"/>
      <c r="AC484" s="707"/>
      <c r="AD484" s="707"/>
      <c r="AE484" s="707"/>
      <c r="AF484" s="707"/>
      <c r="AG484" s="707"/>
      <c r="AH484" s="707"/>
      <c r="AI484" s="707"/>
      <c r="AJ484" s="707"/>
      <c r="AK484" s="707"/>
      <c r="AL484" s="707"/>
      <c r="AM484" s="707"/>
      <c r="AN484" s="707"/>
      <c r="AO484" s="707"/>
      <c r="AP484" s="707"/>
      <c r="AQ484" s="707"/>
      <c r="AR484" s="707"/>
      <c r="AS484" s="707"/>
      <c r="AT484" s="707"/>
      <c r="AU484" s="707"/>
      <c r="AV484" s="707"/>
      <c r="AW484" s="707"/>
      <c r="AX484" s="707"/>
      <c r="AY484" s="707"/>
      <c r="AZ484" s="707"/>
      <c r="BA484" s="707"/>
      <c r="BB484" s="707"/>
      <c r="BC484" s="707"/>
      <c r="BD484" s="707"/>
      <c r="BE484" s="707"/>
      <c r="BF484" s="707"/>
      <c r="BG484" s="707"/>
      <c r="BH484" s="707"/>
      <c r="BI484" s="707"/>
      <c r="BJ484" s="707"/>
      <c r="BK484" s="707"/>
      <c r="BL484" s="707"/>
      <c r="BM484" s="707"/>
      <c r="BN484" s="707"/>
      <c r="BO484" s="707"/>
      <c r="BP484" s="707"/>
      <c r="BQ484" s="707"/>
      <c r="BR484" s="707"/>
      <c r="BS484" s="707"/>
      <c r="BT484" s="707"/>
      <c r="BU484" s="707"/>
      <c r="BV484" s="707"/>
      <c r="BW484" s="707"/>
      <c r="BX484" s="707"/>
      <c r="BY484" s="707"/>
      <c r="BZ484" s="707"/>
      <c r="CA484" s="707"/>
      <c r="CB484" s="707"/>
      <c r="CC484" s="707"/>
      <c r="CD484" s="707"/>
      <c r="CE484" s="707"/>
      <c r="CF484" s="707"/>
      <c r="CG484" s="707"/>
      <c r="CH484" s="707"/>
      <c r="CI484" s="707"/>
      <c r="CJ484" s="707"/>
      <c r="CK484" s="707"/>
      <c r="CL484" s="707"/>
      <c r="CM484" s="707"/>
      <c r="CN484" s="707"/>
      <c r="CO484" s="707"/>
      <c r="CP484" s="707"/>
      <c r="CQ484" s="707"/>
      <c r="CR484" s="707"/>
      <c r="CS484" s="707"/>
      <c r="CT484" s="707"/>
      <c r="CU484" s="707"/>
      <c r="CV484" s="707"/>
      <c r="CW484" s="707"/>
      <c r="CX484" s="707"/>
      <c r="CY484" s="707"/>
      <c r="CZ484" s="707"/>
      <c r="DA484" s="707"/>
      <c r="DB484" s="707"/>
      <c r="DC484" s="707"/>
      <c r="DD484" s="707"/>
      <c r="DE484" s="707"/>
      <c r="DF484" s="707"/>
      <c r="DG484" s="707"/>
      <c r="DH484" s="707"/>
      <c r="DI484" s="707"/>
      <c r="DJ484" s="707"/>
      <c r="DK484" s="707"/>
      <c r="DL484" s="707"/>
      <c r="DM484" s="707"/>
      <c r="DN484" s="707"/>
      <c r="DO484" s="707"/>
      <c r="DP484" s="707"/>
      <c r="DQ484" s="707"/>
      <c r="DR484" s="707"/>
      <c r="DS484" s="707"/>
      <c r="DT484" s="707"/>
      <c r="DU484" s="707"/>
      <c r="DV484" s="707"/>
      <c r="DW484" s="707"/>
      <c r="DX484" s="707"/>
      <c r="DY484" s="707"/>
      <c r="DZ484" s="707"/>
      <c r="EA484" s="707"/>
      <c r="EB484" s="707"/>
      <c r="EC484" s="707"/>
      <c r="ED484" s="707"/>
      <c r="EE484" s="707"/>
      <c r="EF484" s="707"/>
      <c r="EG484" s="707"/>
      <c r="EH484" s="707"/>
      <c r="EI484" s="707"/>
      <c r="EJ484" s="707"/>
      <c r="EK484" s="707"/>
      <c r="EL484" s="707"/>
      <c r="EM484" s="707"/>
      <c r="EN484" s="707"/>
      <c r="EO484" s="707"/>
      <c r="EP484" s="707"/>
      <c r="EQ484" s="707"/>
      <c r="ER484" s="707"/>
      <c r="ES484" s="707"/>
      <c r="ET484" s="707"/>
      <c r="EU484" s="707"/>
      <c r="EV484" s="707"/>
      <c r="EW484" s="707"/>
      <c r="EX484" s="707"/>
      <c r="EY484" s="707"/>
      <c r="EZ484" s="707"/>
      <c r="FA484" s="707"/>
      <c r="FB484" s="707"/>
      <c r="FC484" s="707"/>
      <c r="FD484" s="707"/>
      <c r="FE484" s="707"/>
      <c r="FF484" s="707"/>
      <c r="FG484" s="707"/>
      <c r="FH484" s="707"/>
      <c r="FI484" s="707"/>
      <c r="FJ484" s="707"/>
      <c r="FK484" s="707"/>
      <c r="FL484" s="707"/>
      <c r="FM484" s="707"/>
      <c r="FN484" s="707"/>
      <c r="FO484" s="707"/>
      <c r="FP484" s="707"/>
      <c r="FQ484" s="707"/>
      <c r="FR484" s="707"/>
      <c r="FS484" s="707"/>
      <c r="FT484" s="707"/>
      <c r="FU484" s="707"/>
      <c r="FV484" s="707"/>
      <c r="FW484" s="707"/>
      <c r="FX484" s="707"/>
      <c r="FY484" s="707"/>
      <c r="FZ484" s="707"/>
      <c r="GA484" s="707"/>
      <c r="GB484" s="707"/>
      <c r="GC484" s="707"/>
      <c r="GD484" s="707"/>
      <c r="GE484" s="707"/>
      <c r="GF484" s="707"/>
      <c r="GG484" s="707"/>
      <c r="GH484" s="707"/>
      <c r="GI484" s="707"/>
      <c r="GJ484" s="707"/>
      <c r="GK484" s="707"/>
      <c r="GL484" s="707"/>
      <c r="GM484" s="707"/>
      <c r="GN484" s="707"/>
      <c r="GO484" s="707"/>
      <c r="GP484" s="707"/>
      <c r="GQ484" s="707"/>
      <c r="GR484" s="707"/>
      <c r="GS484" s="707"/>
      <c r="GT484" s="707"/>
      <c r="GU484" s="707"/>
      <c r="GV484" s="707"/>
      <c r="GW484" s="707"/>
      <c r="GX484" s="707"/>
      <c r="GY484" s="707"/>
      <c r="GZ484" s="707"/>
      <c r="HA484" s="707"/>
      <c r="HB484" s="707"/>
      <c r="HC484" s="707"/>
      <c r="HD484" s="707"/>
      <c r="HE484" s="707"/>
      <c r="HF484" s="707"/>
      <c r="HG484" s="707"/>
      <c r="HH484" s="707"/>
      <c r="HI484" s="707"/>
      <c r="HJ484" s="707"/>
      <c r="HK484" s="707"/>
      <c r="HL484" s="707"/>
      <c r="HM484" s="707"/>
      <c r="HN484" s="707"/>
      <c r="HO484" s="707"/>
      <c r="HP484" s="707"/>
      <c r="HQ484" s="707"/>
      <c r="HR484" s="707"/>
      <c r="HS484" s="707"/>
      <c r="HT484" s="707"/>
      <c r="HU484" s="707"/>
      <c r="HV484" s="707"/>
      <c r="HW484" s="707"/>
      <c r="HX484" s="707"/>
      <c r="HY484" s="707"/>
      <c r="HZ484" s="707"/>
      <c r="IA484" s="707"/>
      <c r="IB484" s="707"/>
      <c r="IC484" s="707"/>
      <c r="ID484" s="707"/>
      <c r="IE484" s="707"/>
      <c r="IF484" s="707"/>
      <c r="IG484" s="707"/>
      <c r="IH484" s="707"/>
      <c r="II484" s="707"/>
      <c r="IJ484" s="707"/>
      <c r="IK484" s="707"/>
      <c r="IL484" s="707"/>
      <c r="IM484" s="707"/>
      <c r="IN484" s="707"/>
      <c r="IO484" s="707"/>
      <c r="IP484" s="707"/>
      <c r="IQ484" s="707"/>
      <c r="IR484" s="707"/>
      <c r="IS484" s="707"/>
      <c r="IT484" s="707"/>
      <c r="IU484" s="707"/>
      <c r="IV484" s="707"/>
      <c r="IW484" s="707"/>
    </row>
    <row r="485" customFormat="false" ht="12.75" hidden="false" customHeight="false" outlineLevel="1" collapsed="false">
      <c r="A485" s="716"/>
      <c r="B485" s="717"/>
      <c r="C485" s="717"/>
      <c r="D485" s="717"/>
      <c r="E485" s="713"/>
      <c r="F485" s="713"/>
      <c r="G485" s="713"/>
      <c r="H485" s="713"/>
      <c r="I485" s="713"/>
      <c r="J485" s="713"/>
      <c r="K485" s="713"/>
      <c r="L485" s="713"/>
      <c r="M485" s="713"/>
      <c r="N485" s="713"/>
      <c r="O485" s="713"/>
      <c r="P485" s="713"/>
      <c r="Q485" s="713"/>
      <c r="R485" s="713"/>
      <c r="S485" s="713"/>
      <c r="T485" s="713"/>
      <c r="U485" s="713"/>
      <c r="V485" s="713"/>
      <c r="W485" s="713"/>
      <c r="X485" s="713"/>
      <c r="Y485" s="713"/>
      <c r="Z485" s="713"/>
      <c r="AA485" s="707"/>
      <c r="AB485" s="707"/>
      <c r="AC485" s="707"/>
      <c r="AD485" s="707"/>
      <c r="AE485" s="707"/>
      <c r="AF485" s="707"/>
      <c r="AG485" s="707"/>
      <c r="AH485" s="707"/>
      <c r="AI485" s="707"/>
      <c r="AJ485" s="707"/>
      <c r="AK485" s="707"/>
      <c r="AL485" s="707"/>
      <c r="AM485" s="707"/>
      <c r="AN485" s="707"/>
      <c r="AO485" s="707"/>
      <c r="AP485" s="707"/>
      <c r="AQ485" s="707"/>
      <c r="AR485" s="707"/>
      <c r="AS485" s="707"/>
      <c r="AT485" s="707"/>
      <c r="AU485" s="707"/>
      <c r="AV485" s="707"/>
      <c r="AW485" s="707"/>
      <c r="AX485" s="707"/>
      <c r="AY485" s="707"/>
      <c r="AZ485" s="707"/>
      <c r="BA485" s="707"/>
      <c r="BB485" s="707"/>
      <c r="BC485" s="707"/>
      <c r="BD485" s="707"/>
      <c r="BE485" s="707"/>
      <c r="BF485" s="707"/>
      <c r="BG485" s="707"/>
      <c r="BH485" s="707"/>
      <c r="BI485" s="707"/>
      <c r="BJ485" s="707"/>
      <c r="BK485" s="707"/>
      <c r="BL485" s="707"/>
      <c r="BM485" s="707"/>
      <c r="BN485" s="707"/>
      <c r="BO485" s="707"/>
      <c r="BP485" s="707"/>
      <c r="BQ485" s="707"/>
      <c r="BR485" s="707"/>
      <c r="BS485" s="707"/>
      <c r="BT485" s="707"/>
      <c r="BU485" s="707"/>
      <c r="BV485" s="707"/>
      <c r="BW485" s="707"/>
      <c r="BX485" s="707"/>
      <c r="BY485" s="707"/>
      <c r="BZ485" s="707"/>
      <c r="CA485" s="707"/>
      <c r="CB485" s="707"/>
      <c r="CC485" s="707"/>
      <c r="CD485" s="707"/>
      <c r="CE485" s="707"/>
      <c r="CF485" s="707"/>
      <c r="CG485" s="707"/>
      <c r="CH485" s="707"/>
      <c r="CI485" s="707"/>
      <c r="CJ485" s="707"/>
      <c r="CK485" s="707"/>
      <c r="CL485" s="707"/>
      <c r="CM485" s="707"/>
      <c r="CN485" s="707"/>
      <c r="CO485" s="707"/>
      <c r="CP485" s="707"/>
      <c r="CQ485" s="707"/>
      <c r="CR485" s="707"/>
      <c r="CS485" s="707"/>
      <c r="CT485" s="707"/>
      <c r="CU485" s="707"/>
      <c r="CV485" s="707"/>
      <c r="CW485" s="707"/>
      <c r="CX485" s="707"/>
      <c r="CY485" s="707"/>
      <c r="CZ485" s="707"/>
      <c r="DA485" s="707"/>
      <c r="DB485" s="707"/>
      <c r="DC485" s="707"/>
      <c r="DD485" s="707"/>
      <c r="DE485" s="707"/>
      <c r="DF485" s="707"/>
      <c r="DG485" s="707"/>
      <c r="DH485" s="707"/>
      <c r="DI485" s="707"/>
      <c r="DJ485" s="707"/>
      <c r="DK485" s="707"/>
      <c r="DL485" s="707"/>
      <c r="DM485" s="707"/>
      <c r="DN485" s="707"/>
      <c r="DO485" s="707"/>
      <c r="DP485" s="707"/>
      <c r="DQ485" s="707"/>
      <c r="DR485" s="707"/>
      <c r="DS485" s="707"/>
      <c r="DT485" s="707"/>
      <c r="DU485" s="707"/>
      <c r="DV485" s="707"/>
      <c r="DW485" s="707"/>
      <c r="DX485" s="707"/>
      <c r="DY485" s="707"/>
      <c r="DZ485" s="707"/>
      <c r="EA485" s="707"/>
      <c r="EB485" s="707"/>
      <c r="EC485" s="707"/>
      <c r="ED485" s="707"/>
      <c r="EE485" s="707"/>
      <c r="EF485" s="707"/>
      <c r="EG485" s="707"/>
      <c r="EH485" s="707"/>
      <c r="EI485" s="707"/>
      <c r="EJ485" s="707"/>
      <c r="EK485" s="707"/>
      <c r="EL485" s="707"/>
      <c r="EM485" s="707"/>
      <c r="EN485" s="707"/>
      <c r="EO485" s="707"/>
      <c r="EP485" s="707"/>
      <c r="EQ485" s="707"/>
      <c r="ER485" s="707"/>
      <c r="ES485" s="707"/>
      <c r="ET485" s="707"/>
      <c r="EU485" s="707"/>
      <c r="EV485" s="707"/>
      <c r="EW485" s="707"/>
      <c r="EX485" s="707"/>
      <c r="EY485" s="707"/>
      <c r="EZ485" s="707"/>
      <c r="FA485" s="707"/>
      <c r="FB485" s="707"/>
      <c r="FC485" s="707"/>
      <c r="FD485" s="707"/>
      <c r="FE485" s="707"/>
      <c r="FF485" s="707"/>
      <c r="FG485" s="707"/>
      <c r="FH485" s="707"/>
      <c r="FI485" s="707"/>
      <c r="FJ485" s="707"/>
      <c r="FK485" s="707"/>
      <c r="FL485" s="707"/>
      <c r="FM485" s="707"/>
      <c r="FN485" s="707"/>
      <c r="FO485" s="707"/>
      <c r="FP485" s="707"/>
      <c r="FQ485" s="707"/>
      <c r="FR485" s="707"/>
      <c r="FS485" s="707"/>
      <c r="FT485" s="707"/>
      <c r="FU485" s="707"/>
      <c r="FV485" s="707"/>
      <c r="FW485" s="707"/>
      <c r="FX485" s="707"/>
      <c r="FY485" s="707"/>
      <c r="FZ485" s="707"/>
      <c r="GA485" s="707"/>
      <c r="GB485" s="707"/>
      <c r="GC485" s="707"/>
      <c r="GD485" s="707"/>
      <c r="GE485" s="707"/>
      <c r="GF485" s="707"/>
      <c r="GG485" s="707"/>
      <c r="GH485" s="707"/>
      <c r="GI485" s="707"/>
      <c r="GJ485" s="707"/>
      <c r="GK485" s="707"/>
      <c r="GL485" s="707"/>
      <c r="GM485" s="707"/>
      <c r="GN485" s="707"/>
      <c r="GO485" s="707"/>
      <c r="GP485" s="707"/>
      <c r="GQ485" s="707"/>
      <c r="GR485" s="707"/>
      <c r="GS485" s="707"/>
      <c r="GT485" s="707"/>
      <c r="GU485" s="707"/>
      <c r="GV485" s="707"/>
      <c r="GW485" s="707"/>
      <c r="GX485" s="707"/>
      <c r="GY485" s="707"/>
      <c r="GZ485" s="707"/>
      <c r="HA485" s="707"/>
      <c r="HB485" s="707"/>
      <c r="HC485" s="707"/>
      <c r="HD485" s="707"/>
      <c r="HE485" s="707"/>
      <c r="HF485" s="707"/>
      <c r="HG485" s="707"/>
      <c r="HH485" s="707"/>
      <c r="HI485" s="707"/>
      <c r="HJ485" s="707"/>
      <c r="HK485" s="707"/>
      <c r="HL485" s="707"/>
      <c r="HM485" s="707"/>
      <c r="HN485" s="707"/>
      <c r="HO485" s="707"/>
      <c r="HP485" s="707"/>
      <c r="HQ485" s="707"/>
      <c r="HR485" s="707"/>
      <c r="HS485" s="707"/>
      <c r="HT485" s="707"/>
      <c r="HU485" s="707"/>
      <c r="HV485" s="707"/>
      <c r="HW485" s="707"/>
      <c r="HX485" s="707"/>
      <c r="HY485" s="707"/>
      <c r="HZ485" s="707"/>
      <c r="IA485" s="707"/>
      <c r="IB485" s="707"/>
      <c r="IC485" s="707"/>
      <c r="ID485" s="707"/>
      <c r="IE485" s="707"/>
      <c r="IF485" s="707"/>
      <c r="IG485" s="707"/>
      <c r="IH485" s="707"/>
      <c r="II485" s="707"/>
      <c r="IJ485" s="707"/>
      <c r="IK485" s="707"/>
      <c r="IL485" s="707"/>
      <c r="IM485" s="707"/>
      <c r="IN485" s="707"/>
      <c r="IO485" s="707"/>
      <c r="IP485" s="707"/>
      <c r="IQ485" s="707"/>
      <c r="IR485" s="707"/>
      <c r="IS485" s="707"/>
      <c r="IT485" s="707"/>
      <c r="IU485" s="707"/>
      <c r="IV485" s="707"/>
      <c r="IW485" s="707"/>
    </row>
    <row r="486" customFormat="false" ht="12.75" hidden="false" customHeight="false" outlineLevel="1" collapsed="false">
      <c r="A486" s="716"/>
      <c r="B486" s="717"/>
      <c r="C486" s="717"/>
      <c r="D486" s="717"/>
      <c r="E486" s="713"/>
      <c r="F486" s="713"/>
      <c r="G486" s="713"/>
      <c r="H486" s="713"/>
      <c r="I486" s="713"/>
      <c r="J486" s="713"/>
      <c r="K486" s="713"/>
      <c r="L486" s="713"/>
      <c r="M486" s="713"/>
      <c r="N486" s="713"/>
      <c r="O486" s="713"/>
      <c r="P486" s="713"/>
      <c r="Q486" s="713"/>
      <c r="R486" s="713"/>
      <c r="S486" s="713"/>
      <c r="T486" s="713"/>
      <c r="U486" s="713"/>
      <c r="V486" s="713"/>
      <c r="W486" s="713"/>
      <c r="X486" s="713"/>
      <c r="Y486" s="713"/>
      <c r="Z486" s="713"/>
      <c r="AA486" s="707"/>
      <c r="AB486" s="707"/>
      <c r="AC486" s="707"/>
      <c r="AD486" s="707"/>
      <c r="AE486" s="707"/>
      <c r="AF486" s="707"/>
      <c r="AG486" s="707"/>
      <c r="AH486" s="707"/>
      <c r="AI486" s="707"/>
      <c r="AJ486" s="707"/>
      <c r="AK486" s="707"/>
      <c r="AL486" s="707"/>
      <c r="AM486" s="707"/>
      <c r="AN486" s="707"/>
      <c r="AO486" s="707"/>
      <c r="AP486" s="707"/>
      <c r="AQ486" s="707"/>
      <c r="AR486" s="707"/>
      <c r="AS486" s="707"/>
      <c r="AT486" s="707"/>
      <c r="AU486" s="707"/>
      <c r="AV486" s="707"/>
      <c r="AW486" s="707"/>
      <c r="AX486" s="707"/>
      <c r="AY486" s="707"/>
      <c r="AZ486" s="707"/>
      <c r="BA486" s="707"/>
      <c r="BB486" s="707"/>
      <c r="BC486" s="707"/>
      <c r="BD486" s="707"/>
      <c r="BE486" s="707"/>
      <c r="BF486" s="707"/>
      <c r="BG486" s="707"/>
      <c r="BH486" s="707"/>
      <c r="BI486" s="707"/>
      <c r="BJ486" s="707"/>
      <c r="BK486" s="707"/>
      <c r="BL486" s="707"/>
      <c r="BM486" s="707"/>
      <c r="BN486" s="707"/>
      <c r="BO486" s="707"/>
      <c r="BP486" s="707"/>
      <c r="BQ486" s="707"/>
      <c r="BR486" s="707"/>
      <c r="BS486" s="707"/>
      <c r="BT486" s="707"/>
      <c r="BU486" s="707"/>
      <c r="BV486" s="707"/>
      <c r="BW486" s="707"/>
      <c r="BX486" s="707"/>
      <c r="BY486" s="707"/>
      <c r="BZ486" s="707"/>
      <c r="CA486" s="707"/>
      <c r="CB486" s="707"/>
      <c r="CC486" s="707"/>
      <c r="CD486" s="707"/>
      <c r="CE486" s="707"/>
      <c r="CF486" s="707"/>
      <c r="CG486" s="707"/>
      <c r="CH486" s="707"/>
      <c r="CI486" s="707"/>
      <c r="CJ486" s="707"/>
      <c r="CK486" s="707"/>
      <c r="CL486" s="707"/>
      <c r="CM486" s="707"/>
      <c r="CN486" s="707"/>
      <c r="CO486" s="707"/>
      <c r="CP486" s="707"/>
      <c r="CQ486" s="707"/>
      <c r="CR486" s="707"/>
      <c r="CS486" s="707"/>
      <c r="CT486" s="707"/>
      <c r="CU486" s="707"/>
      <c r="CV486" s="707"/>
      <c r="CW486" s="707"/>
      <c r="CX486" s="707"/>
      <c r="CY486" s="707"/>
      <c r="CZ486" s="707"/>
      <c r="DA486" s="707"/>
      <c r="DB486" s="707"/>
      <c r="DC486" s="707"/>
      <c r="DD486" s="707"/>
      <c r="DE486" s="707"/>
      <c r="DF486" s="707"/>
      <c r="DG486" s="707"/>
      <c r="DH486" s="707"/>
      <c r="DI486" s="707"/>
      <c r="DJ486" s="707"/>
      <c r="DK486" s="707"/>
      <c r="DL486" s="707"/>
      <c r="DM486" s="707"/>
      <c r="DN486" s="707"/>
      <c r="DO486" s="707"/>
      <c r="DP486" s="707"/>
      <c r="DQ486" s="707"/>
      <c r="DR486" s="707"/>
      <c r="DS486" s="707"/>
      <c r="DT486" s="707"/>
      <c r="DU486" s="707"/>
      <c r="DV486" s="707"/>
      <c r="DW486" s="707"/>
      <c r="DX486" s="707"/>
      <c r="DY486" s="707"/>
      <c r="DZ486" s="707"/>
      <c r="EA486" s="707"/>
      <c r="EB486" s="707"/>
      <c r="EC486" s="707"/>
      <c r="ED486" s="707"/>
      <c r="EE486" s="707"/>
      <c r="EF486" s="707"/>
      <c r="EG486" s="707"/>
      <c r="EH486" s="707"/>
      <c r="EI486" s="707"/>
      <c r="EJ486" s="707"/>
      <c r="EK486" s="707"/>
      <c r="EL486" s="707"/>
      <c r="EM486" s="707"/>
      <c r="EN486" s="707"/>
      <c r="EO486" s="707"/>
      <c r="EP486" s="707"/>
      <c r="EQ486" s="707"/>
      <c r="ER486" s="707"/>
      <c r="ES486" s="707"/>
      <c r="ET486" s="707"/>
      <c r="EU486" s="707"/>
      <c r="EV486" s="707"/>
      <c r="EW486" s="707"/>
      <c r="EX486" s="707"/>
      <c r="EY486" s="707"/>
      <c r="EZ486" s="707"/>
      <c r="FA486" s="707"/>
      <c r="FB486" s="707"/>
      <c r="FC486" s="707"/>
      <c r="FD486" s="707"/>
      <c r="FE486" s="707"/>
      <c r="FF486" s="707"/>
      <c r="FG486" s="707"/>
      <c r="FH486" s="707"/>
      <c r="FI486" s="707"/>
      <c r="FJ486" s="707"/>
      <c r="FK486" s="707"/>
      <c r="FL486" s="707"/>
      <c r="FM486" s="707"/>
      <c r="FN486" s="707"/>
      <c r="FO486" s="707"/>
      <c r="FP486" s="707"/>
      <c r="FQ486" s="707"/>
      <c r="FR486" s="707"/>
      <c r="FS486" s="707"/>
      <c r="FT486" s="707"/>
      <c r="FU486" s="707"/>
      <c r="FV486" s="707"/>
      <c r="FW486" s="707"/>
      <c r="FX486" s="707"/>
      <c r="FY486" s="707"/>
      <c r="FZ486" s="707"/>
      <c r="GA486" s="707"/>
      <c r="GB486" s="707"/>
      <c r="GC486" s="707"/>
      <c r="GD486" s="707"/>
      <c r="GE486" s="707"/>
      <c r="GF486" s="707"/>
      <c r="GG486" s="707"/>
      <c r="GH486" s="707"/>
      <c r="GI486" s="707"/>
      <c r="GJ486" s="707"/>
      <c r="GK486" s="707"/>
      <c r="GL486" s="707"/>
      <c r="GM486" s="707"/>
      <c r="GN486" s="707"/>
      <c r="GO486" s="707"/>
      <c r="GP486" s="707"/>
      <c r="GQ486" s="707"/>
      <c r="GR486" s="707"/>
      <c r="GS486" s="707"/>
      <c r="GT486" s="707"/>
      <c r="GU486" s="707"/>
      <c r="GV486" s="707"/>
      <c r="GW486" s="707"/>
      <c r="GX486" s="707"/>
      <c r="GY486" s="707"/>
      <c r="GZ486" s="707"/>
      <c r="HA486" s="707"/>
      <c r="HB486" s="707"/>
      <c r="HC486" s="707"/>
      <c r="HD486" s="707"/>
      <c r="HE486" s="707"/>
      <c r="HF486" s="707"/>
      <c r="HG486" s="707"/>
      <c r="HH486" s="707"/>
      <c r="HI486" s="707"/>
      <c r="HJ486" s="707"/>
      <c r="HK486" s="707"/>
      <c r="HL486" s="707"/>
      <c r="HM486" s="707"/>
      <c r="HN486" s="707"/>
      <c r="HO486" s="707"/>
      <c r="HP486" s="707"/>
      <c r="HQ486" s="707"/>
      <c r="HR486" s="707"/>
      <c r="HS486" s="707"/>
      <c r="HT486" s="707"/>
      <c r="HU486" s="707"/>
      <c r="HV486" s="707"/>
      <c r="HW486" s="707"/>
      <c r="HX486" s="707"/>
      <c r="HY486" s="707"/>
      <c r="HZ486" s="707"/>
      <c r="IA486" s="707"/>
      <c r="IB486" s="707"/>
      <c r="IC486" s="707"/>
      <c r="ID486" s="707"/>
      <c r="IE486" s="707"/>
      <c r="IF486" s="707"/>
      <c r="IG486" s="707"/>
      <c r="IH486" s="707"/>
      <c r="II486" s="707"/>
      <c r="IJ486" s="707"/>
      <c r="IK486" s="707"/>
      <c r="IL486" s="707"/>
      <c r="IM486" s="707"/>
      <c r="IN486" s="707"/>
      <c r="IO486" s="707"/>
      <c r="IP486" s="707"/>
      <c r="IQ486" s="707"/>
      <c r="IR486" s="707"/>
      <c r="IS486" s="707"/>
      <c r="IT486" s="707"/>
      <c r="IU486" s="707"/>
      <c r="IV486" s="707"/>
      <c r="IW486" s="707"/>
    </row>
    <row r="487" customFormat="false" ht="12.75" hidden="false" customHeight="false" outlineLevel="1" collapsed="false">
      <c r="A487" s="716"/>
      <c r="B487" s="717"/>
      <c r="C487" s="717"/>
      <c r="D487" s="717"/>
      <c r="E487" s="713"/>
      <c r="F487" s="713"/>
      <c r="G487" s="713"/>
      <c r="H487" s="713"/>
      <c r="I487" s="713"/>
      <c r="J487" s="713"/>
      <c r="K487" s="713"/>
      <c r="L487" s="713"/>
      <c r="M487" s="713"/>
      <c r="N487" s="713"/>
      <c r="O487" s="713"/>
      <c r="P487" s="713"/>
      <c r="Q487" s="713"/>
      <c r="R487" s="713"/>
      <c r="S487" s="713"/>
      <c r="T487" s="713"/>
      <c r="U487" s="713"/>
      <c r="V487" s="713"/>
      <c r="W487" s="713"/>
      <c r="X487" s="713"/>
      <c r="Y487" s="713"/>
      <c r="Z487" s="713"/>
      <c r="AA487" s="707"/>
      <c r="AB487" s="707"/>
      <c r="AC487" s="707"/>
      <c r="AD487" s="707"/>
      <c r="AE487" s="707"/>
      <c r="AF487" s="707"/>
      <c r="AG487" s="707"/>
      <c r="AH487" s="707"/>
      <c r="AI487" s="707"/>
      <c r="AJ487" s="707"/>
      <c r="AK487" s="707"/>
      <c r="AL487" s="707"/>
      <c r="AM487" s="707"/>
      <c r="AN487" s="707"/>
      <c r="AO487" s="707"/>
      <c r="AP487" s="707"/>
      <c r="AQ487" s="707"/>
      <c r="AR487" s="707"/>
      <c r="AS487" s="707"/>
      <c r="AT487" s="707"/>
      <c r="AU487" s="707"/>
      <c r="AV487" s="707"/>
      <c r="AW487" s="707"/>
      <c r="AX487" s="707"/>
      <c r="AY487" s="707"/>
      <c r="AZ487" s="707"/>
      <c r="BA487" s="707"/>
      <c r="BB487" s="707"/>
      <c r="BC487" s="707"/>
      <c r="BD487" s="707"/>
      <c r="BE487" s="707"/>
      <c r="BF487" s="707"/>
      <c r="BG487" s="707"/>
      <c r="BH487" s="707"/>
      <c r="BI487" s="707"/>
      <c r="BJ487" s="707"/>
      <c r="BK487" s="707"/>
      <c r="BL487" s="707"/>
      <c r="BM487" s="707"/>
      <c r="BN487" s="707"/>
      <c r="BO487" s="707"/>
      <c r="BP487" s="707"/>
      <c r="BQ487" s="707"/>
      <c r="BR487" s="707"/>
      <c r="BS487" s="707"/>
      <c r="BT487" s="707"/>
      <c r="BU487" s="707"/>
      <c r="BV487" s="707"/>
      <c r="BW487" s="707"/>
      <c r="BX487" s="707"/>
      <c r="BY487" s="707"/>
      <c r="BZ487" s="707"/>
      <c r="CA487" s="707"/>
      <c r="CB487" s="707"/>
      <c r="CC487" s="707"/>
      <c r="CD487" s="707"/>
      <c r="CE487" s="707"/>
      <c r="CF487" s="707"/>
      <c r="CG487" s="707"/>
      <c r="CH487" s="707"/>
      <c r="CI487" s="707"/>
      <c r="CJ487" s="707"/>
      <c r="CK487" s="707"/>
      <c r="CL487" s="707"/>
      <c r="CM487" s="707"/>
      <c r="CN487" s="707"/>
      <c r="CO487" s="707"/>
      <c r="CP487" s="707"/>
      <c r="CQ487" s="707"/>
      <c r="CR487" s="707"/>
      <c r="CS487" s="707"/>
      <c r="CT487" s="707"/>
      <c r="CU487" s="707"/>
      <c r="CV487" s="707"/>
      <c r="CW487" s="707"/>
      <c r="CX487" s="707"/>
      <c r="CY487" s="707"/>
      <c r="CZ487" s="707"/>
      <c r="DA487" s="707"/>
      <c r="DB487" s="707"/>
      <c r="DC487" s="707"/>
      <c r="DD487" s="707"/>
      <c r="DE487" s="707"/>
      <c r="DF487" s="707"/>
      <c r="DG487" s="707"/>
      <c r="DH487" s="707"/>
      <c r="DI487" s="707"/>
      <c r="DJ487" s="707"/>
      <c r="DK487" s="707"/>
      <c r="DL487" s="707"/>
      <c r="DM487" s="707"/>
      <c r="DN487" s="707"/>
      <c r="DO487" s="707"/>
      <c r="DP487" s="707"/>
      <c r="DQ487" s="707"/>
      <c r="DR487" s="707"/>
      <c r="DS487" s="707"/>
      <c r="DT487" s="707"/>
      <c r="DU487" s="707"/>
      <c r="DV487" s="707"/>
      <c r="DW487" s="707"/>
      <c r="DX487" s="707"/>
      <c r="DY487" s="707"/>
      <c r="DZ487" s="707"/>
      <c r="EA487" s="707"/>
      <c r="EB487" s="707"/>
      <c r="EC487" s="707"/>
      <c r="ED487" s="707"/>
      <c r="EE487" s="707"/>
      <c r="EF487" s="707"/>
      <c r="EG487" s="707"/>
      <c r="EH487" s="707"/>
      <c r="EI487" s="707"/>
      <c r="EJ487" s="707"/>
      <c r="EK487" s="707"/>
      <c r="EL487" s="707"/>
      <c r="EM487" s="707"/>
      <c r="EN487" s="707"/>
      <c r="EO487" s="707"/>
      <c r="EP487" s="707"/>
      <c r="EQ487" s="707"/>
      <c r="ER487" s="707"/>
      <c r="ES487" s="707"/>
      <c r="ET487" s="707"/>
      <c r="EU487" s="707"/>
      <c r="EV487" s="707"/>
      <c r="EW487" s="707"/>
      <c r="EX487" s="707"/>
      <c r="EY487" s="707"/>
      <c r="EZ487" s="707"/>
      <c r="FA487" s="707"/>
      <c r="FB487" s="707"/>
      <c r="FC487" s="707"/>
      <c r="FD487" s="707"/>
      <c r="FE487" s="707"/>
      <c r="FF487" s="707"/>
      <c r="FG487" s="707"/>
      <c r="FH487" s="707"/>
      <c r="FI487" s="707"/>
      <c r="FJ487" s="707"/>
      <c r="FK487" s="707"/>
      <c r="FL487" s="707"/>
      <c r="FM487" s="707"/>
      <c r="FN487" s="707"/>
      <c r="FO487" s="707"/>
      <c r="FP487" s="707"/>
      <c r="FQ487" s="707"/>
      <c r="FR487" s="707"/>
      <c r="FS487" s="707"/>
      <c r="FT487" s="707"/>
      <c r="FU487" s="707"/>
      <c r="FV487" s="707"/>
      <c r="FW487" s="707"/>
      <c r="FX487" s="707"/>
      <c r="FY487" s="707"/>
      <c r="FZ487" s="707"/>
      <c r="GA487" s="707"/>
      <c r="GB487" s="707"/>
      <c r="GC487" s="707"/>
      <c r="GD487" s="707"/>
      <c r="GE487" s="707"/>
      <c r="GF487" s="707"/>
      <c r="GG487" s="707"/>
      <c r="GH487" s="707"/>
      <c r="GI487" s="707"/>
      <c r="GJ487" s="707"/>
      <c r="GK487" s="707"/>
      <c r="GL487" s="707"/>
      <c r="GM487" s="707"/>
      <c r="GN487" s="707"/>
      <c r="GO487" s="707"/>
      <c r="GP487" s="707"/>
      <c r="GQ487" s="707"/>
      <c r="GR487" s="707"/>
      <c r="GS487" s="707"/>
      <c r="GT487" s="707"/>
      <c r="GU487" s="707"/>
      <c r="GV487" s="707"/>
      <c r="GW487" s="707"/>
      <c r="GX487" s="707"/>
      <c r="GY487" s="707"/>
      <c r="GZ487" s="707"/>
      <c r="HA487" s="707"/>
      <c r="HB487" s="707"/>
      <c r="HC487" s="707"/>
      <c r="HD487" s="707"/>
      <c r="HE487" s="707"/>
      <c r="HF487" s="707"/>
      <c r="HG487" s="707"/>
      <c r="HH487" s="707"/>
      <c r="HI487" s="707"/>
      <c r="HJ487" s="707"/>
      <c r="HK487" s="707"/>
      <c r="HL487" s="707"/>
      <c r="HM487" s="707"/>
      <c r="HN487" s="707"/>
      <c r="HO487" s="707"/>
      <c r="HP487" s="707"/>
      <c r="HQ487" s="707"/>
      <c r="HR487" s="707"/>
      <c r="HS487" s="707"/>
      <c r="HT487" s="707"/>
      <c r="HU487" s="707"/>
      <c r="HV487" s="707"/>
      <c r="HW487" s="707"/>
      <c r="HX487" s="707"/>
      <c r="HY487" s="707"/>
      <c r="HZ487" s="707"/>
      <c r="IA487" s="707"/>
      <c r="IB487" s="707"/>
      <c r="IC487" s="707"/>
      <c r="ID487" s="707"/>
      <c r="IE487" s="707"/>
      <c r="IF487" s="707"/>
      <c r="IG487" s="707"/>
      <c r="IH487" s="707"/>
      <c r="II487" s="707"/>
      <c r="IJ487" s="707"/>
      <c r="IK487" s="707"/>
      <c r="IL487" s="707"/>
      <c r="IM487" s="707"/>
      <c r="IN487" s="707"/>
      <c r="IO487" s="707"/>
      <c r="IP487" s="707"/>
      <c r="IQ487" s="707"/>
      <c r="IR487" s="707"/>
      <c r="IS487" s="707"/>
      <c r="IT487" s="707"/>
      <c r="IU487" s="707"/>
      <c r="IV487" s="707"/>
      <c r="IW487" s="707"/>
    </row>
    <row r="488" customFormat="false" ht="12.75" hidden="false" customHeight="false" outlineLevel="1" collapsed="false">
      <c r="A488" s="716"/>
      <c r="B488" s="718"/>
      <c r="C488" s="718"/>
      <c r="D488" s="718"/>
      <c r="E488" s="713"/>
      <c r="F488" s="713"/>
      <c r="G488" s="713"/>
      <c r="H488" s="713"/>
      <c r="I488" s="713"/>
      <c r="J488" s="713"/>
      <c r="K488" s="713"/>
      <c r="L488" s="713"/>
      <c r="M488" s="713"/>
      <c r="N488" s="713"/>
      <c r="O488" s="713"/>
      <c r="P488" s="713"/>
      <c r="Q488" s="713"/>
      <c r="R488" s="713"/>
      <c r="S488" s="713"/>
      <c r="T488" s="713"/>
      <c r="U488" s="713"/>
      <c r="V488" s="713"/>
      <c r="W488" s="713"/>
      <c r="X488" s="713"/>
      <c r="Y488" s="713"/>
      <c r="Z488" s="713"/>
      <c r="AA488" s="707"/>
      <c r="AB488" s="707"/>
      <c r="AC488" s="707"/>
      <c r="AD488" s="707"/>
      <c r="AE488" s="707"/>
      <c r="AF488" s="707"/>
      <c r="AG488" s="707"/>
      <c r="AH488" s="707"/>
      <c r="AI488" s="707"/>
      <c r="AJ488" s="707"/>
      <c r="AK488" s="707"/>
      <c r="AL488" s="707"/>
      <c r="AM488" s="707"/>
      <c r="AN488" s="707"/>
      <c r="AO488" s="707"/>
      <c r="AP488" s="707"/>
      <c r="AQ488" s="707"/>
      <c r="AR488" s="707"/>
      <c r="AS488" s="707"/>
      <c r="AT488" s="707"/>
      <c r="AU488" s="707"/>
      <c r="AV488" s="707"/>
      <c r="AW488" s="707"/>
      <c r="AX488" s="707"/>
      <c r="AY488" s="707"/>
      <c r="AZ488" s="707"/>
      <c r="BA488" s="707"/>
      <c r="BB488" s="707"/>
      <c r="BC488" s="707"/>
      <c r="BD488" s="707"/>
      <c r="BE488" s="707"/>
      <c r="BF488" s="707"/>
      <c r="BG488" s="707"/>
      <c r="BH488" s="707"/>
      <c r="BI488" s="707"/>
      <c r="BJ488" s="707"/>
      <c r="BK488" s="707"/>
      <c r="BL488" s="707"/>
      <c r="BM488" s="707"/>
      <c r="BN488" s="707"/>
      <c r="BO488" s="707"/>
      <c r="BP488" s="707"/>
      <c r="BQ488" s="707"/>
      <c r="BR488" s="707"/>
      <c r="BS488" s="707"/>
      <c r="BT488" s="707"/>
      <c r="BU488" s="707"/>
      <c r="BV488" s="707"/>
      <c r="BW488" s="707"/>
      <c r="BX488" s="707"/>
      <c r="BY488" s="707"/>
      <c r="BZ488" s="707"/>
      <c r="CA488" s="707"/>
      <c r="CB488" s="707"/>
      <c r="CC488" s="707"/>
      <c r="CD488" s="707"/>
      <c r="CE488" s="707"/>
      <c r="CF488" s="707"/>
      <c r="CG488" s="707"/>
      <c r="CH488" s="707"/>
      <c r="CI488" s="707"/>
      <c r="CJ488" s="707"/>
      <c r="CK488" s="707"/>
      <c r="CL488" s="707"/>
      <c r="CM488" s="707"/>
      <c r="CN488" s="707"/>
      <c r="CO488" s="707"/>
      <c r="CP488" s="707"/>
      <c r="CQ488" s="707"/>
      <c r="CR488" s="707"/>
      <c r="CS488" s="707"/>
      <c r="CT488" s="707"/>
      <c r="CU488" s="707"/>
      <c r="CV488" s="707"/>
      <c r="CW488" s="707"/>
      <c r="CX488" s="707"/>
      <c r="CY488" s="707"/>
      <c r="CZ488" s="707"/>
      <c r="DA488" s="707"/>
      <c r="DB488" s="707"/>
      <c r="DC488" s="707"/>
      <c r="DD488" s="707"/>
      <c r="DE488" s="707"/>
      <c r="DF488" s="707"/>
      <c r="DG488" s="707"/>
      <c r="DH488" s="707"/>
      <c r="DI488" s="707"/>
      <c r="DJ488" s="707"/>
      <c r="DK488" s="707"/>
      <c r="DL488" s="707"/>
      <c r="DM488" s="707"/>
      <c r="DN488" s="707"/>
      <c r="DO488" s="707"/>
      <c r="DP488" s="707"/>
      <c r="DQ488" s="707"/>
      <c r="DR488" s="707"/>
      <c r="DS488" s="707"/>
      <c r="DT488" s="707"/>
      <c r="DU488" s="707"/>
      <c r="DV488" s="707"/>
      <c r="DW488" s="707"/>
      <c r="DX488" s="707"/>
      <c r="DY488" s="707"/>
      <c r="DZ488" s="707"/>
      <c r="EA488" s="707"/>
      <c r="EB488" s="707"/>
      <c r="EC488" s="707"/>
      <c r="ED488" s="707"/>
      <c r="EE488" s="707"/>
      <c r="EF488" s="707"/>
      <c r="EG488" s="707"/>
      <c r="EH488" s="707"/>
      <c r="EI488" s="707"/>
      <c r="EJ488" s="707"/>
      <c r="EK488" s="707"/>
      <c r="EL488" s="707"/>
      <c r="EM488" s="707"/>
      <c r="EN488" s="707"/>
      <c r="EO488" s="707"/>
      <c r="EP488" s="707"/>
      <c r="EQ488" s="707"/>
      <c r="ER488" s="707"/>
      <c r="ES488" s="707"/>
      <c r="ET488" s="707"/>
      <c r="EU488" s="707"/>
      <c r="EV488" s="707"/>
      <c r="EW488" s="707"/>
      <c r="EX488" s="707"/>
      <c r="EY488" s="707"/>
      <c r="EZ488" s="707"/>
      <c r="FA488" s="707"/>
      <c r="FB488" s="707"/>
      <c r="FC488" s="707"/>
      <c r="FD488" s="707"/>
      <c r="FE488" s="707"/>
      <c r="FF488" s="707"/>
      <c r="FG488" s="707"/>
      <c r="FH488" s="707"/>
      <c r="FI488" s="707"/>
      <c r="FJ488" s="707"/>
      <c r="FK488" s="707"/>
      <c r="FL488" s="707"/>
      <c r="FM488" s="707"/>
      <c r="FN488" s="707"/>
      <c r="FO488" s="707"/>
      <c r="FP488" s="707"/>
      <c r="FQ488" s="707"/>
      <c r="FR488" s="707"/>
      <c r="FS488" s="707"/>
      <c r="FT488" s="707"/>
      <c r="FU488" s="707"/>
      <c r="FV488" s="707"/>
      <c r="FW488" s="707"/>
      <c r="FX488" s="707"/>
      <c r="FY488" s="707"/>
      <c r="FZ488" s="707"/>
      <c r="GA488" s="707"/>
      <c r="GB488" s="707"/>
      <c r="GC488" s="707"/>
      <c r="GD488" s="707"/>
      <c r="GE488" s="707"/>
      <c r="GF488" s="707"/>
      <c r="GG488" s="707"/>
      <c r="GH488" s="707"/>
      <c r="GI488" s="707"/>
      <c r="GJ488" s="707"/>
      <c r="GK488" s="707"/>
      <c r="GL488" s="707"/>
      <c r="GM488" s="707"/>
      <c r="GN488" s="707"/>
      <c r="GO488" s="707"/>
      <c r="GP488" s="707"/>
      <c r="GQ488" s="707"/>
      <c r="GR488" s="707"/>
      <c r="GS488" s="707"/>
      <c r="GT488" s="707"/>
      <c r="GU488" s="707"/>
      <c r="GV488" s="707"/>
      <c r="GW488" s="707"/>
      <c r="GX488" s="707"/>
      <c r="GY488" s="707"/>
      <c r="GZ488" s="707"/>
      <c r="HA488" s="707"/>
      <c r="HB488" s="707"/>
      <c r="HC488" s="707"/>
      <c r="HD488" s="707"/>
      <c r="HE488" s="707"/>
      <c r="HF488" s="707"/>
      <c r="HG488" s="707"/>
      <c r="HH488" s="707"/>
      <c r="HI488" s="707"/>
      <c r="HJ488" s="707"/>
      <c r="HK488" s="707"/>
      <c r="HL488" s="707"/>
      <c r="HM488" s="707"/>
      <c r="HN488" s="707"/>
      <c r="HO488" s="707"/>
      <c r="HP488" s="707"/>
      <c r="HQ488" s="707"/>
      <c r="HR488" s="707"/>
      <c r="HS488" s="707"/>
      <c r="HT488" s="707"/>
      <c r="HU488" s="707"/>
      <c r="HV488" s="707"/>
      <c r="HW488" s="707"/>
      <c r="HX488" s="707"/>
      <c r="HY488" s="707"/>
      <c r="HZ488" s="707"/>
      <c r="IA488" s="707"/>
      <c r="IB488" s="707"/>
      <c r="IC488" s="707"/>
      <c r="ID488" s="707"/>
      <c r="IE488" s="707"/>
      <c r="IF488" s="707"/>
      <c r="IG488" s="707"/>
      <c r="IH488" s="707"/>
      <c r="II488" s="707"/>
      <c r="IJ488" s="707"/>
      <c r="IK488" s="707"/>
      <c r="IL488" s="707"/>
      <c r="IM488" s="707"/>
      <c r="IN488" s="707"/>
      <c r="IO488" s="707"/>
      <c r="IP488" s="707"/>
      <c r="IQ488" s="707"/>
      <c r="IR488" s="707"/>
      <c r="IS488" s="707"/>
      <c r="IT488" s="707"/>
      <c r="IU488" s="707"/>
      <c r="IV488" s="707"/>
      <c r="IW488" s="707"/>
    </row>
    <row r="489" customFormat="false" ht="12.75" hidden="false" customHeight="false" outlineLevel="1" collapsed="false">
      <c r="A489" s="388"/>
      <c r="B489" s="717"/>
      <c r="C489" s="717"/>
      <c r="D489" s="717"/>
      <c r="E489" s="713"/>
      <c r="F489" s="713"/>
      <c r="G489" s="713"/>
      <c r="H489" s="713"/>
      <c r="I489" s="713"/>
      <c r="J489" s="713"/>
      <c r="K489" s="713"/>
      <c r="L489" s="713"/>
      <c r="M489" s="713"/>
      <c r="N489" s="713"/>
      <c r="O489" s="713"/>
      <c r="P489" s="713"/>
      <c r="Q489" s="713"/>
      <c r="R489" s="713"/>
      <c r="S489" s="713"/>
      <c r="T489" s="713"/>
      <c r="U489" s="713"/>
      <c r="V489" s="713"/>
      <c r="W489" s="713"/>
      <c r="X489" s="713"/>
      <c r="Y489" s="713"/>
      <c r="Z489" s="713"/>
      <c r="AA489" s="707"/>
      <c r="AB489" s="707"/>
      <c r="AC489" s="707"/>
      <c r="AD489" s="707"/>
      <c r="AE489" s="707"/>
      <c r="AF489" s="707"/>
      <c r="AG489" s="707"/>
      <c r="AH489" s="707"/>
      <c r="AI489" s="707"/>
      <c r="AJ489" s="707"/>
      <c r="AK489" s="707"/>
      <c r="AL489" s="707"/>
      <c r="AM489" s="707"/>
      <c r="AN489" s="707"/>
      <c r="AO489" s="707"/>
      <c r="AP489" s="707"/>
      <c r="AQ489" s="707"/>
      <c r="AR489" s="707"/>
      <c r="AS489" s="707"/>
      <c r="AT489" s="707"/>
      <c r="AU489" s="707"/>
      <c r="AV489" s="707"/>
      <c r="AW489" s="707"/>
      <c r="AX489" s="707"/>
      <c r="AY489" s="707"/>
      <c r="AZ489" s="707"/>
      <c r="BA489" s="707"/>
      <c r="BB489" s="707"/>
      <c r="BC489" s="707"/>
      <c r="BD489" s="707"/>
      <c r="BE489" s="707"/>
      <c r="BF489" s="707"/>
      <c r="BG489" s="707"/>
      <c r="BH489" s="707"/>
      <c r="BI489" s="707"/>
      <c r="BJ489" s="707"/>
      <c r="BK489" s="707"/>
      <c r="BL489" s="707"/>
      <c r="BM489" s="707"/>
      <c r="BN489" s="707"/>
      <c r="BO489" s="707"/>
      <c r="BP489" s="707"/>
      <c r="BQ489" s="707"/>
      <c r="BR489" s="707"/>
      <c r="BS489" s="707"/>
      <c r="BT489" s="707"/>
      <c r="BU489" s="707"/>
      <c r="BV489" s="707"/>
      <c r="BW489" s="707"/>
      <c r="BX489" s="707"/>
      <c r="BY489" s="707"/>
      <c r="BZ489" s="707"/>
      <c r="CA489" s="707"/>
      <c r="CB489" s="707"/>
      <c r="CC489" s="707"/>
      <c r="CD489" s="707"/>
      <c r="CE489" s="707"/>
      <c r="CF489" s="707"/>
      <c r="CG489" s="707"/>
      <c r="CH489" s="707"/>
      <c r="CI489" s="707"/>
      <c r="CJ489" s="707"/>
      <c r="CK489" s="707"/>
      <c r="CL489" s="707"/>
      <c r="CM489" s="707"/>
      <c r="CN489" s="707"/>
      <c r="CO489" s="707"/>
      <c r="CP489" s="707"/>
      <c r="CQ489" s="707"/>
      <c r="CR489" s="707"/>
      <c r="CS489" s="707"/>
      <c r="CT489" s="707"/>
      <c r="CU489" s="707"/>
      <c r="CV489" s="707"/>
      <c r="CW489" s="707"/>
      <c r="CX489" s="707"/>
      <c r="CY489" s="707"/>
      <c r="CZ489" s="707"/>
      <c r="DA489" s="707"/>
      <c r="DB489" s="707"/>
      <c r="DC489" s="707"/>
      <c r="DD489" s="707"/>
      <c r="DE489" s="707"/>
      <c r="DF489" s="707"/>
      <c r="DG489" s="707"/>
      <c r="DH489" s="707"/>
      <c r="DI489" s="707"/>
      <c r="DJ489" s="707"/>
      <c r="DK489" s="707"/>
      <c r="DL489" s="707"/>
      <c r="DM489" s="707"/>
      <c r="DN489" s="707"/>
      <c r="DO489" s="707"/>
      <c r="DP489" s="707"/>
      <c r="DQ489" s="707"/>
      <c r="DR489" s="707"/>
      <c r="DS489" s="707"/>
      <c r="DT489" s="707"/>
      <c r="DU489" s="707"/>
      <c r="DV489" s="707"/>
      <c r="DW489" s="707"/>
      <c r="DX489" s="707"/>
      <c r="DY489" s="707"/>
      <c r="DZ489" s="707"/>
      <c r="EA489" s="707"/>
      <c r="EB489" s="707"/>
      <c r="EC489" s="707"/>
      <c r="ED489" s="707"/>
      <c r="EE489" s="707"/>
      <c r="EF489" s="707"/>
      <c r="EG489" s="707"/>
      <c r="EH489" s="707"/>
      <c r="EI489" s="707"/>
      <c r="EJ489" s="707"/>
      <c r="EK489" s="707"/>
      <c r="EL489" s="707"/>
      <c r="EM489" s="707"/>
      <c r="EN489" s="707"/>
      <c r="EO489" s="707"/>
      <c r="EP489" s="707"/>
      <c r="EQ489" s="707"/>
      <c r="ER489" s="707"/>
      <c r="ES489" s="707"/>
      <c r="ET489" s="707"/>
      <c r="EU489" s="707"/>
      <c r="EV489" s="707"/>
      <c r="EW489" s="707"/>
      <c r="EX489" s="707"/>
      <c r="EY489" s="707"/>
      <c r="EZ489" s="707"/>
      <c r="FA489" s="707"/>
      <c r="FB489" s="707"/>
      <c r="FC489" s="707"/>
      <c r="FD489" s="707"/>
      <c r="FE489" s="707"/>
      <c r="FF489" s="707"/>
      <c r="FG489" s="707"/>
      <c r="FH489" s="707"/>
      <c r="FI489" s="707"/>
      <c r="FJ489" s="707"/>
      <c r="FK489" s="707"/>
      <c r="FL489" s="707"/>
      <c r="FM489" s="707"/>
      <c r="FN489" s="707"/>
      <c r="FO489" s="707"/>
      <c r="FP489" s="707"/>
      <c r="FQ489" s="707"/>
      <c r="FR489" s="707"/>
      <c r="FS489" s="707"/>
      <c r="FT489" s="707"/>
      <c r="FU489" s="707"/>
      <c r="FV489" s="707"/>
      <c r="FW489" s="707"/>
      <c r="FX489" s="707"/>
      <c r="FY489" s="707"/>
      <c r="FZ489" s="707"/>
      <c r="GA489" s="707"/>
      <c r="GB489" s="707"/>
      <c r="GC489" s="707"/>
      <c r="GD489" s="707"/>
      <c r="GE489" s="707"/>
      <c r="GF489" s="707"/>
      <c r="GG489" s="707"/>
      <c r="GH489" s="707"/>
      <c r="GI489" s="707"/>
      <c r="GJ489" s="707"/>
      <c r="GK489" s="707"/>
      <c r="GL489" s="707"/>
      <c r="GM489" s="707"/>
      <c r="GN489" s="707"/>
      <c r="GO489" s="707"/>
      <c r="GP489" s="707"/>
      <c r="GQ489" s="707"/>
      <c r="GR489" s="707"/>
      <c r="GS489" s="707"/>
      <c r="GT489" s="707"/>
      <c r="GU489" s="707"/>
      <c r="GV489" s="707"/>
      <c r="GW489" s="707"/>
      <c r="GX489" s="707"/>
      <c r="GY489" s="707"/>
      <c r="GZ489" s="707"/>
      <c r="HA489" s="707"/>
      <c r="HB489" s="707"/>
      <c r="HC489" s="707"/>
      <c r="HD489" s="707"/>
      <c r="HE489" s="707"/>
      <c r="HF489" s="707"/>
      <c r="HG489" s="707"/>
      <c r="HH489" s="707"/>
      <c r="HI489" s="707"/>
      <c r="HJ489" s="707"/>
      <c r="HK489" s="707"/>
      <c r="HL489" s="707"/>
      <c r="HM489" s="707"/>
      <c r="HN489" s="707"/>
      <c r="HO489" s="707"/>
      <c r="HP489" s="707"/>
      <c r="HQ489" s="707"/>
      <c r="HR489" s="707"/>
      <c r="HS489" s="707"/>
      <c r="HT489" s="707"/>
      <c r="HU489" s="707"/>
      <c r="HV489" s="707"/>
      <c r="HW489" s="707"/>
      <c r="HX489" s="707"/>
      <c r="HY489" s="707"/>
      <c r="HZ489" s="707"/>
      <c r="IA489" s="707"/>
      <c r="IB489" s="707"/>
      <c r="IC489" s="707"/>
      <c r="ID489" s="707"/>
      <c r="IE489" s="707"/>
      <c r="IF489" s="707"/>
      <c r="IG489" s="707"/>
      <c r="IH489" s="707"/>
      <c r="II489" s="707"/>
      <c r="IJ489" s="707"/>
      <c r="IK489" s="707"/>
      <c r="IL489" s="707"/>
      <c r="IM489" s="707"/>
      <c r="IN489" s="707"/>
      <c r="IO489" s="707"/>
      <c r="IP489" s="707"/>
      <c r="IQ489" s="707"/>
      <c r="IR489" s="707"/>
      <c r="IS489" s="707"/>
      <c r="IT489" s="707"/>
      <c r="IU489" s="707"/>
      <c r="IV489" s="707"/>
      <c r="IW489" s="707"/>
    </row>
    <row r="490" customFormat="false" ht="12.75" hidden="false" customHeight="false" outlineLevel="1" collapsed="false">
      <c r="A490" s="388"/>
      <c r="B490" s="717"/>
      <c r="C490" s="717"/>
      <c r="D490" s="717"/>
      <c r="E490" s="713"/>
      <c r="F490" s="713"/>
      <c r="G490" s="713"/>
      <c r="H490" s="713"/>
      <c r="I490" s="713"/>
      <c r="J490" s="713"/>
      <c r="K490" s="713"/>
      <c r="L490" s="713"/>
      <c r="M490" s="713"/>
      <c r="N490" s="713"/>
      <c r="O490" s="713"/>
      <c r="P490" s="713"/>
      <c r="Q490" s="713"/>
      <c r="R490" s="713"/>
      <c r="S490" s="713"/>
      <c r="T490" s="713"/>
      <c r="U490" s="713"/>
      <c r="V490" s="713"/>
      <c r="W490" s="713"/>
      <c r="X490" s="713"/>
      <c r="Y490" s="713"/>
      <c r="Z490" s="713"/>
      <c r="AA490" s="707"/>
      <c r="AB490" s="707"/>
      <c r="AC490" s="707"/>
      <c r="AD490" s="707"/>
      <c r="AE490" s="707"/>
      <c r="AF490" s="707"/>
      <c r="AG490" s="707"/>
      <c r="AH490" s="707"/>
      <c r="AI490" s="707"/>
      <c r="AJ490" s="707"/>
      <c r="AK490" s="707"/>
      <c r="AL490" s="707"/>
      <c r="AM490" s="707"/>
      <c r="AN490" s="707"/>
      <c r="AO490" s="707"/>
      <c r="AP490" s="707"/>
      <c r="AQ490" s="707"/>
      <c r="AR490" s="707"/>
      <c r="AS490" s="707"/>
      <c r="AT490" s="707"/>
      <c r="AU490" s="707"/>
      <c r="AV490" s="707"/>
      <c r="AW490" s="707"/>
      <c r="AX490" s="707"/>
      <c r="AY490" s="707"/>
      <c r="AZ490" s="707"/>
      <c r="BA490" s="707"/>
      <c r="BB490" s="707"/>
      <c r="BC490" s="707"/>
      <c r="BD490" s="707"/>
      <c r="BE490" s="707"/>
      <c r="BF490" s="707"/>
      <c r="BG490" s="707"/>
      <c r="BH490" s="707"/>
      <c r="BI490" s="707"/>
      <c r="BJ490" s="707"/>
      <c r="BK490" s="707"/>
      <c r="BL490" s="707"/>
      <c r="BM490" s="707"/>
      <c r="BN490" s="707"/>
      <c r="BO490" s="707"/>
      <c r="BP490" s="707"/>
      <c r="BQ490" s="707"/>
      <c r="BR490" s="707"/>
      <c r="BS490" s="707"/>
      <c r="BT490" s="707"/>
      <c r="BU490" s="707"/>
      <c r="BV490" s="707"/>
      <c r="BW490" s="707"/>
      <c r="BX490" s="707"/>
      <c r="BY490" s="707"/>
      <c r="BZ490" s="707"/>
      <c r="CA490" s="707"/>
      <c r="CB490" s="707"/>
      <c r="CC490" s="707"/>
      <c r="CD490" s="707"/>
      <c r="CE490" s="707"/>
      <c r="CF490" s="707"/>
      <c r="CG490" s="707"/>
      <c r="CH490" s="707"/>
      <c r="CI490" s="707"/>
      <c r="CJ490" s="707"/>
      <c r="CK490" s="707"/>
      <c r="CL490" s="707"/>
      <c r="CM490" s="707"/>
      <c r="CN490" s="707"/>
      <c r="CO490" s="707"/>
      <c r="CP490" s="707"/>
      <c r="CQ490" s="707"/>
      <c r="CR490" s="707"/>
      <c r="CS490" s="707"/>
      <c r="CT490" s="707"/>
      <c r="CU490" s="707"/>
      <c r="CV490" s="707"/>
      <c r="CW490" s="707"/>
      <c r="CX490" s="707"/>
      <c r="CY490" s="707"/>
      <c r="CZ490" s="707"/>
      <c r="DA490" s="707"/>
      <c r="DB490" s="707"/>
      <c r="DC490" s="707"/>
      <c r="DD490" s="707"/>
      <c r="DE490" s="707"/>
      <c r="DF490" s="707"/>
      <c r="DG490" s="707"/>
      <c r="DH490" s="707"/>
      <c r="DI490" s="707"/>
      <c r="DJ490" s="707"/>
      <c r="DK490" s="707"/>
      <c r="DL490" s="707"/>
      <c r="DM490" s="707"/>
      <c r="DN490" s="707"/>
      <c r="DO490" s="707"/>
      <c r="DP490" s="707"/>
      <c r="DQ490" s="707"/>
      <c r="DR490" s="707"/>
      <c r="DS490" s="707"/>
      <c r="DT490" s="707"/>
      <c r="DU490" s="707"/>
      <c r="DV490" s="707"/>
      <c r="DW490" s="707"/>
      <c r="DX490" s="707"/>
      <c r="DY490" s="707"/>
      <c r="DZ490" s="707"/>
      <c r="EA490" s="707"/>
      <c r="EB490" s="707"/>
      <c r="EC490" s="707"/>
      <c r="ED490" s="707"/>
      <c r="EE490" s="707"/>
      <c r="EF490" s="707"/>
      <c r="EG490" s="707"/>
      <c r="EH490" s="707"/>
      <c r="EI490" s="707"/>
      <c r="EJ490" s="707"/>
      <c r="EK490" s="707"/>
      <c r="EL490" s="707"/>
      <c r="EM490" s="707"/>
      <c r="EN490" s="707"/>
      <c r="EO490" s="707"/>
      <c r="EP490" s="707"/>
      <c r="EQ490" s="707"/>
      <c r="ER490" s="707"/>
      <c r="ES490" s="707"/>
      <c r="ET490" s="707"/>
      <c r="EU490" s="707"/>
      <c r="EV490" s="707"/>
      <c r="EW490" s="707"/>
      <c r="EX490" s="707"/>
      <c r="EY490" s="707"/>
      <c r="EZ490" s="707"/>
      <c r="FA490" s="707"/>
      <c r="FB490" s="707"/>
      <c r="FC490" s="707"/>
      <c r="FD490" s="707"/>
      <c r="FE490" s="707"/>
      <c r="FF490" s="707"/>
      <c r="FG490" s="707"/>
      <c r="FH490" s="707"/>
      <c r="FI490" s="707"/>
      <c r="FJ490" s="707"/>
      <c r="FK490" s="707"/>
      <c r="FL490" s="707"/>
      <c r="FM490" s="707"/>
      <c r="FN490" s="707"/>
      <c r="FO490" s="707"/>
      <c r="FP490" s="707"/>
      <c r="FQ490" s="707"/>
      <c r="FR490" s="707"/>
      <c r="FS490" s="707"/>
      <c r="FT490" s="707"/>
      <c r="FU490" s="707"/>
      <c r="FV490" s="707"/>
      <c r="FW490" s="707"/>
      <c r="FX490" s="707"/>
      <c r="FY490" s="707"/>
      <c r="FZ490" s="707"/>
      <c r="GA490" s="707"/>
      <c r="GB490" s="707"/>
      <c r="GC490" s="707"/>
      <c r="GD490" s="707"/>
      <c r="GE490" s="707"/>
      <c r="GF490" s="707"/>
      <c r="GG490" s="707"/>
      <c r="GH490" s="707"/>
      <c r="GI490" s="707"/>
      <c r="GJ490" s="707"/>
      <c r="GK490" s="707"/>
      <c r="GL490" s="707"/>
      <c r="GM490" s="707"/>
      <c r="GN490" s="707"/>
      <c r="GO490" s="707"/>
      <c r="GP490" s="707"/>
      <c r="GQ490" s="707"/>
      <c r="GR490" s="707"/>
      <c r="GS490" s="707"/>
      <c r="GT490" s="707"/>
      <c r="GU490" s="707"/>
      <c r="GV490" s="707"/>
      <c r="GW490" s="707"/>
      <c r="GX490" s="707"/>
      <c r="GY490" s="707"/>
      <c r="GZ490" s="707"/>
      <c r="HA490" s="707"/>
      <c r="HB490" s="707"/>
      <c r="HC490" s="707"/>
      <c r="HD490" s="707"/>
      <c r="HE490" s="707"/>
      <c r="HF490" s="707"/>
      <c r="HG490" s="707"/>
      <c r="HH490" s="707"/>
      <c r="HI490" s="707"/>
      <c r="HJ490" s="707"/>
      <c r="HK490" s="707"/>
      <c r="HL490" s="707"/>
      <c r="HM490" s="707"/>
      <c r="HN490" s="707"/>
      <c r="HO490" s="707"/>
      <c r="HP490" s="707"/>
      <c r="HQ490" s="707"/>
      <c r="HR490" s="707"/>
      <c r="HS490" s="707"/>
      <c r="HT490" s="707"/>
      <c r="HU490" s="707"/>
      <c r="HV490" s="707"/>
      <c r="HW490" s="707"/>
      <c r="HX490" s="707"/>
      <c r="HY490" s="707"/>
      <c r="HZ490" s="707"/>
      <c r="IA490" s="707"/>
      <c r="IB490" s="707"/>
      <c r="IC490" s="707"/>
      <c r="ID490" s="707"/>
      <c r="IE490" s="707"/>
      <c r="IF490" s="707"/>
      <c r="IG490" s="707"/>
      <c r="IH490" s="707"/>
      <c r="II490" s="707"/>
      <c r="IJ490" s="707"/>
      <c r="IK490" s="707"/>
      <c r="IL490" s="707"/>
      <c r="IM490" s="707"/>
      <c r="IN490" s="707"/>
      <c r="IO490" s="707"/>
      <c r="IP490" s="707"/>
      <c r="IQ490" s="707"/>
      <c r="IR490" s="707"/>
      <c r="IS490" s="707"/>
      <c r="IT490" s="707"/>
      <c r="IU490" s="707"/>
      <c r="IV490" s="707"/>
      <c r="IW490" s="707"/>
    </row>
    <row r="491" customFormat="false" ht="12.75" hidden="false" customHeight="false" outlineLevel="1" collapsed="false">
      <c r="A491" s="388"/>
      <c r="B491" s="717"/>
      <c r="C491" s="717"/>
      <c r="D491" s="717"/>
      <c r="E491" s="713"/>
      <c r="F491" s="713"/>
      <c r="G491" s="713"/>
      <c r="H491" s="713"/>
      <c r="I491" s="713"/>
      <c r="J491" s="713"/>
      <c r="K491" s="713"/>
      <c r="L491" s="713"/>
      <c r="M491" s="713"/>
      <c r="N491" s="713"/>
      <c r="O491" s="713"/>
      <c r="P491" s="713"/>
      <c r="Q491" s="713"/>
      <c r="R491" s="713"/>
      <c r="S491" s="713"/>
      <c r="T491" s="713"/>
      <c r="U491" s="713"/>
      <c r="V491" s="713"/>
      <c r="W491" s="713"/>
      <c r="X491" s="713"/>
      <c r="Y491" s="713"/>
      <c r="Z491" s="713"/>
      <c r="AA491" s="707"/>
      <c r="AB491" s="707"/>
      <c r="AC491" s="707"/>
      <c r="AD491" s="707"/>
      <c r="AE491" s="707"/>
      <c r="AF491" s="707"/>
      <c r="AG491" s="707"/>
      <c r="AH491" s="707"/>
      <c r="AI491" s="707"/>
      <c r="AJ491" s="707"/>
      <c r="AK491" s="707"/>
      <c r="AL491" s="707"/>
      <c r="AM491" s="707"/>
      <c r="AN491" s="707"/>
      <c r="AO491" s="707"/>
      <c r="AP491" s="707"/>
      <c r="AQ491" s="707"/>
      <c r="AR491" s="707"/>
      <c r="AS491" s="707"/>
      <c r="AT491" s="707"/>
      <c r="AU491" s="707"/>
      <c r="AV491" s="707"/>
      <c r="AW491" s="707"/>
      <c r="AX491" s="707"/>
      <c r="AY491" s="707"/>
      <c r="AZ491" s="707"/>
      <c r="BA491" s="707"/>
      <c r="BB491" s="707"/>
      <c r="BC491" s="707"/>
      <c r="BD491" s="707"/>
      <c r="BE491" s="707"/>
      <c r="BF491" s="707"/>
      <c r="BG491" s="707"/>
      <c r="BH491" s="707"/>
      <c r="BI491" s="707"/>
      <c r="BJ491" s="707"/>
      <c r="BK491" s="707"/>
      <c r="BL491" s="707"/>
      <c r="BM491" s="707"/>
      <c r="BN491" s="707"/>
      <c r="BO491" s="707"/>
      <c r="BP491" s="707"/>
      <c r="BQ491" s="707"/>
      <c r="BR491" s="707"/>
      <c r="BS491" s="707"/>
      <c r="BT491" s="707"/>
      <c r="BU491" s="707"/>
      <c r="BV491" s="707"/>
      <c r="BW491" s="707"/>
      <c r="BX491" s="707"/>
      <c r="BY491" s="707"/>
      <c r="BZ491" s="707"/>
      <c r="CA491" s="707"/>
      <c r="CB491" s="707"/>
      <c r="CC491" s="707"/>
      <c r="CD491" s="707"/>
      <c r="CE491" s="707"/>
      <c r="CF491" s="707"/>
      <c r="CG491" s="707"/>
      <c r="CH491" s="707"/>
      <c r="CI491" s="707"/>
      <c r="CJ491" s="707"/>
      <c r="CK491" s="707"/>
      <c r="CL491" s="707"/>
      <c r="CM491" s="707"/>
      <c r="CN491" s="707"/>
      <c r="CO491" s="707"/>
      <c r="CP491" s="707"/>
      <c r="CQ491" s="707"/>
      <c r="CR491" s="707"/>
      <c r="CS491" s="707"/>
      <c r="CT491" s="707"/>
      <c r="CU491" s="707"/>
      <c r="CV491" s="707"/>
      <c r="CW491" s="707"/>
      <c r="CX491" s="707"/>
      <c r="CY491" s="707"/>
      <c r="CZ491" s="707"/>
      <c r="DA491" s="707"/>
      <c r="DB491" s="707"/>
      <c r="DC491" s="707"/>
      <c r="DD491" s="707"/>
      <c r="DE491" s="707"/>
      <c r="DF491" s="707"/>
      <c r="DG491" s="707"/>
      <c r="DH491" s="707"/>
      <c r="DI491" s="707"/>
      <c r="DJ491" s="707"/>
      <c r="DK491" s="707"/>
      <c r="DL491" s="707"/>
      <c r="DM491" s="707"/>
      <c r="DN491" s="707"/>
      <c r="DO491" s="707"/>
      <c r="DP491" s="707"/>
      <c r="DQ491" s="707"/>
      <c r="DR491" s="707"/>
      <c r="DS491" s="707"/>
      <c r="DT491" s="707"/>
      <c r="DU491" s="707"/>
      <c r="DV491" s="707"/>
      <c r="DW491" s="707"/>
      <c r="DX491" s="707"/>
      <c r="DY491" s="707"/>
      <c r="DZ491" s="707"/>
      <c r="EA491" s="707"/>
      <c r="EB491" s="707"/>
      <c r="EC491" s="707"/>
      <c r="ED491" s="707"/>
      <c r="EE491" s="707"/>
      <c r="EF491" s="707"/>
      <c r="EG491" s="707"/>
      <c r="EH491" s="707"/>
      <c r="EI491" s="707"/>
      <c r="EJ491" s="707"/>
      <c r="EK491" s="707"/>
      <c r="EL491" s="707"/>
      <c r="EM491" s="707"/>
      <c r="EN491" s="707"/>
      <c r="EO491" s="707"/>
      <c r="EP491" s="707"/>
      <c r="EQ491" s="707"/>
      <c r="ER491" s="707"/>
      <c r="ES491" s="707"/>
      <c r="ET491" s="707"/>
      <c r="EU491" s="707"/>
      <c r="EV491" s="707"/>
      <c r="EW491" s="707"/>
      <c r="EX491" s="707"/>
      <c r="EY491" s="707"/>
      <c r="EZ491" s="707"/>
      <c r="FA491" s="707"/>
      <c r="FB491" s="707"/>
      <c r="FC491" s="707"/>
      <c r="FD491" s="707"/>
      <c r="FE491" s="707"/>
      <c r="FF491" s="707"/>
      <c r="FG491" s="707"/>
      <c r="FH491" s="707"/>
      <c r="FI491" s="707"/>
      <c r="FJ491" s="707"/>
      <c r="FK491" s="707"/>
      <c r="FL491" s="707"/>
      <c r="FM491" s="707"/>
      <c r="FN491" s="707"/>
      <c r="FO491" s="707"/>
      <c r="FP491" s="707"/>
      <c r="FQ491" s="707"/>
      <c r="FR491" s="707"/>
      <c r="FS491" s="707"/>
      <c r="FT491" s="707"/>
      <c r="FU491" s="707"/>
      <c r="FV491" s="707"/>
      <c r="FW491" s="707"/>
      <c r="FX491" s="707"/>
      <c r="FY491" s="707"/>
      <c r="FZ491" s="707"/>
      <c r="GA491" s="707"/>
      <c r="GB491" s="707"/>
      <c r="GC491" s="707"/>
      <c r="GD491" s="707"/>
      <c r="GE491" s="707"/>
      <c r="GF491" s="707"/>
      <c r="GG491" s="707"/>
      <c r="GH491" s="707"/>
      <c r="GI491" s="707"/>
      <c r="GJ491" s="707"/>
      <c r="GK491" s="707"/>
      <c r="GL491" s="707"/>
      <c r="GM491" s="707"/>
      <c r="GN491" s="707"/>
      <c r="GO491" s="707"/>
      <c r="GP491" s="707"/>
      <c r="GQ491" s="707"/>
      <c r="GR491" s="707"/>
      <c r="GS491" s="707"/>
      <c r="GT491" s="707"/>
      <c r="GU491" s="707"/>
      <c r="GV491" s="707"/>
      <c r="GW491" s="707"/>
      <c r="GX491" s="707"/>
      <c r="GY491" s="707"/>
      <c r="GZ491" s="707"/>
      <c r="HA491" s="707"/>
      <c r="HB491" s="707"/>
      <c r="HC491" s="707"/>
      <c r="HD491" s="707"/>
      <c r="HE491" s="707"/>
      <c r="HF491" s="707"/>
      <c r="HG491" s="707"/>
      <c r="HH491" s="707"/>
      <c r="HI491" s="707"/>
      <c r="HJ491" s="707"/>
      <c r="HK491" s="707"/>
      <c r="HL491" s="707"/>
      <c r="HM491" s="707"/>
      <c r="HN491" s="707"/>
      <c r="HO491" s="707"/>
      <c r="HP491" s="707"/>
      <c r="HQ491" s="707"/>
      <c r="HR491" s="707"/>
      <c r="HS491" s="707"/>
      <c r="HT491" s="707"/>
      <c r="HU491" s="707"/>
      <c r="HV491" s="707"/>
      <c r="HW491" s="707"/>
      <c r="HX491" s="707"/>
      <c r="HY491" s="707"/>
      <c r="HZ491" s="707"/>
      <c r="IA491" s="707"/>
      <c r="IB491" s="707"/>
      <c r="IC491" s="707"/>
      <c r="ID491" s="707"/>
      <c r="IE491" s="707"/>
      <c r="IF491" s="707"/>
      <c r="IG491" s="707"/>
      <c r="IH491" s="707"/>
      <c r="II491" s="707"/>
      <c r="IJ491" s="707"/>
      <c r="IK491" s="707"/>
      <c r="IL491" s="707"/>
      <c r="IM491" s="707"/>
      <c r="IN491" s="707"/>
      <c r="IO491" s="707"/>
      <c r="IP491" s="707"/>
      <c r="IQ491" s="707"/>
      <c r="IR491" s="707"/>
      <c r="IS491" s="707"/>
      <c r="IT491" s="707"/>
      <c r="IU491" s="707"/>
      <c r="IV491" s="707"/>
      <c r="IW491" s="707"/>
    </row>
    <row r="492" customFormat="false" ht="12.75" hidden="false" customHeight="false" outlineLevel="1" collapsed="false">
      <c r="A492" s="388"/>
      <c r="B492" s="717"/>
      <c r="C492" s="717"/>
      <c r="D492" s="717"/>
      <c r="E492" s="713"/>
      <c r="F492" s="713"/>
      <c r="G492" s="713"/>
      <c r="H492" s="713"/>
      <c r="I492" s="713"/>
      <c r="J492" s="713"/>
      <c r="K492" s="713"/>
      <c r="L492" s="713"/>
      <c r="M492" s="713"/>
      <c r="N492" s="713"/>
      <c r="O492" s="713"/>
      <c r="P492" s="713"/>
      <c r="Q492" s="713"/>
      <c r="R492" s="713"/>
      <c r="S492" s="713"/>
      <c r="T492" s="713"/>
      <c r="U492" s="713"/>
      <c r="V492" s="713"/>
      <c r="W492" s="713"/>
      <c r="X492" s="713"/>
      <c r="Y492" s="713"/>
      <c r="Z492" s="713"/>
      <c r="AA492" s="707"/>
      <c r="AB492" s="707"/>
      <c r="AC492" s="707"/>
      <c r="AD492" s="707"/>
      <c r="AE492" s="707"/>
      <c r="AF492" s="707"/>
      <c r="AG492" s="707"/>
      <c r="AH492" s="707"/>
      <c r="AI492" s="707"/>
      <c r="AJ492" s="707"/>
      <c r="AK492" s="707"/>
      <c r="AL492" s="707"/>
      <c r="AM492" s="707"/>
      <c r="AN492" s="707"/>
      <c r="AO492" s="707"/>
      <c r="AP492" s="707"/>
      <c r="AQ492" s="707"/>
      <c r="AR492" s="707"/>
      <c r="AS492" s="707"/>
      <c r="AT492" s="707"/>
      <c r="AU492" s="707"/>
      <c r="AV492" s="707"/>
      <c r="AW492" s="707"/>
      <c r="AX492" s="707"/>
      <c r="AY492" s="707"/>
      <c r="AZ492" s="707"/>
      <c r="BA492" s="707"/>
      <c r="BB492" s="707"/>
      <c r="BC492" s="707"/>
      <c r="BD492" s="707"/>
      <c r="BE492" s="707"/>
      <c r="BF492" s="707"/>
      <c r="BG492" s="707"/>
      <c r="BH492" s="707"/>
      <c r="BI492" s="707"/>
      <c r="BJ492" s="707"/>
      <c r="BK492" s="707"/>
      <c r="BL492" s="707"/>
      <c r="BM492" s="707"/>
      <c r="BN492" s="707"/>
      <c r="BO492" s="707"/>
      <c r="BP492" s="707"/>
      <c r="BQ492" s="707"/>
      <c r="BR492" s="707"/>
      <c r="BS492" s="707"/>
      <c r="BT492" s="707"/>
      <c r="BU492" s="707"/>
      <c r="BV492" s="707"/>
      <c r="BW492" s="707"/>
      <c r="BX492" s="707"/>
      <c r="BY492" s="707"/>
      <c r="BZ492" s="707"/>
      <c r="CA492" s="707"/>
      <c r="CB492" s="707"/>
      <c r="CC492" s="707"/>
      <c r="CD492" s="707"/>
      <c r="CE492" s="707"/>
      <c r="CF492" s="707"/>
      <c r="CG492" s="707"/>
      <c r="CH492" s="707"/>
      <c r="CI492" s="707"/>
      <c r="CJ492" s="707"/>
      <c r="CK492" s="707"/>
      <c r="CL492" s="707"/>
      <c r="CM492" s="707"/>
      <c r="CN492" s="707"/>
      <c r="CO492" s="707"/>
      <c r="CP492" s="707"/>
      <c r="CQ492" s="707"/>
      <c r="CR492" s="707"/>
      <c r="CS492" s="707"/>
      <c r="CT492" s="707"/>
      <c r="CU492" s="707"/>
      <c r="CV492" s="707"/>
      <c r="CW492" s="707"/>
      <c r="CX492" s="707"/>
      <c r="CY492" s="707"/>
      <c r="CZ492" s="707"/>
      <c r="DA492" s="707"/>
      <c r="DB492" s="707"/>
      <c r="DC492" s="707"/>
      <c r="DD492" s="707"/>
      <c r="DE492" s="707"/>
      <c r="DF492" s="707"/>
      <c r="DG492" s="707"/>
      <c r="DH492" s="707"/>
      <c r="DI492" s="707"/>
      <c r="DJ492" s="707"/>
      <c r="DK492" s="707"/>
      <c r="DL492" s="707"/>
      <c r="DM492" s="707"/>
      <c r="DN492" s="707"/>
      <c r="DO492" s="707"/>
      <c r="DP492" s="707"/>
      <c r="DQ492" s="707"/>
      <c r="DR492" s="707"/>
      <c r="DS492" s="707"/>
      <c r="DT492" s="707"/>
      <c r="DU492" s="707"/>
      <c r="DV492" s="707"/>
      <c r="DW492" s="707"/>
      <c r="DX492" s="707"/>
      <c r="DY492" s="707"/>
      <c r="DZ492" s="707"/>
      <c r="EA492" s="707"/>
      <c r="EB492" s="707"/>
      <c r="EC492" s="707"/>
      <c r="ED492" s="707"/>
      <c r="EE492" s="707"/>
      <c r="EF492" s="707"/>
      <c r="EG492" s="707"/>
      <c r="EH492" s="707"/>
      <c r="EI492" s="707"/>
      <c r="EJ492" s="707"/>
      <c r="EK492" s="707"/>
      <c r="EL492" s="707"/>
      <c r="EM492" s="707"/>
      <c r="EN492" s="707"/>
      <c r="EO492" s="707"/>
      <c r="EP492" s="707"/>
      <c r="EQ492" s="707"/>
      <c r="ER492" s="707"/>
      <c r="ES492" s="707"/>
      <c r="ET492" s="707"/>
      <c r="EU492" s="707"/>
      <c r="EV492" s="707"/>
      <c r="EW492" s="707"/>
      <c r="EX492" s="707"/>
      <c r="EY492" s="707"/>
      <c r="EZ492" s="707"/>
      <c r="FA492" s="707"/>
      <c r="FB492" s="707"/>
      <c r="FC492" s="707"/>
      <c r="FD492" s="707"/>
      <c r="FE492" s="707"/>
      <c r="FF492" s="707"/>
      <c r="FG492" s="707"/>
      <c r="FH492" s="707"/>
      <c r="FI492" s="707"/>
      <c r="FJ492" s="707"/>
      <c r="FK492" s="707"/>
      <c r="FL492" s="707"/>
      <c r="FM492" s="707"/>
      <c r="FN492" s="707"/>
      <c r="FO492" s="707"/>
      <c r="FP492" s="707"/>
      <c r="FQ492" s="707"/>
      <c r="FR492" s="707"/>
      <c r="FS492" s="707"/>
      <c r="FT492" s="707"/>
      <c r="FU492" s="707"/>
      <c r="FV492" s="707"/>
      <c r="FW492" s="707"/>
      <c r="FX492" s="707"/>
      <c r="FY492" s="707"/>
      <c r="FZ492" s="707"/>
      <c r="GA492" s="707"/>
      <c r="GB492" s="707"/>
      <c r="GC492" s="707"/>
      <c r="GD492" s="707"/>
      <c r="GE492" s="707"/>
      <c r="GF492" s="707"/>
      <c r="GG492" s="707"/>
      <c r="GH492" s="707"/>
      <c r="GI492" s="707"/>
      <c r="GJ492" s="707"/>
      <c r="GK492" s="707"/>
      <c r="GL492" s="707"/>
      <c r="GM492" s="707"/>
      <c r="GN492" s="707"/>
      <c r="GO492" s="707"/>
      <c r="GP492" s="707"/>
      <c r="GQ492" s="707"/>
      <c r="GR492" s="707"/>
      <c r="GS492" s="707"/>
      <c r="GT492" s="707"/>
      <c r="GU492" s="707"/>
      <c r="GV492" s="707"/>
      <c r="GW492" s="707"/>
      <c r="GX492" s="707"/>
      <c r="GY492" s="707"/>
      <c r="GZ492" s="707"/>
      <c r="HA492" s="707"/>
      <c r="HB492" s="707"/>
      <c r="HC492" s="707"/>
      <c r="HD492" s="707"/>
      <c r="HE492" s="707"/>
      <c r="HF492" s="707"/>
      <c r="HG492" s="707"/>
      <c r="HH492" s="707"/>
      <c r="HI492" s="707"/>
      <c r="HJ492" s="707"/>
      <c r="HK492" s="707"/>
      <c r="HL492" s="707"/>
      <c r="HM492" s="707"/>
      <c r="HN492" s="707"/>
      <c r="HO492" s="707"/>
      <c r="HP492" s="707"/>
      <c r="HQ492" s="707"/>
      <c r="HR492" s="707"/>
      <c r="HS492" s="707"/>
      <c r="HT492" s="707"/>
      <c r="HU492" s="707"/>
      <c r="HV492" s="707"/>
      <c r="HW492" s="707"/>
      <c r="HX492" s="707"/>
      <c r="HY492" s="707"/>
      <c r="HZ492" s="707"/>
      <c r="IA492" s="707"/>
      <c r="IB492" s="707"/>
      <c r="IC492" s="707"/>
      <c r="ID492" s="707"/>
      <c r="IE492" s="707"/>
      <c r="IF492" s="707"/>
      <c r="IG492" s="707"/>
      <c r="IH492" s="707"/>
      <c r="II492" s="707"/>
      <c r="IJ492" s="707"/>
      <c r="IK492" s="707"/>
      <c r="IL492" s="707"/>
      <c r="IM492" s="707"/>
      <c r="IN492" s="707"/>
      <c r="IO492" s="707"/>
      <c r="IP492" s="707"/>
      <c r="IQ492" s="707"/>
      <c r="IR492" s="707"/>
      <c r="IS492" s="707"/>
      <c r="IT492" s="707"/>
      <c r="IU492" s="707"/>
      <c r="IV492" s="707"/>
      <c r="IW492" s="707"/>
    </row>
    <row r="493" customFormat="false" ht="12.75" hidden="false" customHeight="false" outlineLevel="1" collapsed="false">
      <c r="A493" s="367"/>
      <c r="B493" s="717"/>
      <c r="C493" s="717"/>
      <c r="D493" s="717"/>
      <c r="E493" s="713"/>
      <c r="F493" s="713"/>
      <c r="G493" s="713"/>
      <c r="H493" s="713"/>
      <c r="I493" s="713"/>
      <c r="J493" s="713"/>
      <c r="K493" s="713"/>
      <c r="L493" s="713"/>
      <c r="M493" s="713"/>
      <c r="N493" s="713"/>
      <c r="O493" s="713"/>
      <c r="P493" s="713"/>
      <c r="Q493" s="713"/>
      <c r="R493" s="713"/>
      <c r="S493" s="713"/>
      <c r="T493" s="713"/>
      <c r="U493" s="713"/>
      <c r="V493" s="713"/>
      <c r="W493" s="713"/>
      <c r="X493" s="713"/>
      <c r="Y493" s="713"/>
      <c r="Z493" s="713"/>
      <c r="AA493" s="707"/>
      <c r="AB493" s="707"/>
      <c r="AC493" s="707"/>
      <c r="AD493" s="707"/>
      <c r="AE493" s="707"/>
      <c r="AF493" s="707"/>
      <c r="AG493" s="707"/>
      <c r="AH493" s="707"/>
      <c r="AI493" s="707"/>
      <c r="AJ493" s="707"/>
      <c r="AK493" s="707"/>
      <c r="AL493" s="707"/>
      <c r="AM493" s="707"/>
      <c r="AN493" s="707"/>
      <c r="AO493" s="707"/>
      <c r="AP493" s="707"/>
      <c r="AQ493" s="707"/>
      <c r="AR493" s="707"/>
      <c r="AS493" s="707"/>
      <c r="AT493" s="707"/>
      <c r="AU493" s="707"/>
      <c r="AV493" s="707"/>
      <c r="AW493" s="707"/>
      <c r="AX493" s="707"/>
      <c r="AY493" s="707"/>
      <c r="AZ493" s="707"/>
      <c r="BA493" s="707"/>
      <c r="BB493" s="707"/>
      <c r="BC493" s="707"/>
      <c r="BD493" s="707"/>
      <c r="BE493" s="707"/>
      <c r="BF493" s="707"/>
      <c r="BG493" s="707"/>
      <c r="BH493" s="707"/>
      <c r="BI493" s="707"/>
      <c r="BJ493" s="707"/>
      <c r="BK493" s="707"/>
      <c r="BL493" s="707"/>
      <c r="BM493" s="707"/>
      <c r="BN493" s="707"/>
      <c r="BO493" s="707"/>
      <c r="BP493" s="707"/>
      <c r="BQ493" s="707"/>
      <c r="BR493" s="707"/>
      <c r="BS493" s="707"/>
      <c r="BT493" s="707"/>
      <c r="BU493" s="707"/>
      <c r="BV493" s="707"/>
      <c r="BW493" s="707"/>
      <c r="BX493" s="707"/>
      <c r="BY493" s="707"/>
      <c r="BZ493" s="707"/>
      <c r="CA493" s="707"/>
      <c r="CB493" s="707"/>
      <c r="CC493" s="707"/>
      <c r="CD493" s="707"/>
      <c r="CE493" s="707"/>
      <c r="CF493" s="707"/>
      <c r="CG493" s="707"/>
      <c r="CH493" s="707"/>
      <c r="CI493" s="707"/>
      <c r="CJ493" s="707"/>
      <c r="CK493" s="707"/>
      <c r="CL493" s="707"/>
      <c r="CM493" s="707"/>
      <c r="CN493" s="707"/>
      <c r="CO493" s="707"/>
      <c r="CP493" s="707"/>
      <c r="CQ493" s="707"/>
      <c r="CR493" s="707"/>
      <c r="CS493" s="707"/>
      <c r="CT493" s="707"/>
      <c r="CU493" s="707"/>
      <c r="CV493" s="707"/>
      <c r="CW493" s="707"/>
      <c r="CX493" s="707"/>
      <c r="CY493" s="707"/>
      <c r="CZ493" s="707"/>
      <c r="DA493" s="707"/>
      <c r="DB493" s="707"/>
      <c r="DC493" s="707"/>
      <c r="DD493" s="707"/>
      <c r="DE493" s="707"/>
      <c r="DF493" s="707"/>
      <c r="DG493" s="707"/>
      <c r="DH493" s="707"/>
      <c r="DI493" s="707"/>
      <c r="DJ493" s="707"/>
      <c r="DK493" s="707"/>
      <c r="DL493" s="707"/>
      <c r="DM493" s="707"/>
      <c r="DN493" s="707"/>
      <c r="DO493" s="707"/>
      <c r="DP493" s="707"/>
      <c r="DQ493" s="707"/>
      <c r="DR493" s="707"/>
      <c r="DS493" s="707"/>
      <c r="DT493" s="707"/>
      <c r="DU493" s="707"/>
      <c r="DV493" s="707"/>
      <c r="DW493" s="707"/>
      <c r="DX493" s="707"/>
      <c r="DY493" s="707"/>
      <c r="DZ493" s="707"/>
      <c r="EA493" s="707"/>
      <c r="EB493" s="707"/>
      <c r="EC493" s="707"/>
      <c r="ED493" s="707"/>
      <c r="EE493" s="707"/>
      <c r="EF493" s="707"/>
      <c r="EG493" s="707"/>
      <c r="EH493" s="707"/>
      <c r="EI493" s="707"/>
      <c r="EJ493" s="707"/>
      <c r="EK493" s="707"/>
      <c r="EL493" s="707"/>
      <c r="EM493" s="707"/>
      <c r="EN493" s="707"/>
      <c r="EO493" s="707"/>
      <c r="EP493" s="707"/>
      <c r="EQ493" s="707"/>
      <c r="ER493" s="707"/>
      <c r="ES493" s="707"/>
      <c r="ET493" s="707"/>
      <c r="EU493" s="707"/>
      <c r="EV493" s="707"/>
      <c r="EW493" s="707"/>
      <c r="EX493" s="707"/>
      <c r="EY493" s="707"/>
      <c r="EZ493" s="707"/>
      <c r="FA493" s="707"/>
      <c r="FB493" s="707"/>
      <c r="FC493" s="707"/>
      <c r="FD493" s="707"/>
      <c r="FE493" s="707"/>
      <c r="FF493" s="707"/>
      <c r="FG493" s="707"/>
      <c r="FH493" s="707"/>
      <c r="FI493" s="707"/>
      <c r="FJ493" s="707"/>
      <c r="FK493" s="707"/>
      <c r="FL493" s="707"/>
      <c r="FM493" s="707"/>
      <c r="FN493" s="707"/>
      <c r="FO493" s="707"/>
      <c r="FP493" s="707"/>
      <c r="FQ493" s="707"/>
      <c r="FR493" s="707"/>
      <c r="FS493" s="707"/>
      <c r="FT493" s="707"/>
      <c r="FU493" s="707"/>
      <c r="FV493" s="707"/>
      <c r="FW493" s="707"/>
      <c r="FX493" s="707"/>
      <c r="FY493" s="707"/>
      <c r="FZ493" s="707"/>
      <c r="GA493" s="707"/>
      <c r="GB493" s="707"/>
      <c r="GC493" s="707"/>
      <c r="GD493" s="707"/>
      <c r="GE493" s="707"/>
      <c r="GF493" s="707"/>
      <c r="GG493" s="707"/>
      <c r="GH493" s="707"/>
      <c r="GI493" s="707"/>
      <c r="GJ493" s="707"/>
      <c r="GK493" s="707"/>
      <c r="GL493" s="707"/>
      <c r="GM493" s="707"/>
      <c r="GN493" s="707"/>
      <c r="GO493" s="707"/>
      <c r="GP493" s="707"/>
      <c r="GQ493" s="707"/>
      <c r="GR493" s="707"/>
      <c r="GS493" s="707"/>
      <c r="GT493" s="707"/>
      <c r="GU493" s="707"/>
      <c r="GV493" s="707"/>
      <c r="GW493" s="707"/>
      <c r="GX493" s="707"/>
      <c r="GY493" s="707"/>
      <c r="GZ493" s="707"/>
      <c r="HA493" s="707"/>
      <c r="HB493" s="707"/>
      <c r="HC493" s="707"/>
      <c r="HD493" s="707"/>
      <c r="HE493" s="707"/>
      <c r="HF493" s="707"/>
      <c r="HG493" s="707"/>
      <c r="HH493" s="707"/>
      <c r="HI493" s="707"/>
      <c r="HJ493" s="707"/>
      <c r="HK493" s="707"/>
      <c r="HL493" s="707"/>
      <c r="HM493" s="707"/>
      <c r="HN493" s="707"/>
      <c r="HO493" s="707"/>
      <c r="HP493" s="707"/>
      <c r="HQ493" s="707"/>
      <c r="HR493" s="707"/>
      <c r="HS493" s="707"/>
      <c r="HT493" s="707"/>
      <c r="HU493" s="707"/>
      <c r="HV493" s="707"/>
      <c r="HW493" s="707"/>
      <c r="HX493" s="707"/>
      <c r="HY493" s="707"/>
      <c r="HZ493" s="707"/>
      <c r="IA493" s="707"/>
      <c r="IB493" s="707"/>
      <c r="IC493" s="707"/>
      <c r="ID493" s="707"/>
      <c r="IE493" s="707"/>
      <c r="IF493" s="707"/>
      <c r="IG493" s="707"/>
      <c r="IH493" s="707"/>
      <c r="II493" s="707"/>
      <c r="IJ493" s="707"/>
      <c r="IK493" s="707"/>
      <c r="IL493" s="707"/>
      <c r="IM493" s="707"/>
      <c r="IN493" s="707"/>
      <c r="IO493" s="707"/>
      <c r="IP493" s="707"/>
      <c r="IQ493" s="707"/>
      <c r="IR493" s="707"/>
      <c r="IS493" s="707"/>
      <c r="IT493" s="707"/>
      <c r="IU493" s="707"/>
      <c r="IV493" s="707"/>
      <c r="IW493" s="707"/>
    </row>
    <row r="494" customFormat="false" ht="12.75" hidden="false" customHeight="false" outlineLevel="1" collapsed="false">
      <c r="A494" s="367"/>
      <c r="B494" s="717"/>
      <c r="C494" s="717"/>
      <c r="D494" s="717"/>
      <c r="E494" s="713"/>
      <c r="F494" s="713"/>
      <c r="G494" s="713"/>
      <c r="H494" s="713"/>
      <c r="I494" s="713"/>
      <c r="J494" s="713"/>
      <c r="K494" s="713"/>
      <c r="L494" s="713"/>
      <c r="M494" s="713"/>
      <c r="N494" s="713"/>
      <c r="O494" s="713"/>
      <c r="P494" s="713"/>
      <c r="Q494" s="713"/>
      <c r="R494" s="713"/>
      <c r="S494" s="713"/>
      <c r="T494" s="713"/>
      <c r="U494" s="713"/>
      <c r="V494" s="713"/>
      <c r="W494" s="713"/>
      <c r="X494" s="713"/>
      <c r="Y494" s="713"/>
      <c r="Z494" s="713"/>
      <c r="AA494" s="707"/>
      <c r="AB494" s="707"/>
      <c r="AC494" s="707"/>
      <c r="AD494" s="707"/>
      <c r="AE494" s="707"/>
      <c r="AF494" s="707"/>
      <c r="AG494" s="707"/>
      <c r="AH494" s="707"/>
      <c r="AI494" s="707"/>
      <c r="AJ494" s="707"/>
      <c r="AK494" s="707"/>
      <c r="AL494" s="707"/>
      <c r="AM494" s="707"/>
      <c r="AN494" s="707"/>
      <c r="AO494" s="707"/>
      <c r="AP494" s="707"/>
      <c r="AQ494" s="707"/>
      <c r="AR494" s="707"/>
      <c r="AS494" s="707"/>
      <c r="AT494" s="707"/>
      <c r="AU494" s="707"/>
      <c r="AV494" s="707"/>
      <c r="AW494" s="707"/>
      <c r="AX494" s="707"/>
      <c r="AY494" s="707"/>
      <c r="AZ494" s="707"/>
      <c r="BA494" s="707"/>
      <c r="BB494" s="707"/>
      <c r="BC494" s="707"/>
      <c r="BD494" s="707"/>
      <c r="BE494" s="707"/>
      <c r="BF494" s="707"/>
      <c r="BG494" s="707"/>
      <c r="BH494" s="707"/>
      <c r="BI494" s="707"/>
      <c r="BJ494" s="707"/>
      <c r="BK494" s="707"/>
      <c r="BL494" s="707"/>
      <c r="BM494" s="707"/>
      <c r="BN494" s="707"/>
      <c r="BO494" s="707"/>
      <c r="BP494" s="707"/>
      <c r="BQ494" s="707"/>
      <c r="BR494" s="707"/>
      <c r="BS494" s="707"/>
      <c r="BT494" s="707"/>
      <c r="BU494" s="707"/>
      <c r="BV494" s="707"/>
      <c r="BW494" s="707"/>
      <c r="BX494" s="707"/>
      <c r="BY494" s="707"/>
      <c r="BZ494" s="707"/>
      <c r="CA494" s="707"/>
      <c r="CB494" s="707"/>
      <c r="CC494" s="707"/>
      <c r="CD494" s="707"/>
      <c r="CE494" s="707"/>
      <c r="CF494" s="707"/>
      <c r="CG494" s="707"/>
      <c r="CH494" s="707"/>
      <c r="CI494" s="707"/>
      <c r="CJ494" s="707"/>
      <c r="CK494" s="707"/>
      <c r="CL494" s="707"/>
      <c r="CM494" s="707"/>
      <c r="CN494" s="707"/>
      <c r="CO494" s="707"/>
      <c r="CP494" s="707"/>
      <c r="CQ494" s="707"/>
      <c r="CR494" s="707"/>
      <c r="CS494" s="707"/>
      <c r="CT494" s="707"/>
      <c r="CU494" s="707"/>
      <c r="CV494" s="707"/>
      <c r="CW494" s="707"/>
      <c r="CX494" s="707"/>
      <c r="CY494" s="707"/>
      <c r="CZ494" s="707"/>
      <c r="DA494" s="707"/>
      <c r="DB494" s="707"/>
      <c r="DC494" s="707"/>
      <c r="DD494" s="707"/>
      <c r="DE494" s="707"/>
      <c r="DF494" s="707"/>
      <c r="DG494" s="707"/>
      <c r="DH494" s="707"/>
      <c r="DI494" s="707"/>
      <c r="DJ494" s="707"/>
      <c r="DK494" s="707"/>
      <c r="DL494" s="707"/>
      <c r="DM494" s="707"/>
      <c r="DN494" s="707"/>
      <c r="DO494" s="707"/>
      <c r="DP494" s="707"/>
      <c r="DQ494" s="707"/>
      <c r="DR494" s="707"/>
      <c r="DS494" s="707"/>
      <c r="DT494" s="707"/>
      <c r="DU494" s="707"/>
      <c r="DV494" s="707"/>
      <c r="DW494" s="707"/>
      <c r="DX494" s="707"/>
      <c r="DY494" s="707"/>
      <c r="DZ494" s="707"/>
      <c r="EA494" s="707"/>
      <c r="EB494" s="707"/>
      <c r="EC494" s="707"/>
      <c r="ED494" s="707"/>
      <c r="EE494" s="707"/>
      <c r="EF494" s="707"/>
      <c r="EG494" s="707"/>
      <c r="EH494" s="707"/>
      <c r="EI494" s="707"/>
      <c r="EJ494" s="707"/>
      <c r="EK494" s="707"/>
      <c r="EL494" s="707"/>
      <c r="EM494" s="707"/>
      <c r="EN494" s="707"/>
      <c r="EO494" s="707"/>
      <c r="EP494" s="707"/>
      <c r="EQ494" s="707"/>
      <c r="ER494" s="707"/>
      <c r="ES494" s="707"/>
      <c r="ET494" s="707"/>
      <c r="EU494" s="707"/>
      <c r="EV494" s="707"/>
      <c r="EW494" s="707"/>
      <c r="EX494" s="707"/>
      <c r="EY494" s="707"/>
      <c r="EZ494" s="707"/>
      <c r="FA494" s="707"/>
      <c r="FB494" s="707"/>
      <c r="FC494" s="707"/>
      <c r="FD494" s="707"/>
      <c r="FE494" s="707"/>
      <c r="FF494" s="707"/>
      <c r="FG494" s="707"/>
      <c r="FH494" s="707"/>
      <c r="FI494" s="707"/>
      <c r="FJ494" s="707"/>
      <c r="FK494" s="707"/>
      <c r="FL494" s="707"/>
      <c r="FM494" s="707"/>
      <c r="FN494" s="707"/>
      <c r="FO494" s="707"/>
      <c r="FP494" s="707"/>
      <c r="FQ494" s="707"/>
      <c r="FR494" s="707"/>
      <c r="FS494" s="707"/>
      <c r="FT494" s="707"/>
      <c r="FU494" s="707"/>
      <c r="FV494" s="707"/>
      <c r="FW494" s="707"/>
      <c r="FX494" s="707"/>
      <c r="FY494" s="707"/>
      <c r="FZ494" s="707"/>
      <c r="GA494" s="707"/>
      <c r="GB494" s="707"/>
      <c r="GC494" s="707"/>
      <c r="GD494" s="707"/>
      <c r="GE494" s="707"/>
      <c r="GF494" s="707"/>
      <c r="GG494" s="707"/>
      <c r="GH494" s="707"/>
      <c r="GI494" s="707"/>
      <c r="GJ494" s="707"/>
      <c r="GK494" s="707"/>
      <c r="GL494" s="707"/>
      <c r="GM494" s="707"/>
      <c r="GN494" s="707"/>
      <c r="GO494" s="707"/>
      <c r="GP494" s="707"/>
      <c r="GQ494" s="707"/>
      <c r="GR494" s="707"/>
      <c r="GS494" s="707"/>
      <c r="GT494" s="707"/>
      <c r="GU494" s="707"/>
      <c r="GV494" s="707"/>
      <c r="GW494" s="707"/>
      <c r="GX494" s="707"/>
      <c r="GY494" s="707"/>
      <c r="GZ494" s="707"/>
      <c r="HA494" s="707"/>
      <c r="HB494" s="707"/>
      <c r="HC494" s="707"/>
      <c r="HD494" s="707"/>
      <c r="HE494" s="707"/>
      <c r="HF494" s="707"/>
      <c r="HG494" s="707"/>
      <c r="HH494" s="707"/>
      <c r="HI494" s="707"/>
      <c r="HJ494" s="707"/>
      <c r="HK494" s="707"/>
      <c r="HL494" s="707"/>
      <c r="HM494" s="707"/>
      <c r="HN494" s="707"/>
      <c r="HO494" s="707"/>
      <c r="HP494" s="707"/>
      <c r="HQ494" s="707"/>
      <c r="HR494" s="707"/>
      <c r="HS494" s="707"/>
      <c r="HT494" s="707"/>
      <c r="HU494" s="707"/>
      <c r="HV494" s="707"/>
      <c r="HW494" s="707"/>
      <c r="HX494" s="707"/>
      <c r="HY494" s="707"/>
      <c r="HZ494" s="707"/>
      <c r="IA494" s="707"/>
      <c r="IB494" s="707"/>
      <c r="IC494" s="707"/>
      <c r="ID494" s="707"/>
      <c r="IE494" s="707"/>
      <c r="IF494" s="707"/>
      <c r="IG494" s="707"/>
      <c r="IH494" s="707"/>
      <c r="II494" s="707"/>
      <c r="IJ494" s="707"/>
      <c r="IK494" s="707"/>
      <c r="IL494" s="707"/>
      <c r="IM494" s="707"/>
      <c r="IN494" s="707"/>
      <c r="IO494" s="707"/>
      <c r="IP494" s="707"/>
      <c r="IQ494" s="707"/>
      <c r="IR494" s="707"/>
      <c r="IS494" s="707"/>
      <c r="IT494" s="707"/>
      <c r="IU494" s="707"/>
      <c r="IV494" s="707"/>
      <c r="IW494" s="707"/>
    </row>
    <row r="495" customFormat="false" ht="12.75" hidden="false" customHeight="false" outlineLevel="1" collapsed="false">
      <c r="A495" s="388"/>
      <c r="B495" s="717"/>
      <c r="C495" s="717"/>
      <c r="D495" s="717"/>
      <c r="E495" s="713"/>
      <c r="F495" s="713"/>
      <c r="G495" s="713"/>
      <c r="H495" s="713"/>
      <c r="I495" s="713"/>
      <c r="J495" s="713"/>
      <c r="K495" s="713"/>
      <c r="L495" s="713"/>
      <c r="M495" s="713"/>
      <c r="N495" s="713"/>
      <c r="O495" s="713"/>
      <c r="P495" s="713"/>
      <c r="Q495" s="713"/>
      <c r="R495" s="713"/>
      <c r="S495" s="713"/>
      <c r="T495" s="713"/>
      <c r="U495" s="713"/>
      <c r="V495" s="713"/>
      <c r="W495" s="713"/>
      <c r="X495" s="713"/>
      <c r="Y495" s="713"/>
      <c r="Z495" s="713"/>
      <c r="AA495" s="707"/>
      <c r="AB495" s="707"/>
      <c r="AC495" s="707"/>
      <c r="AD495" s="707"/>
      <c r="AE495" s="707"/>
      <c r="AF495" s="707"/>
      <c r="AG495" s="707"/>
      <c r="AH495" s="707"/>
      <c r="AI495" s="707"/>
      <c r="AJ495" s="707"/>
      <c r="AK495" s="707"/>
      <c r="AL495" s="707"/>
      <c r="AM495" s="707"/>
      <c r="AN495" s="707"/>
      <c r="AO495" s="707"/>
      <c r="AP495" s="707"/>
      <c r="AQ495" s="707"/>
      <c r="AR495" s="707"/>
      <c r="AS495" s="707"/>
      <c r="AT495" s="707"/>
      <c r="AU495" s="707"/>
      <c r="AV495" s="707"/>
      <c r="AW495" s="707"/>
      <c r="AX495" s="707"/>
      <c r="AY495" s="707"/>
      <c r="AZ495" s="707"/>
      <c r="BA495" s="707"/>
      <c r="BB495" s="707"/>
      <c r="BC495" s="707"/>
      <c r="BD495" s="707"/>
      <c r="BE495" s="707"/>
      <c r="BF495" s="707"/>
      <c r="BG495" s="707"/>
      <c r="BH495" s="707"/>
      <c r="BI495" s="707"/>
      <c r="BJ495" s="707"/>
      <c r="BK495" s="707"/>
      <c r="BL495" s="707"/>
      <c r="BM495" s="707"/>
      <c r="BN495" s="707"/>
      <c r="BO495" s="707"/>
      <c r="BP495" s="707"/>
      <c r="BQ495" s="707"/>
      <c r="BR495" s="707"/>
      <c r="BS495" s="707"/>
      <c r="BT495" s="707"/>
      <c r="BU495" s="707"/>
      <c r="BV495" s="707"/>
      <c r="BW495" s="707"/>
      <c r="BX495" s="707"/>
      <c r="BY495" s="707"/>
      <c r="BZ495" s="707"/>
      <c r="CA495" s="707"/>
      <c r="CB495" s="707"/>
      <c r="CC495" s="707"/>
      <c r="CD495" s="707"/>
      <c r="CE495" s="707"/>
      <c r="CF495" s="707"/>
      <c r="CG495" s="707"/>
      <c r="CH495" s="707"/>
      <c r="CI495" s="707"/>
      <c r="CJ495" s="707"/>
      <c r="CK495" s="707"/>
      <c r="CL495" s="707"/>
      <c r="CM495" s="707"/>
      <c r="CN495" s="707"/>
      <c r="CO495" s="707"/>
      <c r="CP495" s="707"/>
      <c r="CQ495" s="707"/>
      <c r="CR495" s="707"/>
      <c r="CS495" s="707"/>
      <c r="CT495" s="707"/>
      <c r="CU495" s="707"/>
      <c r="CV495" s="707"/>
      <c r="CW495" s="707"/>
      <c r="CX495" s="707"/>
      <c r="CY495" s="707"/>
      <c r="CZ495" s="707"/>
      <c r="DA495" s="707"/>
      <c r="DB495" s="707"/>
      <c r="DC495" s="707"/>
      <c r="DD495" s="707"/>
      <c r="DE495" s="707"/>
      <c r="DF495" s="707"/>
      <c r="DG495" s="707"/>
      <c r="DH495" s="707"/>
      <c r="DI495" s="707"/>
      <c r="DJ495" s="707"/>
      <c r="DK495" s="707"/>
      <c r="DL495" s="707"/>
      <c r="DM495" s="707"/>
      <c r="DN495" s="707"/>
      <c r="DO495" s="707"/>
      <c r="DP495" s="707"/>
      <c r="DQ495" s="707"/>
      <c r="DR495" s="707"/>
      <c r="DS495" s="707"/>
      <c r="DT495" s="707"/>
      <c r="DU495" s="707"/>
      <c r="DV495" s="707"/>
      <c r="DW495" s="707"/>
      <c r="DX495" s="707"/>
      <c r="DY495" s="707"/>
      <c r="DZ495" s="707"/>
      <c r="EA495" s="707"/>
      <c r="EB495" s="707"/>
      <c r="EC495" s="707"/>
      <c r="ED495" s="707"/>
      <c r="EE495" s="707"/>
      <c r="EF495" s="707"/>
      <c r="EG495" s="707"/>
      <c r="EH495" s="707"/>
      <c r="EI495" s="707"/>
      <c r="EJ495" s="707"/>
      <c r="EK495" s="707"/>
      <c r="EL495" s="707"/>
      <c r="EM495" s="707"/>
      <c r="EN495" s="707"/>
      <c r="EO495" s="707"/>
      <c r="EP495" s="707"/>
      <c r="EQ495" s="707"/>
      <c r="ER495" s="707"/>
      <c r="ES495" s="707"/>
      <c r="ET495" s="707"/>
      <c r="EU495" s="707"/>
      <c r="EV495" s="707"/>
      <c r="EW495" s="707"/>
      <c r="EX495" s="707"/>
      <c r="EY495" s="707"/>
      <c r="EZ495" s="707"/>
      <c r="FA495" s="707"/>
      <c r="FB495" s="707"/>
      <c r="FC495" s="707"/>
      <c r="FD495" s="707"/>
      <c r="FE495" s="707"/>
      <c r="FF495" s="707"/>
      <c r="FG495" s="707"/>
      <c r="FH495" s="707"/>
      <c r="FI495" s="707"/>
      <c r="FJ495" s="707"/>
      <c r="FK495" s="707"/>
      <c r="FL495" s="707"/>
      <c r="FM495" s="707"/>
      <c r="FN495" s="707"/>
      <c r="FO495" s="707"/>
      <c r="FP495" s="707"/>
      <c r="FQ495" s="707"/>
      <c r="FR495" s="707"/>
      <c r="FS495" s="707"/>
      <c r="FT495" s="707"/>
      <c r="FU495" s="707"/>
      <c r="FV495" s="707"/>
      <c r="FW495" s="707"/>
      <c r="FX495" s="707"/>
      <c r="FY495" s="707"/>
      <c r="FZ495" s="707"/>
      <c r="GA495" s="707"/>
      <c r="GB495" s="707"/>
      <c r="GC495" s="707"/>
      <c r="GD495" s="707"/>
      <c r="GE495" s="707"/>
      <c r="GF495" s="707"/>
      <c r="GG495" s="707"/>
      <c r="GH495" s="707"/>
      <c r="GI495" s="707"/>
      <c r="GJ495" s="707"/>
      <c r="GK495" s="707"/>
      <c r="GL495" s="707"/>
      <c r="GM495" s="707"/>
      <c r="GN495" s="707"/>
      <c r="GO495" s="707"/>
      <c r="GP495" s="707"/>
      <c r="GQ495" s="707"/>
      <c r="GR495" s="707"/>
      <c r="GS495" s="707"/>
      <c r="GT495" s="707"/>
      <c r="GU495" s="707"/>
      <c r="GV495" s="707"/>
      <c r="GW495" s="707"/>
      <c r="GX495" s="707"/>
      <c r="GY495" s="707"/>
      <c r="GZ495" s="707"/>
      <c r="HA495" s="707"/>
      <c r="HB495" s="707"/>
      <c r="HC495" s="707"/>
      <c r="HD495" s="707"/>
      <c r="HE495" s="707"/>
      <c r="HF495" s="707"/>
      <c r="HG495" s="707"/>
      <c r="HH495" s="707"/>
      <c r="HI495" s="707"/>
      <c r="HJ495" s="707"/>
      <c r="HK495" s="707"/>
      <c r="HL495" s="707"/>
      <c r="HM495" s="707"/>
      <c r="HN495" s="707"/>
      <c r="HO495" s="707"/>
      <c r="HP495" s="707"/>
      <c r="HQ495" s="707"/>
      <c r="HR495" s="707"/>
      <c r="HS495" s="707"/>
      <c r="HT495" s="707"/>
      <c r="HU495" s="707"/>
      <c r="HV495" s="707"/>
      <c r="HW495" s="707"/>
      <c r="HX495" s="707"/>
      <c r="HY495" s="707"/>
      <c r="HZ495" s="707"/>
      <c r="IA495" s="707"/>
      <c r="IB495" s="707"/>
      <c r="IC495" s="707"/>
      <c r="ID495" s="707"/>
      <c r="IE495" s="707"/>
      <c r="IF495" s="707"/>
      <c r="IG495" s="707"/>
      <c r="IH495" s="707"/>
      <c r="II495" s="707"/>
      <c r="IJ495" s="707"/>
      <c r="IK495" s="707"/>
      <c r="IL495" s="707"/>
      <c r="IM495" s="707"/>
      <c r="IN495" s="707"/>
      <c r="IO495" s="707"/>
      <c r="IP495" s="707"/>
      <c r="IQ495" s="707"/>
      <c r="IR495" s="707"/>
      <c r="IS495" s="707"/>
      <c r="IT495" s="707"/>
      <c r="IU495" s="707"/>
      <c r="IV495" s="707"/>
      <c r="IW495" s="707"/>
    </row>
    <row r="496" customFormat="false" ht="12.75" hidden="false" customHeight="false" outlineLevel="1" collapsed="false">
      <c r="A496" s="681"/>
      <c r="B496" s="717"/>
      <c r="C496" s="717"/>
      <c r="D496" s="717"/>
      <c r="E496" s="406"/>
      <c r="F496" s="406"/>
      <c r="G496" s="406"/>
      <c r="H496" s="406"/>
      <c r="I496" s="406"/>
      <c r="J496" s="406"/>
      <c r="K496" s="406"/>
      <c r="L496" s="406"/>
      <c r="M496" s="406"/>
      <c r="N496" s="406"/>
      <c r="O496" s="406"/>
      <c r="P496" s="406"/>
      <c r="Q496" s="406"/>
      <c r="R496" s="406"/>
      <c r="S496" s="406"/>
      <c r="T496" s="406"/>
      <c r="U496" s="406"/>
      <c r="V496" s="406"/>
      <c r="W496" s="406"/>
      <c r="X496" s="406"/>
      <c r="Y496" s="406"/>
      <c r="Z496" s="406"/>
      <c r="AA496" s="707"/>
      <c r="AB496" s="707"/>
      <c r="AC496" s="707"/>
      <c r="AD496" s="707"/>
      <c r="AE496" s="707"/>
      <c r="AF496" s="707"/>
      <c r="AG496" s="707"/>
      <c r="AH496" s="707"/>
      <c r="AI496" s="707"/>
      <c r="AJ496" s="707"/>
      <c r="AK496" s="707"/>
      <c r="AL496" s="707"/>
      <c r="AM496" s="707"/>
      <c r="AN496" s="707"/>
      <c r="AO496" s="707"/>
      <c r="AP496" s="707"/>
      <c r="AQ496" s="707"/>
      <c r="AR496" s="707"/>
      <c r="AS496" s="707"/>
      <c r="AT496" s="707"/>
      <c r="AU496" s="707"/>
      <c r="AV496" s="707"/>
      <c r="AW496" s="707"/>
      <c r="AX496" s="707"/>
      <c r="AY496" s="707"/>
      <c r="AZ496" s="707"/>
      <c r="BA496" s="707"/>
      <c r="BB496" s="707"/>
      <c r="BC496" s="707"/>
      <c r="BD496" s="707"/>
      <c r="BE496" s="707"/>
      <c r="BF496" s="707"/>
      <c r="BG496" s="707"/>
      <c r="BH496" s="707"/>
      <c r="BI496" s="707"/>
      <c r="BJ496" s="707"/>
      <c r="BK496" s="707"/>
      <c r="BL496" s="707"/>
      <c r="BM496" s="707"/>
      <c r="BN496" s="707"/>
      <c r="BO496" s="707"/>
      <c r="BP496" s="707"/>
      <c r="BQ496" s="707"/>
      <c r="BR496" s="707"/>
      <c r="BS496" s="707"/>
      <c r="BT496" s="707"/>
      <c r="BU496" s="707"/>
      <c r="BV496" s="707"/>
      <c r="BW496" s="707"/>
      <c r="BX496" s="707"/>
      <c r="BY496" s="707"/>
      <c r="BZ496" s="707"/>
      <c r="CA496" s="707"/>
      <c r="CB496" s="707"/>
      <c r="CC496" s="707"/>
      <c r="CD496" s="707"/>
      <c r="CE496" s="707"/>
      <c r="CF496" s="707"/>
      <c r="CG496" s="707"/>
      <c r="CH496" s="707"/>
      <c r="CI496" s="707"/>
      <c r="CJ496" s="707"/>
      <c r="CK496" s="707"/>
      <c r="CL496" s="707"/>
      <c r="CM496" s="707"/>
      <c r="CN496" s="707"/>
      <c r="CO496" s="707"/>
      <c r="CP496" s="707"/>
      <c r="CQ496" s="707"/>
      <c r="CR496" s="707"/>
      <c r="CS496" s="707"/>
      <c r="CT496" s="707"/>
      <c r="CU496" s="707"/>
      <c r="CV496" s="707"/>
      <c r="CW496" s="707"/>
      <c r="CX496" s="707"/>
      <c r="CY496" s="707"/>
      <c r="CZ496" s="707"/>
      <c r="DA496" s="707"/>
      <c r="DB496" s="707"/>
      <c r="DC496" s="707"/>
      <c r="DD496" s="707"/>
      <c r="DE496" s="707"/>
      <c r="DF496" s="707"/>
      <c r="DG496" s="707"/>
      <c r="DH496" s="707"/>
      <c r="DI496" s="707"/>
      <c r="DJ496" s="707"/>
      <c r="DK496" s="707"/>
      <c r="DL496" s="707"/>
      <c r="DM496" s="707"/>
      <c r="DN496" s="707"/>
      <c r="DO496" s="707"/>
      <c r="DP496" s="707"/>
      <c r="DQ496" s="707"/>
      <c r="DR496" s="707"/>
      <c r="DS496" s="707"/>
      <c r="DT496" s="707"/>
      <c r="DU496" s="707"/>
      <c r="DV496" s="707"/>
      <c r="DW496" s="707"/>
      <c r="DX496" s="707"/>
      <c r="DY496" s="707"/>
      <c r="DZ496" s="707"/>
      <c r="EA496" s="707"/>
      <c r="EB496" s="707"/>
      <c r="EC496" s="707"/>
      <c r="ED496" s="707"/>
      <c r="EE496" s="707"/>
      <c r="EF496" s="707"/>
      <c r="EG496" s="707"/>
      <c r="EH496" s="707"/>
      <c r="EI496" s="707"/>
      <c r="EJ496" s="707"/>
      <c r="EK496" s="707"/>
      <c r="EL496" s="707"/>
      <c r="EM496" s="707"/>
      <c r="EN496" s="707"/>
      <c r="EO496" s="707"/>
      <c r="EP496" s="707"/>
      <c r="EQ496" s="707"/>
      <c r="ER496" s="707"/>
      <c r="ES496" s="707"/>
      <c r="ET496" s="707"/>
      <c r="EU496" s="707"/>
      <c r="EV496" s="707"/>
      <c r="EW496" s="707"/>
      <c r="EX496" s="707"/>
      <c r="EY496" s="707"/>
      <c r="EZ496" s="707"/>
      <c r="FA496" s="707"/>
      <c r="FB496" s="707"/>
      <c r="FC496" s="707"/>
      <c r="FD496" s="707"/>
      <c r="FE496" s="707"/>
      <c r="FF496" s="707"/>
      <c r="FG496" s="707"/>
      <c r="FH496" s="707"/>
      <c r="FI496" s="707"/>
      <c r="FJ496" s="707"/>
      <c r="FK496" s="707"/>
      <c r="FL496" s="707"/>
      <c r="FM496" s="707"/>
      <c r="FN496" s="707"/>
      <c r="FO496" s="707"/>
      <c r="FP496" s="707"/>
      <c r="FQ496" s="707"/>
      <c r="FR496" s="707"/>
      <c r="FS496" s="707"/>
      <c r="FT496" s="707"/>
      <c r="FU496" s="707"/>
      <c r="FV496" s="707"/>
      <c r="FW496" s="707"/>
      <c r="FX496" s="707"/>
      <c r="FY496" s="707"/>
      <c r="FZ496" s="707"/>
      <c r="GA496" s="707"/>
      <c r="GB496" s="707"/>
      <c r="GC496" s="707"/>
      <c r="GD496" s="707"/>
      <c r="GE496" s="707"/>
      <c r="GF496" s="707"/>
      <c r="GG496" s="707"/>
      <c r="GH496" s="707"/>
      <c r="GI496" s="707"/>
      <c r="GJ496" s="707"/>
      <c r="GK496" s="707"/>
      <c r="GL496" s="707"/>
      <c r="GM496" s="707"/>
      <c r="GN496" s="707"/>
      <c r="GO496" s="707"/>
      <c r="GP496" s="707"/>
      <c r="GQ496" s="707"/>
      <c r="GR496" s="707"/>
      <c r="GS496" s="707"/>
      <c r="GT496" s="707"/>
      <c r="GU496" s="707"/>
      <c r="GV496" s="707"/>
      <c r="GW496" s="707"/>
      <c r="GX496" s="707"/>
      <c r="GY496" s="707"/>
      <c r="GZ496" s="707"/>
      <c r="HA496" s="707"/>
      <c r="HB496" s="707"/>
      <c r="HC496" s="707"/>
      <c r="HD496" s="707"/>
      <c r="HE496" s="707"/>
      <c r="HF496" s="707"/>
      <c r="HG496" s="707"/>
      <c r="HH496" s="707"/>
      <c r="HI496" s="707"/>
      <c r="HJ496" s="707"/>
      <c r="HK496" s="707"/>
      <c r="HL496" s="707"/>
      <c r="HM496" s="707"/>
      <c r="HN496" s="707"/>
      <c r="HO496" s="707"/>
      <c r="HP496" s="707"/>
      <c r="HQ496" s="707"/>
      <c r="HR496" s="707"/>
      <c r="HS496" s="707"/>
      <c r="HT496" s="707"/>
      <c r="HU496" s="707"/>
      <c r="HV496" s="707"/>
      <c r="HW496" s="707"/>
      <c r="HX496" s="707"/>
      <c r="HY496" s="707"/>
      <c r="HZ496" s="707"/>
      <c r="IA496" s="707"/>
      <c r="IB496" s="707"/>
      <c r="IC496" s="707"/>
      <c r="ID496" s="707"/>
      <c r="IE496" s="707"/>
      <c r="IF496" s="707"/>
      <c r="IG496" s="707"/>
      <c r="IH496" s="707"/>
      <c r="II496" s="707"/>
      <c r="IJ496" s="707"/>
      <c r="IK496" s="707"/>
      <c r="IL496" s="707"/>
      <c r="IM496" s="707"/>
      <c r="IN496" s="707"/>
      <c r="IO496" s="707"/>
      <c r="IP496" s="707"/>
      <c r="IQ496" s="707"/>
      <c r="IR496" s="707"/>
      <c r="IS496" s="707"/>
      <c r="IT496" s="707"/>
      <c r="IU496" s="707"/>
      <c r="IV496" s="707"/>
      <c r="IW496" s="707"/>
    </row>
    <row r="497" customFormat="false" ht="12.75" hidden="false" customHeight="false" outlineLevel="1" collapsed="false">
      <c r="A497" s="367"/>
      <c r="B497" s="719"/>
      <c r="C497" s="719"/>
      <c r="D497" s="719"/>
      <c r="E497" s="713"/>
      <c r="F497" s="713"/>
      <c r="G497" s="713"/>
      <c r="H497" s="713"/>
      <c r="I497" s="713"/>
      <c r="J497" s="713"/>
      <c r="K497" s="713"/>
      <c r="L497" s="713"/>
      <c r="M497" s="713"/>
      <c r="N497" s="713"/>
      <c r="O497" s="713"/>
      <c r="P497" s="713"/>
      <c r="Q497" s="713"/>
      <c r="R497" s="713"/>
      <c r="S497" s="713"/>
      <c r="T497" s="713"/>
      <c r="U497" s="713"/>
      <c r="V497" s="713"/>
      <c r="W497" s="713"/>
      <c r="X497" s="713"/>
      <c r="Y497" s="713"/>
      <c r="Z497" s="713"/>
      <c r="AA497" s="707"/>
      <c r="AB497" s="707"/>
      <c r="AC497" s="707"/>
      <c r="AD497" s="707"/>
      <c r="AE497" s="707"/>
      <c r="AF497" s="707"/>
      <c r="AG497" s="707"/>
      <c r="AH497" s="707"/>
      <c r="AI497" s="707"/>
      <c r="AJ497" s="707"/>
      <c r="AK497" s="707"/>
      <c r="AL497" s="707"/>
      <c r="AM497" s="707"/>
      <c r="AN497" s="707"/>
      <c r="AO497" s="707"/>
      <c r="AP497" s="707"/>
      <c r="AQ497" s="707"/>
      <c r="AR497" s="707"/>
      <c r="AS497" s="707"/>
      <c r="AT497" s="707"/>
      <c r="AU497" s="707"/>
      <c r="AV497" s="707"/>
      <c r="AW497" s="707"/>
      <c r="AX497" s="707"/>
      <c r="AY497" s="707"/>
      <c r="AZ497" s="707"/>
      <c r="BA497" s="707"/>
      <c r="BB497" s="707"/>
      <c r="BC497" s="707"/>
      <c r="BD497" s="707"/>
      <c r="BE497" s="707"/>
      <c r="BF497" s="707"/>
      <c r="BG497" s="707"/>
      <c r="BH497" s="707"/>
      <c r="BI497" s="707"/>
      <c r="BJ497" s="707"/>
      <c r="BK497" s="707"/>
      <c r="BL497" s="707"/>
      <c r="BM497" s="707"/>
      <c r="BN497" s="707"/>
      <c r="BO497" s="707"/>
      <c r="BP497" s="707"/>
      <c r="BQ497" s="707"/>
      <c r="BR497" s="707"/>
      <c r="BS497" s="707"/>
      <c r="BT497" s="707"/>
      <c r="BU497" s="707"/>
      <c r="BV497" s="707"/>
      <c r="BW497" s="707"/>
      <c r="BX497" s="707"/>
      <c r="BY497" s="707"/>
      <c r="BZ497" s="707"/>
      <c r="CA497" s="707"/>
      <c r="CB497" s="707"/>
      <c r="CC497" s="707"/>
      <c r="CD497" s="707"/>
      <c r="CE497" s="707"/>
      <c r="CF497" s="707"/>
      <c r="CG497" s="707"/>
      <c r="CH497" s="707"/>
      <c r="CI497" s="707"/>
      <c r="CJ497" s="707"/>
      <c r="CK497" s="707"/>
      <c r="CL497" s="707"/>
      <c r="CM497" s="707"/>
      <c r="CN497" s="707"/>
      <c r="CO497" s="707"/>
      <c r="CP497" s="707"/>
      <c r="CQ497" s="707"/>
      <c r="CR497" s="707"/>
      <c r="CS497" s="707"/>
      <c r="CT497" s="707"/>
      <c r="CU497" s="707"/>
      <c r="CV497" s="707"/>
      <c r="CW497" s="707"/>
      <c r="CX497" s="707"/>
      <c r="CY497" s="707"/>
      <c r="CZ497" s="707"/>
      <c r="DA497" s="707"/>
      <c r="DB497" s="707"/>
      <c r="DC497" s="707"/>
      <c r="DD497" s="707"/>
      <c r="DE497" s="707"/>
      <c r="DF497" s="707"/>
      <c r="DG497" s="707"/>
      <c r="DH497" s="707"/>
      <c r="DI497" s="707"/>
      <c r="DJ497" s="707"/>
      <c r="DK497" s="707"/>
      <c r="DL497" s="707"/>
      <c r="DM497" s="707"/>
      <c r="DN497" s="707"/>
      <c r="DO497" s="707"/>
      <c r="DP497" s="707"/>
      <c r="DQ497" s="707"/>
      <c r="DR497" s="707"/>
      <c r="DS497" s="707"/>
      <c r="DT497" s="707"/>
      <c r="DU497" s="707"/>
      <c r="DV497" s="707"/>
      <c r="DW497" s="707"/>
      <c r="DX497" s="707"/>
      <c r="DY497" s="707"/>
      <c r="DZ497" s="707"/>
      <c r="EA497" s="707"/>
      <c r="EB497" s="707"/>
      <c r="EC497" s="707"/>
      <c r="ED497" s="707"/>
      <c r="EE497" s="707"/>
      <c r="EF497" s="707"/>
      <c r="EG497" s="707"/>
      <c r="EH497" s="707"/>
      <c r="EI497" s="707"/>
      <c r="EJ497" s="707"/>
      <c r="EK497" s="707"/>
      <c r="EL497" s="707"/>
      <c r="EM497" s="707"/>
      <c r="EN497" s="707"/>
      <c r="EO497" s="707"/>
      <c r="EP497" s="707"/>
      <c r="EQ497" s="707"/>
      <c r="ER497" s="707"/>
      <c r="ES497" s="707"/>
      <c r="ET497" s="707"/>
      <c r="EU497" s="707"/>
      <c r="EV497" s="707"/>
      <c r="EW497" s="707"/>
      <c r="EX497" s="707"/>
      <c r="EY497" s="707"/>
      <c r="EZ497" s="707"/>
      <c r="FA497" s="707"/>
      <c r="FB497" s="707"/>
      <c r="FC497" s="707"/>
      <c r="FD497" s="707"/>
      <c r="FE497" s="707"/>
      <c r="FF497" s="707"/>
      <c r="FG497" s="707"/>
      <c r="FH497" s="707"/>
      <c r="FI497" s="707"/>
      <c r="FJ497" s="707"/>
      <c r="FK497" s="707"/>
      <c r="FL497" s="707"/>
      <c r="FM497" s="707"/>
      <c r="FN497" s="707"/>
      <c r="FO497" s="707"/>
      <c r="FP497" s="707"/>
      <c r="FQ497" s="707"/>
      <c r="FR497" s="707"/>
      <c r="FS497" s="707"/>
      <c r="FT497" s="707"/>
      <c r="FU497" s="707"/>
      <c r="FV497" s="707"/>
      <c r="FW497" s="707"/>
      <c r="FX497" s="707"/>
      <c r="FY497" s="707"/>
      <c r="FZ497" s="707"/>
      <c r="GA497" s="707"/>
      <c r="GB497" s="707"/>
      <c r="GC497" s="707"/>
      <c r="GD497" s="707"/>
      <c r="GE497" s="707"/>
      <c r="GF497" s="707"/>
      <c r="GG497" s="707"/>
      <c r="GH497" s="707"/>
      <c r="GI497" s="707"/>
      <c r="GJ497" s="707"/>
      <c r="GK497" s="707"/>
      <c r="GL497" s="707"/>
      <c r="GM497" s="707"/>
      <c r="GN497" s="707"/>
      <c r="GO497" s="707"/>
      <c r="GP497" s="707"/>
      <c r="GQ497" s="707"/>
      <c r="GR497" s="707"/>
      <c r="GS497" s="707"/>
      <c r="GT497" s="707"/>
      <c r="GU497" s="707"/>
      <c r="GV497" s="707"/>
      <c r="GW497" s="707"/>
      <c r="GX497" s="707"/>
      <c r="GY497" s="707"/>
      <c r="GZ497" s="707"/>
      <c r="HA497" s="707"/>
      <c r="HB497" s="707"/>
      <c r="HC497" s="707"/>
      <c r="HD497" s="707"/>
      <c r="HE497" s="707"/>
      <c r="HF497" s="707"/>
      <c r="HG497" s="707"/>
      <c r="HH497" s="707"/>
      <c r="HI497" s="707"/>
      <c r="HJ497" s="707"/>
      <c r="HK497" s="707"/>
      <c r="HL497" s="707"/>
      <c r="HM497" s="707"/>
      <c r="HN497" s="707"/>
      <c r="HO497" s="707"/>
      <c r="HP497" s="707"/>
      <c r="HQ497" s="707"/>
      <c r="HR497" s="707"/>
      <c r="HS497" s="707"/>
      <c r="HT497" s="707"/>
      <c r="HU497" s="707"/>
      <c r="HV497" s="707"/>
      <c r="HW497" s="707"/>
      <c r="HX497" s="707"/>
      <c r="HY497" s="707"/>
      <c r="HZ497" s="707"/>
      <c r="IA497" s="707"/>
      <c r="IB497" s="707"/>
      <c r="IC497" s="707"/>
      <c r="ID497" s="707"/>
      <c r="IE497" s="707"/>
      <c r="IF497" s="707"/>
      <c r="IG497" s="707"/>
      <c r="IH497" s="707"/>
      <c r="II497" s="707"/>
      <c r="IJ497" s="707"/>
      <c r="IK497" s="707"/>
      <c r="IL497" s="707"/>
      <c r="IM497" s="707"/>
      <c r="IN497" s="707"/>
      <c r="IO497" s="707"/>
      <c r="IP497" s="707"/>
      <c r="IQ497" s="707"/>
      <c r="IR497" s="707"/>
      <c r="IS497" s="707"/>
      <c r="IT497" s="707"/>
      <c r="IU497" s="707"/>
      <c r="IV497" s="707"/>
      <c r="IW497" s="707"/>
    </row>
    <row r="498" customFormat="false" ht="13.9" hidden="false" customHeight="true" outlineLevel="1" collapsed="false">
      <c r="A498" s="366"/>
      <c r="B498" s="719"/>
      <c r="C498" s="719"/>
      <c r="D498" s="719"/>
      <c r="E498" s="713"/>
      <c r="F498" s="713"/>
      <c r="G498" s="713"/>
      <c r="H498" s="713"/>
      <c r="I498" s="713"/>
      <c r="J498" s="713"/>
      <c r="K498" s="713"/>
      <c r="L498" s="713"/>
      <c r="M498" s="713"/>
      <c r="N498" s="713"/>
      <c r="O498" s="713"/>
      <c r="P498" s="713"/>
      <c r="Q498" s="713"/>
      <c r="R498" s="713"/>
      <c r="S498" s="713"/>
      <c r="T498" s="713"/>
      <c r="U498" s="713"/>
      <c r="V498" s="713"/>
      <c r="W498" s="713"/>
      <c r="X498" s="713"/>
      <c r="Y498" s="713"/>
      <c r="Z498" s="713"/>
      <c r="AA498" s="707"/>
      <c r="AB498" s="707"/>
      <c r="AC498" s="707"/>
      <c r="AD498" s="707"/>
      <c r="AE498" s="707"/>
      <c r="AF498" s="707"/>
      <c r="AG498" s="707"/>
      <c r="AH498" s="707"/>
      <c r="AI498" s="707"/>
      <c r="AJ498" s="707"/>
      <c r="AK498" s="707"/>
      <c r="AL498" s="707"/>
      <c r="AM498" s="707"/>
      <c r="AN498" s="707"/>
      <c r="AO498" s="707"/>
      <c r="AP498" s="707"/>
      <c r="AQ498" s="707"/>
      <c r="AR498" s="707"/>
      <c r="AS498" s="707"/>
      <c r="AT498" s="707"/>
      <c r="AU498" s="707"/>
      <c r="AV498" s="707"/>
      <c r="AW498" s="707"/>
      <c r="AX498" s="707"/>
      <c r="AY498" s="707"/>
      <c r="AZ498" s="707"/>
      <c r="BA498" s="707"/>
      <c r="BB498" s="707"/>
      <c r="BC498" s="707"/>
      <c r="BD498" s="707"/>
      <c r="BE498" s="707"/>
      <c r="BF498" s="707"/>
      <c r="BG498" s="707"/>
      <c r="BH498" s="707"/>
      <c r="BI498" s="707"/>
      <c r="BJ498" s="707"/>
      <c r="BK498" s="707"/>
      <c r="BL498" s="707"/>
      <c r="BM498" s="707"/>
      <c r="BN498" s="707"/>
      <c r="BO498" s="707"/>
      <c r="BP498" s="707"/>
      <c r="BQ498" s="707"/>
      <c r="BR498" s="707"/>
      <c r="BS498" s="707"/>
      <c r="BT498" s="707"/>
      <c r="BU498" s="707"/>
      <c r="BV498" s="707"/>
      <c r="BW498" s="707"/>
      <c r="BX498" s="707"/>
      <c r="BY498" s="707"/>
      <c r="BZ498" s="707"/>
      <c r="CA498" s="707"/>
      <c r="CB498" s="707"/>
      <c r="CC498" s="707"/>
      <c r="CD498" s="707"/>
      <c r="CE498" s="707"/>
      <c r="CF498" s="707"/>
      <c r="CG498" s="707"/>
      <c r="CH498" s="707"/>
      <c r="CI498" s="707"/>
      <c r="CJ498" s="707"/>
      <c r="CK498" s="707"/>
      <c r="CL498" s="707"/>
      <c r="CM498" s="707"/>
      <c r="CN498" s="707"/>
      <c r="CO498" s="707"/>
      <c r="CP498" s="707"/>
      <c r="CQ498" s="707"/>
      <c r="CR498" s="707"/>
      <c r="CS498" s="707"/>
      <c r="CT498" s="707"/>
      <c r="CU498" s="707"/>
      <c r="CV498" s="707"/>
      <c r="CW498" s="707"/>
      <c r="CX498" s="707"/>
      <c r="CY498" s="707"/>
      <c r="CZ498" s="707"/>
      <c r="DA498" s="707"/>
      <c r="DB498" s="707"/>
      <c r="DC498" s="707"/>
      <c r="DD498" s="707"/>
      <c r="DE498" s="707"/>
      <c r="DF498" s="707"/>
      <c r="DG498" s="707"/>
      <c r="DH498" s="707"/>
      <c r="DI498" s="707"/>
      <c r="DJ498" s="707"/>
      <c r="DK498" s="707"/>
      <c r="DL498" s="707"/>
      <c r="DM498" s="707"/>
      <c r="DN498" s="707"/>
      <c r="DO498" s="707"/>
      <c r="DP498" s="707"/>
      <c r="DQ498" s="707"/>
      <c r="DR498" s="707"/>
      <c r="DS498" s="707"/>
      <c r="DT498" s="707"/>
      <c r="DU498" s="707"/>
      <c r="DV498" s="707"/>
      <c r="DW498" s="707"/>
      <c r="DX498" s="707"/>
      <c r="DY498" s="707"/>
      <c r="DZ498" s="707"/>
      <c r="EA498" s="707"/>
      <c r="EB498" s="707"/>
      <c r="EC498" s="707"/>
      <c r="ED498" s="707"/>
      <c r="EE498" s="707"/>
      <c r="EF498" s="707"/>
      <c r="EG498" s="707"/>
      <c r="EH498" s="707"/>
      <c r="EI498" s="707"/>
      <c r="EJ498" s="707"/>
      <c r="EK498" s="707"/>
      <c r="EL498" s="707"/>
      <c r="EM498" s="707"/>
      <c r="EN498" s="707"/>
      <c r="EO498" s="707"/>
      <c r="EP498" s="707"/>
      <c r="EQ498" s="707"/>
      <c r="ER498" s="707"/>
      <c r="ES498" s="707"/>
      <c r="ET498" s="707"/>
      <c r="EU498" s="707"/>
      <c r="EV498" s="707"/>
      <c r="EW498" s="707"/>
      <c r="EX498" s="707"/>
      <c r="EY498" s="707"/>
      <c r="EZ498" s="707"/>
      <c r="FA498" s="707"/>
      <c r="FB498" s="707"/>
      <c r="FC498" s="707"/>
      <c r="FD498" s="707"/>
      <c r="FE498" s="707"/>
      <c r="FF498" s="707"/>
      <c r="FG498" s="707"/>
      <c r="FH498" s="707"/>
      <c r="FI498" s="707"/>
      <c r="FJ498" s="707"/>
      <c r="FK498" s="707"/>
      <c r="FL498" s="707"/>
      <c r="FM498" s="707"/>
      <c r="FN498" s="707"/>
      <c r="FO498" s="707"/>
      <c r="FP498" s="707"/>
      <c r="FQ498" s="707"/>
      <c r="FR498" s="707"/>
      <c r="FS498" s="707"/>
      <c r="FT498" s="707"/>
      <c r="FU498" s="707"/>
      <c r="FV498" s="707"/>
      <c r="FW498" s="707"/>
      <c r="FX498" s="707"/>
      <c r="FY498" s="707"/>
      <c r="FZ498" s="707"/>
      <c r="GA498" s="707"/>
      <c r="GB498" s="707"/>
      <c r="GC498" s="707"/>
      <c r="GD498" s="707"/>
      <c r="GE498" s="707"/>
      <c r="GF498" s="707"/>
      <c r="GG498" s="707"/>
      <c r="GH498" s="707"/>
      <c r="GI498" s="707"/>
      <c r="GJ498" s="707"/>
      <c r="GK498" s="707"/>
      <c r="GL498" s="707"/>
      <c r="GM498" s="707"/>
      <c r="GN498" s="707"/>
      <c r="GO498" s="707"/>
      <c r="GP498" s="707"/>
      <c r="GQ498" s="707"/>
      <c r="GR498" s="707"/>
      <c r="GS498" s="707"/>
      <c r="GT498" s="707"/>
      <c r="GU498" s="707"/>
      <c r="GV498" s="707"/>
      <c r="GW498" s="707"/>
      <c r="GX498" s="707"/>
      <c r="GY498" s="707"/>
      <c r="GZ498" s="707"/>
      <c r="HA498" s="707"/>
      <c r="HB498" s="707"/>
      <c r="HC498" s="707"/>
      <c r="HD498" s="707"/>
      <c r="HE498" s="707"/>
      <c r="HF498" s="707"/>
      <c r="HG498" s="707"/>
      <c r="HH498" s="707"/>
      <c r="HI498" s="707"/>
      <c r="HJ498" s="707"/>
      <c r="HK498" s="707"/>
      <c r="HL498" s="707"/>
      <c r="HM498" s="707"/>
      <c r="HN498" s="707"/>
      <c r="HO498" s="707"/>
      <c r="HP498" s="707"/>
      <c r="HQ498" s="707"/>
      <c r="HR498" s="707"/>
      <c r="HS498" s="707"/>
      <c r="HT498" s="707"/>
      <c r="HU498" s="707"/>
      <c r="HV498" s="707"/>
      <c r="HW498" s="707"/>
      <c r="HX498" s="707"/>
      <c r="HY498" s="707"/>
      <c r="HZ498" s="707"/>
      <c r="IA498" s="707"/>
      <c r="IB498" s="707"/>
      <c r="IC498" s="707"/>
      <c r="ID498" s="707"/>
      <c r="IE498" s="707"/>
      <c r="IF498" s="707"/>
      <c r="IG498" s="707"/>
      <c r="IH498" s="707"/>
      <c r="II498" s="707"/>
      <c r="IJ498" s="707"/>
      <c r="IK498" s="707"/>
      <c r="IL498" s="707"/>
      <c r="IM498" s="707"/>
      <c r="IN498" s="707"/>
      <c r="IO498" s="707"/>
      <c r="IP498" s="707"/>
      <c r="IQ498" s="707"/>
      <c r="IR498" s="707"/>
      <c r="IS498" s="707"/>
      <c r="IT498" s="707"/>
      <c r="IU498" s="707"/>
      <c r="IV498" s="707"/>
      <c r="IW498" s="707"/>
    </row>
    <row r="499" customFormat="false" ht="12.75" hidden="false" customHeight="false" outlineLevel="1" collapsed="false">
      <c r="A499" s="720"/>
      <c r="B499" s="721"/>
      <c r="C499" s="721"/>
      <c r="D499" s="721"/>
      <c r="E499" s="713"/>
      <c r="F499" s="713"/>
      <c r="G499" s="713"/>
      <c r="H499" s="713"/>
      <c r="I499" s="713"/>
      <c r="J499" s="713"/>
      <c r="K499" s="713"/>
      <c r="L499" s="713"/>
      <c r="M499" s="713"/>
      <c r="N499" s="713"/>
      <c r="O499" s="713"/>
      <c r="P499" s="713"/>
      <c r="Q499" s="713"/>
      <c r="R499" s="713"/>
      <c r="S499" s="713"/>
      <c r="T499" s="713"/>
      <c r="U499" s="713"/>
      <c r="V499" s="713"/>
      <c r="W499" s="713"/>
      <c r="X499" s="713"/>
      <c r="Y499" s="713"/>
      <c r="Z499" s="713"/>
      <c r="AA499" s="722"/>
      <c r="AB499" s="722"/>
      <c r="AC499" s="722"/>
      <c r="AD499" s="722"/>
      <c r="AE499" s="722"/>
      <c r="AF499" s="722"/>
      <c r="AG499" s="722"/>
      <c r="AH499" s="722"/>
      <c r="AI499" s="722"/>
      <c r="AJ499" s="722"/>
      <c r="AK499" s="722"/>
      <c r="AL499" s="722"/>
      <c r="AM499" s="722"/>
      <c r="AN499" s="722"/>
      <c r="AO499" s="722"/>
      <c r="AP499" s="722"/>
      <c r="AQ499" s="722"/>
      <c r="AR499" s="722"/>
      <c r="AS499" s="722"/>
      <c r="AT499" s="722"/>
      <c r="AU499" s="722"/>
      <c r="AV499" s="722"/>
      <c r="AW499" s="722"/>
      <c r="AX499" s="722"/>
      <c r="AY499" s="722"/>
      <c r="AZ499" s="722"/>
      <c r="BA499" s="722"/>
      <c r="BB499" s="722"/>
      <c r="BC499" s="722"/>
      <c r="BD499" s="722"/>
      <c r="BE499" s="722"/>
      <c r="BF499" s="722"/>
      <c r="BG499" s="722"/>
      <c r="BH499" s="722"/>
      <c r="BI499" s="722"/>
      <c r="BJ499" s="722"/>
      <c r="BK499" s="722"/>
      <c r="BL499" s="722"/>
      <c r="BM499" s="722"/>
      <c r="BN499" s="722"/>
      <c r="BO499" s="722"/>
      <c r="BP499" s="722"/>
      <c r="BQ499" s="722"/>
      <c r="BR499" s="722"/>
      <c r="BS499" s="722"/>
      <c r="BT499" s="722"/>
      <c r="BU499" s="722"/>
      <c r="BV499" s="722"/>
      <c r="BW499" s="722"/>
      <c r="BX499" s="722"/>
      <c r="BY499" s="722"/>
      <c r="BZ499" s="722"/>
      <c r="CA499" s="722"/>
      <c r="CB499" s="722"/>
      <c r="CC499" s="722"/>
      <c r="CD499" s="722"/>
      <c r="CE499" s="722"/>
      <c r="CF499" s="722"/>
      <c r="CG499" s="722"/>
      <c r="CH499" s="722"/>
      <c r="CI499" s="722"/>
      <c r="CJ499" s="722"/>
      <c r="CK499" s="722"/>
      <c r="CL499" s="722"/>
      <c r="CM499" s="722"/>
      <c r="CN499" s="722"/>
      <c r="CO499" s="722"/>
      <c r="CP499" s="722"/>
      <c r="CQ499" s="722"/>
      <c r="CR499" s="722"/>
      <c r="CS499" s="722"/>
      <c r="CT499" s="722"/>
      <c r="CU499" s="722"/>
      <c r="CV499" s="722"/>
      <c r="CW499" s="722"/>
      <c r="CX499" s="722"/>
      <c r="CY499" s="722"/>
      <c r="CZ499" s="722"/>
      <c r="DA499" s="722"/>
      <c r="DB499" s="722"/>
      <c r="DC499" s="722"/>
      <c r="DD499" s="722"/>
      <c r="DE499" s="722"/>
      <c r="DF499" s="722"/>
      <c r="DG499" s="722"/>
      <c r="DH499" s="722"/>
      <c r="DI499" s="722"/>
      <c r="DJ499" s="722"/>
      <c r="DK499" s="722"/>
      <c r="DL499" s="722"/>
      <c r="DM499" s="722"/>
      <c r="DN499" s="722"/>
      <c r="DO499" s="722"/>
      <c r="DP499" s="722"/>
      <c r="DQ499" s="722"/>
      <c r="DR499" s="722"/>
      <c r="DS499" s="722"/>
      <c r="DT499" s="722"/>
      <c r="DU499" s="722"/>
      <c r="DV499" s="722"/>
      <c r="DW499" s="722"/>
      <c r="DX499" s="722"/>
      <c r="DY499" s="722"/>
      <c r="DZ499" s="722"/>
      <c r="EA499" s="722"/>
      <c r="EB499" s="722"/>
      <c r="EC499" s="722"/>
      <c r="ED499" s="722"/>
      <c r="EE499" s="722"/>
      <c r="EF499" s="722"/>
      <c r="EG499" s="722"/>
      <c r="EH499" s="722"/>
      <c r="EI499" s="722"/>
      <c r="EJ499" s="722"/>
      <c r="EK499" s="722"/>
      <c r="EL499" s="722"/>
      <c r="EM499" s="722"/>
      <c r="EN499" s="722"/>
      <c r="EO499" s="722"/>
      <c r="EP499" s="722"/>
      <c r="EQ499" s="722"/>
      <c r="ER499" s="722"/>
      <c r="ES499" s="722"/>
      <c r="ET499" s="722"/>
      <c r="EU499" s="722"/>
      <c r="EV499" s="722"/>
      <c r="EW499" s="722"/>
      <c r="EX499" s="722"/>
      <c r="EY499" s="722"/>
      <c r="EZ499" s="722"/>
      <c r="FA499" s="722"/>
      <c r="FB499" s="722"/>
      <c r="FC499" s="722"/>
      <c r="FD499" s="722"/>
      <c r="FE499" s="722"/>
      <c r="FF499" s="722"/>
      <c r="FG499" s="722"/>
      <c r="FH499" s="722"/>
      <c r="FI499" s="722"/>
      <c r="FJ499" s="722"/>
      <c r="FK499" s="722"/>
      <c r="FL499" s="722"/>
      <c r="FM499" s="722"/>
      <c r="FN499" s="722"/>
      <c r="FO499" s="722"/>
      <c r="FP499" s="722"/>
      <c r="FQ499" s="722"/>
      <c r="FR499" s="722"/>
      <c r="FS499" s="722"/>
      <c r="FT499" s="722"/>
      <c r="FU499" s="722"/>
      <c r="FV499" s="722"/>
      <c r="FW499" s="722"/>
      <c r="FX499" s="722"/>
      <c r="FY499" s="722"/>
      <c r="FZ499" s="722"/>
      <c r="GA499" s="722"/>
      <c r="GB499" s="722"/>
      <c r="GC499" s="722"/>
      <c r="GD499" s="722"/>
      <c r="GE499" s="722"/>
      <c r="GF499" s="722"/>
      <c r="GG499" s="722"/>
      <c r="GH499" s="722"/>
      <c r="GI499" s="722"/>
      <c r="GJ499" s="722"/>
      <c r="GK499" s="722"/>
      <c r="GL499" s="722"/>
      <c r="GM499" s="722"/>
      <c r="GN499" s="722"/>
      <c r="GO499" s="722"/>
      <c r="GP499" s="722"/>
      <c r="GQ499" s="722"/>
      <c r="GR499" s="722"/>
      <c r="GS499" s="722"/>
      <c r="GT499" s="722"/>
      <c r="GU499" s="722"/>
      <c r="GV499" s="722"/>
      <c r="GW499" s="722"/>
      <c r="GX499" s="722"/>
      <c r="GY499" s="722"/>
      <c r="GZ499" s="722"/>
      <c r="HA499" s="722"/>
      <c r="HB499" s="722"/>
      <c r="HC499" s="722"/>
      <c r="HD499" s="722"/>
      <c r="HE499" s="722"/>
      <c r="HF499" s="722"/>
      <c r="HG499" s="722"/>
      <c r="HH499" s="722"/>
      <c r="HI499" s="722"/>
      <c r="HJ499" s="722"/>
      <c r="HK499" s="722"/>
      <c r="HL499" s="722"/>
      <c r="HM499" s="722"/>
      <c r="HN499" s="722"/>
      <c r="HO499" s="722"/>
      <c r="HP499" s="722"/>
      <c r="HQ499" s="722"/>
      <c r="HR499" s="722"/>
      <c r="HS499" s="722"/>
      <c r="HT499" s="722"/>
      <c r="HU499" s="722"/>
      <c r="HV499" s="722"/>
      <c r="HW499" s="722"/>
      <c r="HX499" s="722"/>
      <c r="HY499" s="722"/>
      <c r="HZ499" s="722"/>
      <c r="IA499" s="722"/>
      <c r="IB499" s="722"/>
      <c r="IC499" s="722"/>
      <c r="ID499" s="722"/>
      <c r="IE499" s="722"/>
      <c r="IF499" s="722"/>
      <c r="IG499" s="722"/>
      <c r="IH499" s="722"/>
      <c r="II499" s="722"/>
      <c r="IJ499" s="722"/>
      <c r="IK499" s="722"/>
      <c r="IL499" s="722"/>
      <c r="IM499" s="722"/>
      <c r="IN499" s="722"/>
      <c r="IO499" s="722"/>
      <c r="IP499" s="722"/>
      <c r="IQ499" s="722"/>
      <c r="IR499" s="722"/>
      <c r="IS499" s="722"/>
      <c r="IT499" s="722"/>
      <c r="IU499" s="722"/>
      <c r="IV499" s="722"/>
      <c r="IW499" s="722"/>
    </row>
    <row r="500" customFormat="false" ht="12.75" hidden="false" customHeight="false" outlineLevel="1" collapsed="false">
      <c r="A500" s="366"/>
      <c r="B500" s="714"/>
      <c r="C500" s="714"/>
      <c r="D500" s="714"/>
      <c r="E500" s="713"/>
      <c r="F500" s="713"/>
      <c r="G500" s="713"/>
      <c r="H500" s="713"/>
      <c r="I500" s="713"/>
      <c r="J500" s="713"/>
      <c r="K500" s="713"/>
      <c r="L500" s="713"/>
      <c r="M500" s="713"/>
      <c r="N500" s="713"/>
      <c r="O500" s="713"/>
      <c r="P500" s="713"/>
      <c r="Q500" s="713"/>
      <c r="R500" s="713"/>
      <c r="S500" s="713"/>
      <c r="T500" s="713"/>
      <c r="U500" s="713"/>
      <c r="V500" s="713"/>
      <c r="W500" s="713"/>
      <c r="X500" s="713"/>
      <c r="Y500" s="713"/>
      <c r="Z500" s="713"/>
      <c r="AA500" s="707"/>
      <c r="AB500" s="707"/>
      <c r="AC500" s="707"/>
      <c r="AD500" s="707"/>
      <c r="AE500" s="707"/>
      <c r="AF500" s="707"/>
      <c r="AG500" s="707"/>
      <c r="AH500" s="707"/>
      <c r="AI500" s="707"/>
      <c r="AJ500" s="707"/>
      <c r="AK500" s="707"/>
      <c r="AL500" s="707"/>
      <c r="AM500" s="707"/>
      <c r="AN500" s="707"/>
      <c r="AO500" s="707"/>
      <c r="AP500" s="707"/>
      <c r="AQ500" s="707"/>
      <c r="AR500" s="707"/>
      <c r="AS500" s="707"/>
      <c r="AT500" s="707"/>
      <c r="AU500" s="707"/>
      <c r="AV500" s="707"/>
      <c r="AW500" s="707"/>
      <c r="AX500" s="707"/>
      <c r="AY500" s="707"/>
      <c r="AZ500" s="707"/>
      <c r="BA500" s="707"/>
      <c r="BB500" s="707"/>
      <c r="BC500" s="707"/>
      <c r="BD500" s="707"/>
      <c r="BE500" s="707"/>
      <c r="BF500" s="707"/>
      <c r="BG500" s="707"/>
      <c r="BH500" s="707"/>
      <c r="BI500" s="707"/>
      <c r="BJ500" s="707"/>
      <c r="BK500" s="707"/>
      <c r="BL500" s="707"/>
      <c r="BM500" s="707"/>
      <c r="BN500" s="707"/>
      <c r="BO500" s="707"/>
      <c r="BP500" s="707"/>
      <c r="BQ500" s="707"/>
      <c r="BR500" s="707"/>
      <c r="BS500" s="707"/>
      <c r="BT500" s="707"/>
      <c r="BU500" s="707"/>
      <c r="BV500" s="707"/>
      <c r="BW500" s="707"/>
      <c r="BX500" s="707"/>
      <c r="BY500" s="707"/>
      <c r="BZ500" s="707"/>
      <c r="CA500" s="707"/>
      <c r="CB500" s="707"/>
      <c r="CC500" s="707"/>
      <c r="CD500" s="707"/>
      <c r="CE500" s="707"/>
      <c r="CF500" s="707"/>
      <c r="CG500" s="707"/>
      <c r="CH500" s="707"/>
      <c r="CI500" s="707"/>
      <c r="CJ500" s="707"/>
      <c r="CK500" s="707"/>
      <c r="CL500" s="707"/>
      <c r="CM500" s="707"/>
      <c r="CN500" s="707"/>
      <c r="CO500" s="707"/>
      <c r="CP500" s="707"/>
      <c r="CQ500" s="707"/>
      <c r="CR500" s="707"/>
      <c r="CS500" s="707"/>
      <c r="CT500" s="707"/>
      <c r="CU500" s="707"/>
      <c r="CV500" s="707"/>
      <c r="CW500" s="707"/>
      <c r="CX500" s="707"/>
      <c r="CY500" s="707"/>
      <c r="CZ500" s="707"/>
      <c r="DA500" s="707"/>
      <c r="DB500" s="707"/>
      <c r="DC500" s="707"/>
      <c r="DD500" s="707"/>
      <c r="DE500" s="707"/>
      <c r="DF500" s="707"/>
      <c r="DG500" s="707"/>
      <c r="DH500" s="707"/>
      <c r="DI500" s="707"/>
      <c r="DJ500" s="707"/>
      <c r="DK500" s="707"/>
      <c r="DL500" s="707"/>
      <c r="DM500" s="707"/>
      <c r="DN500" s="707"/>
      <c r="DO500" s="707"/>
      <c r="DP500" s="707"/>
      <c r="DQ500" s="707"/>
      <c r="DR500" s="707"/>
      <c r="DS500" s="707"/>
      <c r="DT500" s="707"/>
      <c r="DU500" s="707"/>
      <c r="DV500" s="707"/>
      <c r="DW500" s="707"/>
      <c r="DX500" s="707"/>
      <c r="DY500" s="707"/>
      <c r="DZ500" s="707"/>
      <c r="EA500" s="707"/>
      <c r="EB500" s="707"/>
      <c r="EC500" s="707"/>
      <c r="ED500" s="707"/>
      <c r="EE500" s="707"/>
      <c r="EF500" s="707"/>
      <c r="EG500" s="707"/>
      <c r="EH500" s="707"/>
      <c r="EI500" s="707"/>
      <c r="EJ500" s="707"/>
      <c r="EK500" s="707"/>
      <c r="EL500" s="707"/>
      <c r="EM500" s="707"/>
      <c r="EN500" s="707"/>
      <c r="EO500" s="707"/>
      <c r="EP500" s="707"/>
      <c r="EQ500" s="707"/>
      <c r="ER500" s="707"/>
      <c r="ES500" s="707"/>
      <c r="ET500" s="707"/>
      <c r="EU500" s="707"/>
      <c r="EV500" s="707"/>
      <c r="EW500" s="707"/>
      <c r="EX500" s="707"/>
      <c r="EY500" s="707"/>
      <c r="EZ500" s="707"/>
      <c r="FA500" s="707"/>
      <c r="FB500" s="707"/>
      <c r="FC500" s="707"/>
      <c r="FD500" s="707"/>
      <c r="FE500" s="707"/>
      <c r="FF500" s="707"/>
      <c r="FG500" s="707"/>
      <c r="FH500" s="707"/>
      <c r="FI500" s="707"/>
      <c r="FJ500" s="707"/>
      <c r="FK500" s="707"/>
      <c r="FL500" s="707"/>
      <c r="FM500" s="707"/>
      <c r="FN500" s="707"/>
      <c r="FO500" s="707"/>
      <c r="FP500" s="707"/>
      <c r="FQ500" s="707"/>
      <c r="FR500" s="707"/>
      <c r="FS500" s="707"/>
      <c r="FT500" s="707"/>
      <c r="FU500" s="707"/>
      <c r="FV500" s="707"/>
      <c r="FW500" s="707"/>
      <c r="FX500" s="707"/>
      <c r="FY500" s="707"/>
      <c r="FZ500" s="707"/>
      <c r="GA500" s="707"/>
      <c r="GB500" s="707"/>
      <c r="GC500" s="707"/>
      <c r="GD500" s="707"/>
      <c r="GE500" s="707"/>
      <c r="GF500" s="707"/>
      <c r="GG500" s="707"/>
      <c r="GH500" s="707"/>
      <c r="GI500" s="707"/>
      <c r="GJ500" s="707"/>
      <c r="GK500" s="707"/>
      <c r="GL500" s="707"/>
      <c r="GM500" s="707"/>
      <c r="GN500" s="707"/>
      <c r="GO500" s="707"/>
      <c r="GP500" s="707"/>
      <c r="GQ500" s="707"/>
      <c r="GR500" s="707"/>
      <c r="GS500" s="707"/>
      <c r="GT500" s="707"/>
      <c r="GU500" s="707"/>
      <c r="GV500" s="707"/>
      <c r="GW500" s="707"/>
      <c r="GX500" s="707"/>
      <c r="GY500" s="707"/>
      <c r="GZ500" s="707"/>
      <c r="HA500" s="707"/>
      <c r="HB500" s="707"/>
      <c r="HC500" s="707"/>
      <c r="HD500" s="707"/>
      <c r="HE500" s="707"/>
      <c r="HF500" s="707"/>
      <c r="HG500" s="707"/>
      <c r="HH500" s="707"/>
      <c r="HI500" s="707"/>
      <c r="HJ500" s="707"/>
      <c r="HK500" s="707"/>
      <c r="HL500" s="707"/>
      <c r="HM500" s="707"/>
      <c r="HN500" s="707"/>
      <c r="HO500" s="707"/>
      <c r="HP500" s="707"/>
      <c r="HQ500" s="707"/>
      <c r="HR500" s="707"/>
      <c r="HS500" s="707"/>
      <c r="HT500" s="707"/>
      <c r="HU500" s="707"/>
      <c r="HV500" s="707"/>
      <c r="HW500" s="707"/>
      <c r="HX500" s="707"/>
      <c r="HY500" s="707"/>
      <c r="HZ500" s="707"/>
      <c r="IA500" s="707"/>
      <c r="IB500" s="707"/>
      <c r="IC500" s="707"/>
      <c r="ID500" s="707"/>
      <c r="IE500" s="707"/>
      <c r="IF500" s="707"/>
      <c r="IG500" s="707"/>
      <c r="IH500" s="707"/>
      <c r="II500" s="707"/>
      <c r="IJ500" s="707"/>
      <c r="IK500" s="707"/>
      <c r="IL500" s="707"/>
      <c r="IM500" s="707"/>
      <c r="IN500" s="707"/>
      <c r="IO500" s="707"/>
      <c r="IP500" s="707"/>
      <c r="IQ500" s="707"/>
      <c r="IR500" s="707"/>
      <c r="IS500" s="707"/>
      <c r="IT500" s="707"/>
      <c r="IU500" s="707"/>
      <c r="IV500" s="707"/>
      <c r="IW500" s="707"/>
    </row>
    <row r="501" customFormat="false" ht="12.75" hidden="false" customHeight="false" outlineLevel="1" collapsed="false">
      <c r="A501" s="367"/>
      <c r="B501" s="714"/>
      <c r="C501" s="714"/>
      <c r="D501" s="714"/>
      <c r="E501" s="713"/>
      <c r="F501" s="713"/>
      <c r="G501" s="713"/>
      <c r="H501" s="713"/>
      <c r="I501" s="713"/>
      <c r="J501" s="713"/>
      <c r="K501" s="713"/>
      <c r="L501" s="713"/>
      <c r="M501" s="713"/>
      <c r="N501" s="713"/>
      <c r="O501" s="713"/>
      <c r="P501" s="713"/>
      <c r="Q501" s="713"/>
      <c r="R501" s="713"/>
      <c r="S501" s="713"/>
      <c r="T501" s="713"/>
      <c r="U501" s="713"/>
      <c r="V501" s="713"/>
      <c r="W501" s="713"/>
      <c r="X501" s="713"/>
      <c r="Y501" s="713"/>
      <c r="Z501" s="713"/>
      <c r="AA501" s="707"/>
      <c r="AB501" s="707"/>
      <c r="AC501" s="707"/>
      <c r="AD501" s="707"/>
      <c r="AE501" s="707"/>
      <c r="AF501" s="707"/>
      <c r="AG501" s="707"/>
      <c r="AH501" s="707"/>
      <c r="AI501" s="707"/>
      <c r="AJ501" s="707"/>
      <c r="AK501" s="707"/>
      <c r="AL501" s="707"/>
      <c r="AM501" s="707"/>
      <c r="AN501" s="707"/>
      <c r="AO501" s="707"/>
      <c r="AP501" s="707"/>
      <c r="AQ501" s="707"/>
      <c r="AR501" s="707"/>
      <c r="AS501" s="707"/>
      <c r="AT501" s="707"/>
      <c r="AU501" s="707"/>
      <c r="AV501" s="707"/>
      <c r="AW501" s="707"/>
      <c r="AX501" s="707"/>
      <c r="AY501" s="707"/>
      <c r="AZ501" s="707"/>
      <c r="BA501" s="707"/>
      <c r="BB501" s="707"/>
      <c r="BC501" s="707"/>
      <c r="BD501" s="707"/>
      <c r="BE501" s="707"/>
      <c r="BF501" s="707"/>
      <c r="BG501" s="707"/>
      <c r="BH501" s="707"/>
      <c r="BI501" s="707"/>
      <c r="BJ501" s="707"/>
      <c r="BK501" s="707"/>
      <c r="BL501" s="707"/>
      <c r="BM501" s="707"/>
      <c r="BN501" s="707"/>
      <c r="BO501" s="707"/>
      <c r="BP501" s="707"/>
      <c r="BQ501" s="707"/>
      <c r="BR501" s="707"/>
      <c r="BS501" s="707"/>
      <c r="BT501" s="707"/>
      <c r="BU501" s="707"/>
      <c r="BV501" s="707"/>
      <c r="BW501" s="707"/>
      <c r="BX501" s="707"/>
      <c r="BY501" s="707"/>
      <c r="BZ501" s="707"/>
      <c r="CA501" s="707"/>
      <c r="CB501" s="707"/>
      <c r="CC501" s="707"/>
      <c r="CD501" s="707"/>
      <c r="CE501" s="707"/>
      <c r="CF501" s="707"/>
      <c r="CG501" s="707"/>
      <c r="CH501" s="707"/>
      <c r="CI501" s="707"/>
      <c r="CJ501" s="707"/>
      <c r="CK501" s="707"/>
      <c r="CL501" s="707"/>
      <c r="CM501" s="707"/>
      <c r="CN501" s="707"/>
      <c r="CO501" s="707"/>
      <c r="CP501" s="707"/>
      <c r="CQ501" s="707"/>
      <c r="CR501" s="707"/>
      <c r="CS501" s="707"/>
      <c r="CT501" s="707"/>
      <c r="CU501" s="707"/>
      <c r="CV501" s="707"/>
      <c r="CW501" s="707"/>
      <c r="CX501" s="707"/>
      <c r="CY501" s="707"/>
      <c r="CZ501" s="707"/>
      <c r="DA501" s="707"/>
      <c r="DB501" s="707"/>
      <c r="DC501" s="707"/>
      <c r="DD501" s="707"/>
      <c r="DE501" s="707"/>
      <c r="DF501" s="707"/>
      <c r="DG501" s="707"/>
      <c r="DH501" s="707"/>
      <c r="DI501" s="707"/>
      <c r="DJ501" s="707"/>
      <c r="DK501" s="707"/>
      <c r="DL501" s="707"/>
      <c r="DM501" s="707"/>
      <c r="DN501" s="707"/>
      <c r="DO501" s="707"/>
      <c r="DP501" s="707"/>
      <c r="DQ501" s="707"/>
      <c r="DR501" s="707"/>
      <c r="DS501" s="707"/>
      <c r="DT501" s="707"/>
      <c r="DU501" s="707"/>
      <c r="DV501" s="707"/>
      <c r="DW501" s="707"/>
      <c r="DX501" s="707"/>
      <c r="DY501" s="707"/>
      <c r="DZ501" s="707"/>
      <c r="EA501" s="707"/>
      <c r="EB501" s="707"/>
      <c r="EC501" s="707"/>
      <c r="ED501" s="707"/>
      <c r="EE501" s="707"/>
      <c r="EF501" s="707"/>
      <c r="EG501" s="707"/>
      <c r="EH501" s="707"/>
      <c r="EI501" s="707"/>
      <c r="EJ501" s="707"/>
      <c r="EK501" s="707"/>
      <c r="EL501" s="707"/>
      <c r="EM501" s="707"/>
      <c r="EN501" s="707"/>
      <c r="EO501" s="707"/>
      <c r="EP501" s="707"/>
      <c r="EQ501" s="707"/>
      <c r="ER501" s="707"/>
      <c r="ES501" s="707"/>
      <c r="ET501" s="707"/>
      <c r="EU501" s="707"/>
      <c r="EV501" s="707"/>
      <c r="EW501" s="707"/>
      <c r="EX501" s="707"/>
      <c r="EY501" s="707"/>
      <c r="EZ501" s="707"/>
      <c r="FA501" s="707"/>
      <c r="FB501" s="707"/>
      <c r="FC501" s="707"/>
      <c r="FD501" s="707"/>
      <c r="FE501" s="707"/>
      <c r="FF501" s="707"/>
      <c r="FG501" s="707"/>
      <c r="FH501" s="707"/>
      <c r="FI501" s="707"/>
      <c r="FJ501" s="707"/>
      <c r="FK501" s="707"/>
      <c r="FL501" s="707"/>
      <c r="FM501" s="707"/>
      <c r="FN501" s="707"/>
      <c r="FO501" s="707"/>
      <c r="FP501" s="707"/>
      <c r="FQ501" s="707"/>
      <c r="FR501" s="707"/>
      <c r="FS501" s="707"/>
      <c r="FT501" s="707"/>
      <c r="FU501" s="707"/>
      <c r="FV501" s="707"/>
      <c r="FW501" s="707"/>
      <c r="FX501" s="707"/>
      <c r="FY501" s="707"/>
      <c r="FZ501" s="707"/>
      <c r="GA501" s="707"/>
      <c r="GB501" s="707"/>
      <c r="GC501" s="707"/>
      <c r="GD501" s="707"/>
      <c r="GE501" s="707"/>
      <c r="GF501" s="707"/>
      <c r="GG501" s="707"/>
      <c r="GH501" s="707"/>
      <c r="GI501" s="707"/>
      <c r="GJ501" s="707"/>
      <c r="GK501" s="707"/>
      <c r="GL501" s="707"/>
      <c r="GM501" s="707"/>
      <c r="GN501" s="707"/>
      <c r="GO501" s="707"/>
      <c r="GP501" s="707"/>
      <c r="GQ501" s="707"/>
      <c r="GR501" s="707"/>
      <c r="GS501" s="707"/>
      <c r="GT501" s="707"/>
      <c r="GU501" s="707"/>
      <c r="GV501" s="707"/>
      <c r="GW501" s="707"/>
      <c r="GX501" s="707"/>
      <c r="GY501" s="707"/>
      <c r="GZ501" s="707"/>
      <c r="HA501" s="707"/>
      <c r="HB501" s="707"/>
      <c r="HC501" s="707"/>
      <c r="HD501" s="707"/>
      <c r="HE501" s="707"/>
      <c r="HF501" s="707"/>
      <c r="HG501" s="707"/>
      <c r="HH501" s="707"/>
      <c r="HI501" s="707"/>
      <c r="HJ501" s="707"/>
      <c r="HK501" s="707"/>
      <c r="HL501" s="707"/>
      <c r="HM501" s="707"/>
      <c r="HN501" s="707"/>
      <c r="HO501" s="707"/>
      <c r="HP501" s="707"/>
      <c r="HQ501" s="707"/>
      <c r="HR501" s="707"/>
      <c r="HS501" s="707"/>
      <c r="HT501" s="707"/>
      <c r="HU501" s="707"/>
      <c r="HV501" s="707"/>
      <c r="HW501" s="707"/>
      <c r="HX501" s="707"/>
      <c r="HY501" s="707"/>
      <c r="HZ501" s="707"/>
      <c r="IA501" s="707"/>
      <c r="IB501" s="707"/>
      <c r="IC501" s="707"/>
      <c r="ID501" s="707"/>
      <c r="IE501" s="707"/>
      <c r="IF501" s="707"/>
      <c r="IG501" s="707"/>
      <c r="IH501" s="707"/>
      <c r="II501" s="707"/>
      <c r="IJ501" s="707"/>
      <c r="IK501" s="707"/>
      <c r="IL501" s="707"/>
      <c r="IM501" s="707"/>
      <c r="IN501" s="707"/>
      <c r="IO501" s="707"/>
      <c r="IP501" s="707"/>
      <c r="IQ501" s="707"/>
      <c r="IR501" s="707"/>
      <c r="IS501" s="707"/>
      <c r="IT501" s="707"/>
      <c r="IU501" s="707"/>
      <c r="IV501" s="707"/>
      <c r="IW501" s="707"/>
    </row>
    <row r="502" customFormat="false" ht="12.75" hidden="false" customHeight="false" outlineLevel="1" collapsed="false">
      <c r="A502" s="367"/>
      <c r="B502" s="723"/>
      <c r="C502" s="723"/>
      <c r="D502" s="723"/>
      <c r="E502" s="713"/>
      <c r="F502" s="713"/>
      <c r="G502" s="713"/>
      <c r="H502" s="713"/>
      <c r="I502" s="713"/>
      <c r="J502" s="713"/>
      <c r="K502" s="713"/>
      <c r="L502" s="713"/>
      <c r="M502" s="713"/>
      <c r="N502" s="713"/>
      <c r="O502" s="713"/>
      <c r="P502" s="713"/>
      <c r="Q502" s="713"/>
      <c r="R502" s="713"/>
      <c r="S502" s="713"/>
      <c r="T502" s="713"/>
      <c r="U502" s="713"/>
      <c r="V502" s="713"/>
      <c r="W502" s="713"/>
      <c r="X502" s="713"/>
      <c r="Y502" s="713"/>
      <c r="Z502" s="713"/>
      <c r="AA502" s="707"/>
      <c r="AB502" s="707"/>
      <c r="AC502" s="707"/>
      <c r="AD502" s="707"/>
      <c r="AE502" s="707"/>
      <c r="AF502" s="707"/>
      <c r="AG502" s="707"/>
      <c r="AH502" s="707"/>
      <c r="AI502" s="707"/>
      <c r="AJ502" s="707"/>
      <c r="AK502" s="707"/>
      <c r="AL502" s="707"/>
      <c r="AM502" s="707"/>
      <c r="AN502" s="707"/>
      <c r="AO502" s="707"/>
      <c r="AP502" s="707"/>
      <c r="AQ502" s="707"/>
      <c r="AR502" s="707"/>
      <c r="AS502" s="707"/>
      <c r="AT502" s="707"/>
      <c r="AU502" s="707"/>
      <c r="AV502" s="707"/>
      <c r="AW502" s="707"/>
      <c r="AX502" s="707"/>
      <c r="AY502" s="707"/>
      <c r="AZ502" s="707"/>
      <c r="BA502" s="707"/>
      <c r="BB502" s="707"/>
      <c r="BC502" s="707"/>
      <c r="BD502" s="707"/>
      <c r="BE502" s="707"/>
      <c r="BF502" s="707"/>
      <c r="BG502" s="707"/>
      <c r="BH502" s="707"/>
      <c r="BI502" s="707"/>
      <c r="BJ502" s="707"/>
      <c r="BK502" s="707"/>
      <c r="BL502" s="707"/>
      <c r="BM502" s="707"/>
      <c r="BN502" s="707"/>
      <c r="BO502" s="707"/>
      <c r="BP502" s="707"/>
      <c r="BQ502" s="707"/>
      <c r="BR502" s="707"/>
      <c r="BS502" s="707"/>
      <c r="BT502" s="707"/>
      <c r="BU502" s="707"/>
      <c r="BV502" s="707"/>
      <c r="BW502" s="707"/>
      <c r="BX502" s="707"/>
      <c r="BY502" s="707"/>
      <c r="BZ502" s="707"/>
      <c r="CA502" s="707"/>
      <c r="CB502" s="707"/>
      <c r="CC502" s="707"/>
      <c r="CD502" s="707"/>
      <c r="CE502" s="707"/>
      <c r="CF502" s="707"/>
      <c r="CG502" s="707"/>
      <c r="CH502" s="707"/>
      <c r="CI502" s="707"/>
      <c r="CJ502" s="707"/>
      <c r="CK502" s="707"/>
      <c r="CL502" s="707"/>
      <c r="CM502" s="707"/>
      <c r="CN502" s="707"/>
      <c r="CO502" s="707"/>
      <c r="CP502" s="707"/>
      <c r="CQ502" s="707"/>
      <c r="CR502" s="707"/>
      <c r="CS502" s="707"/>
      <c r="CT502" s="707"/>
      <c r="CU502" s="707"/>
      <c r="CV502" s="707"/>
      <c r="CW502" s="707"/>
      <c r="CX502" s="707"/>
      <c r="CY502" s="707"/>
      <c r="CZ502" s="707"/>
      <c r="DA502" s="707"/>
      <c r="DB502" s="707"/>
      <c r="DC502" s="707"/>
      <c r="DD502" s="707"/>
      <c r="DE502" s="707"/>
      <c r="DF502" s="707"/>
      <c r="DG502" s="707"/>
      <c r="DH502" s="707"/>
      <c r="DI502" s="707"/>
      <c r="DJ502" s="707"/>
      <c r="DK502" s="707"/>
      <c r="DL502" s="707"/>
      <c r="DM502" s="707"/>
      <c r="DN502" s="707"/>
      <c r="DO502" s="707"/>
      <c r="DP502" s="707"/>
      <c r="DQ502" s="707"/>
      <c r="DR502" s="707"/>
      <c r="DS502" s="707"/>
      <c r="DT502" s="707"/>
      <c r="DU502" s="707"/>
      <c r="DV502" s="707"/>
      <c r="DW502" s="707"/>
      <c r="DX502" s="707"/>
      <c r="DY502" s="707"/>
      <c r="DZ502" s="707"/>
      <c r="EA502" s="707"/>
      <c r="EB502" s="707"/>
      <c r="EC502" s="707"/>
      <c r="ED502" s="707"/>
      <c r="EE502" s="707"/>
      <c r="EF502" s="707"/>
      <c r="EG502" s="707"/>
      <c r="EH502" s="707"/>
      <c r="EI502" s="707"/>
      <c r="EJ502" s="707"/>
      <c r="EK502" s="707"/>
      <c r="EL502" s="707"/>
      <c r="EM502" s="707"/>
      <c r="EN502" s="707"/>
      <c r="EO502" s="707"/>
      <c r="EP502" s="707"/>
      <c r="EQ502" s="707"/>
      <c r="ER502" s="707"/>
      <c r="ES502" s="707"/>
      <c r="ET502" s="707"/>
      <c r="EU502" s="707"/>
      <c r="EV502" s="707"/>
      <c r="EW502" s="707"/>
      <c r="EX502" s="707"/>
      <c r="EY502" s="707"/>
      <c r="EZ502" s="707"/>
      <c r="FA502" s="707"/>
      <c r="FB502" s="707"/>
      <c r="FC502" s="707"/>
      <c r="FD502" s="707"/>
      <c r="FE502" s="707"/>
      <c r="FF502" s="707"/>
      <c r="FG502" s="707"/>
      <c r="FH502" s="707"/>
      <c r="FI502" s="707"/>
      <c r="FJ502" s="707"/>
      <c r="FK502" s="707"/>
      <c r="FL502" s="707"/>
      <c r="FM502" s="707"/>
      <c r="FN502" s="707"/>
      <c r="FO502" s="707"/>
      <c r="FP502" s="707"/>
      <c r="FQ502" s="707"/>
      <c r="FR502" s="707"/>
      <c r="FS502" s="707"/>
      <c r="FT502" s="707"/>
      <c r="FU502" s="707"/>
      <c r="FV502" s="707"/>
      <c r="FW502" s="707"/>
      <c r="FX502" s="707"/>
      <c r="FY502" s="707"/>
      <c r="FZ502" s="707"/>
      <c r="GA502" s="707"/>
      <c r="GB502" s="707"/>
      <c r="GC502" s="707"/>
      <c r="GD502" s="707"/>
      <c r="GE502" s="707"/>
      <c r="GF502" s="707"/>
      <c r="GG502" s="707"/>
      <c r="GH502" s="707"/>
      <c r="GI502" s="707"/>
      <c r="GJ502" s="707"/>
      <c r="GK502" s="707"/>
      <c r="GL502" s="707"/>
      <c r="GM502" s="707"/>
      <c r="GN502" s="707"/>
      <c r="GO502" s="707"/>
      <c r="GP502" s="707"/>
      <c r="GQ502" s="707"/>
      <c r="GR502" s="707"/>
      <c r="GS502" s="707"/>
      <c r="GT502" s="707"/>
      <c r="GU502" s="707"/>
      <c r="GV502" s="707"/>
      <c r="GW502" s="707"/>
      <c r="GX502" s="707"/>
      <c r="GY502" s="707"/>
      <c r="GZ502" s="707"/>
      <c r="HA502" s="707"/>
      <c r="HB502" s="707"/>
      <c r="HC502" s="707"/>
      <c r="HD502" s="707"/>
      <c r="HE502" s="707"/>
      <c r="HF502" s="707"/>
      <c r="HG502" s="707"/>
      <c r="HH502" s="707"/>
      <c r="HI502" s="707"/>
      <c r="HJ502" s="707"/>
      <c r="HK502" s="707"/>
      <c r="HL502" s="707"/>
      <c r="HM502" s="707"/>
      <c r="HN502" s="707"/>
      <c r="HO502" s="707"/>
      <c r="HP502" s="707"/>
      <c r="HQ502" s="707"/>
      <c r="HR502" s="707"/>
      <c r="HS502" s="707"/>
      <c r="HT502" s="707"/>
      <c r="HU502" s="707"/>
      <c r="HV502" s="707"/>
      <c r="HW502" s="707"/>
      <c r="HX502" s="707"/>
      <c r="HY502" s="707"/>
      <c r="HZ502" s="707"/>
      <c r="IA502" s="707"/>
      <c r="IB502" s="707"/>
      <c r="IC502" s="707"/>
      <c r="ID502" s="707"/>
      <c r="IE502" s="707"/>
      <c r="IF502" s="707"/>
      <c r="IG502" s="707"/>
      <c r="IH502" s="707"/>
      <c r="II502" s="707"/>
      <c r="IJ502" s="707"/>
      <c r="IK502" s="707"/>
      <c r="IL502" s="707"/>
      <c r="IM502" s="707"/>
      <c r="IN502" s="707"/>
      <c r="IO502" s="707"/>
      <c r="IP502" s="707"/>
      <c r="IQ502" s="707"/>
      <c r="IR502" s="707"/>
      <c r="IS502" s="707"/>
      <c r="IT502" s="707"/>
      <c r="IU502" s="707"/>
      <c r="IV502" s="707"/>
      <c r="IW502" s="707"/>
    </row>
    <row r="503" customFormat="false" ht="12.75" hidden="false" customHeight="false" outlineLevel="1" collapsed="false">
      <c r="A503" s="367"/>
      <c r="B503" s="723"/>
      <c r="C503" s="723"/>
      <c r="D503" s="723"/>
      <c r="E503" s="713"/>
      <c r="F503" s="713"/>
      <c r="G503" s="713"/>
      <c r="H503" s="713"/>
      <c r="I503" s="713"/>
      <c r="J503" s="713"/>
      <c r="K503" s="713"/>
      <c r="L503" s="713"/>
      <c r="M503" s="713"/>
      <c r="N503" s="713"/>
      <c r="O503" s="713"/>
      <c r="P503" s="713"/>
      <c r="Q503" s="713"/>
      <c r="R503" s="713"/>
      <c r="S503" s="713"/>
      <c r="T503" s="713"/>
      <c r="U503" s="713"/>
      <c r="V503" s="713"/>
      <c r="W503" s="713"/>
      <c r="X503" s="713"/>
      <c r="Y503" s="713"/>
      <c r="Z503" s="713"/>
      <c r="AA503" s="707"/>
      <c r="AB503" s="707"/>
      <c r="AC503" s="707"/>
      <c r="AD503" s="707"/>
      <c r="AE503" s="707"/>
      <c r="AF503" s="707"/>
      <c r="AG503" s="707"/>
      <c r="AH503" s="707"/>
      <c r="AI503" s="707"/>
      <c r="AJ503" s="707"/>
      <c r="AK503" s="707"/>
      <c r="AL503" s="707"/>
      <c r="AM503" s="707"/>
      <c r="AN503" s="707"/>
      <c r="AO503" s="707"/>
      <c r="AP503" s="707"/>
      <c r="AQ503" s="707"/>
      <c r="AR503" s="707"/>
      <c r="AS503" s="707"/>
      <c r="AT503" s="707"/>
      <c r="AU503" s="707"/>
      <c r="AV503" s="707"/>
      <c r="AW503" s="707"/>
      <c r="AX503" s="707"/>
      <c r="AY503" s="707"/>
      <c r="AZ503" s="707"/>
      <c r="BA503" s="707"/>
      <c r="BB503" s="707"/>
      <c r="BC503" s="707"/>
      <c r="BD503" s="707"/>
      <c r="BE503" s="707"/>
      <c r="BF503" s="707"/>
      <c r="BG503" s="707"/>
      <c r="BH503" s="707"/>
      <c r="BI503" s="707"/>
      <c r="BJ503" s="707"/>
      <c r="BK503" s="707"/>
      <c r="BL503" s="707"/>
      <c r="BM503" s="707"/>
      <c r="BN503" s="707"/>
      <c r="BO503" s="707"/>
      <c r="BP503" s="707"/>
      <c r="BQ503" s="707"/>
      <c r="BR503" s="707"/>
      <c r="BS503" s="707"/>
      <c r="BT503" s="707"/>
      <c r="BU503" s="707"/>
      <c r="BV503" s="707"/>
      <c r="BW503" s="707"/>
      <c r="BX503" s="707"/>
      <c r="BY503" s="707"/>
      <c r="BZ503" s="707"/>
      <c r="CA503" s="707"/>
      <c r="CB503" s="707"/>
      <c r="CC503" s="707"/>
      <c r="CD503" s="707"/>
      <c r="CE503" s="707"/>
      <c r="CF503" s="707"/>
      <c r="CG503" s="707"/>
      <c r="CH503" s="707"/>
      <c r="CI503" s="707"/>
      <c r="CJ503" s="707"/>
      <c r="CK503" s="707"/>
      <c r="CL503" s="707"/>
      <c r="CM503" s="707"/>
      <c r="CN503" s="707"/>
      <c r="CO503" s="707"/>
      <c r="CP503" s="707"/>
      <c r="CQ503" s="707"/>
      <c r="CR503" s="707"/>
      <c r="CS503" s="707"/>
      <c r="CT503" s="707"/>
      <c r="CU503" s="707"/>
      <c r="CV503" s="707"/>
      <c r="CW503" s="707"/>
      <c r="CX503" s="707"/>
      <c r="CY503" s="707"/>
      <c r="CZ503" s="707"/>
      <c r="DA503" s="707"/>
      <c r="DB503" s="707"/>
      <c r="DC503" s="707"/>
      <c r="DD503" s="707"/>
      <c r="DE503" s="707"/>
      <c r="DF503" s="707"/>
      <c r="DG503" s="707"/>
      <c r="DH503" s="707"/>
      <c r="DI503" s="707"/>
      <c r="DJ503" s="707"/>
      <c r="DK503" s="707"/>
      <c r="DL503" s="707"/>
      <c r="DM503" s="707"/>
      <c r="DN503" s="707"/>
      <c r="DO503" s="707"/>
      <c r="DP503" s="707"/>
      <c r="DQ503" s="707"/>
      <c r="DR503" s="707"/>
      <c r="DS503" s="707"/>
      <c r="DT503" s="707"/>
      <c r="DU503" s="707"/>
      <c r="DV503" s="707"/>
      <c r="DW503" s="707"/>
      <c r="DX503" s="707"/>
      <c r="DY503" s="707"/>
      <c r="DZ503" s="707"/>
      <c r="EA503" s="707"/>
      <c r="EB503" s="707"/>
      <c r="EC503" s="707"/>
      <c r="ED503" s="707"/>
      <c r="EE503" s="707"/>
      <c r="EF503" s="707"/>
      <c r="EG503" s="707"/>
      <c r="EH503" s="707"/>
      <c r="EI503" s="707"/>
      <c r="EJ503" s="707"/>
      <c r="EK503" s="707"/>
      <c r="EL503" s="707"/>
      <c r="EM503" s="707"/>
      <c r="EN503" s="707"/>
      <c r="EO503" s="707"/>
      <c r="EP503" s="707"/>
      <c r="EQ503" s="707"/>
      <c r="ER503" s="707"/>
      <c r="ES503" s="707"/>
      <c r="ET503" s="707"/>
      <c r="EU503" s="707"/>
      <c r="EV503" s="707"/>
      <c r="EW503" s="707"/>
      <c r="EX503" s="707"/>
      <c r="EY503" s="707"/>
      <c r="EZ503" s="707"/>
      <c r="FA503" s="707"/>
      <c r="FB503" s="707"/>
      <c r="FC503" s="707"/>
      <c r="FD503" s="707"/>
      <c r="FE503" s="707"/>
      <c r="FF503" s="707"/>
      <c r="FG503" s="707"/>
      <c r="FH503" s="707"/>
      <c r="FI503" s="707"/>
      <c r="FJ503" s="707"/>
      <c r="FK503" s="707"/>
      <c r="FL503" s="707"/>
      <c r="FM503" s="707"/>
      <c r="FN503" s="707"/>
      <c r="FO503" s="707"/>
      <c r="FP503" s="707"/>
      <c r="FQ503" s="707"/>
      <c r="FR503" s="707"/>
      <c r="FS503" s="707"/>
      <c r="FT503" s="707"/>
      <c r="FU503" s="707"/>
      <c r="FV503" s="707"/>
      <c r="FW503" s="707"/>
      <c r="FX503" s="707"/>
      <c r="FY503" s="707"/>
      <c r="FZ503" s="707"/>
      <c r="GA503" s="707"/>
      <c r="GB503" s="707"/>
      <c r="GC503" s="707"/>
      <c r="GD503" s="707"/>
      <c r="GE503" s="707"/>
      <c r="GF503" s="707"/>
      <c r="GG503" s="707"/>
      <c r="GH503" s="707"/>
      <c r="GI503" s="707"/>
      <c r="GJ503" s="707"/>
      <c r="GK503" s="707"/>
      <c r="GL503" s="707"/>
      <c r="GM503" s="707"/>
      <c r="GN503" s="707"/>
      <c r="GO503" s="707"/>
      <c r="GP503" s="707"/>
      <c r="GQ503" s="707"/>
      <c r="GR503" s="707"/>
      <c r="GS503" s="707"/>
      <c r="GT503" s="707"/>
      <c r="GU503" s="707"/>
      <c r="GV503" s="707"/>
      <c r="GW503" s="707"/>
      <c r="GX503" s="707"/>
      <c r="GY503" s="707"/>
      <c r="GZ503" s="707"/>
      <c r="HA503" s="707"/>
      <c r="HB503" s="707"/>
      <c r="HC503" s="707"/>
      <c r="HD503" s="707"/>
      <c r="HE503" s="707"/>
      <c r="HF503" s="707"/>
      <c r="HG503" s="707"/>
      <c r="HH503" s="707"/>
      <c r="HI503" s="707"/>
      <c r="HJ503" s="707"/>
      <c r="HK503" s="707"/>
      <c r="HL503" s="707"/>
      <c r="HM503" s="707"/>
      <c r="HN503" s="707"/>
      <c r="HO503" s="707"/>
      <c r="HP503" s="707"/>
      <c r="HQ503" s="707"/>
      <c r="HR503" s="707"/>
      <c r="HS503" s="707"/>
      <c r="HT503" s="707"/>
      <c r="HU503" s="707"/>
      <c r="HV503" s="707"/>
      <c r="HW503" s="707"/>
      <c r="HX503" s="707"/>
      <c r="HY503" s="707"/>
      <c r="HZ503" s="707"/>
      <c r="IA503" s="707"/>
      <c r="IB503" s="707"/>
      <c r="IC503" s="707"/>
      <c r="ID503" s="707"/>
      <c r="IE503" s="707"/>
      <c r="IF503" s="707"/>
      <c r="IG503" s="707"/>
      <c r="IH503" s="707"/>
      <c r="II503" s="707"/>
      <c r="IJ503" s="707"/>
      <c r="IK503" s="707"/>
      <c r="IL503" s="707"/>
      <c r="IM503" s="707"/>
      <c r="IN503" s="707"/>
      <c r="IO503" s="707"/>
      <c r="IP503" s="707"/>
      <c r="IQ503" s="707"/>
      <c r="IR503" s="707"/>
      <c r="IS503" s="707"/>
      <c r="IT503" s="707"/>
      <c r="IU503" s="707"/>
      <c r="IV503" s="707"/>
      <c r="IW503" s="707"/>
    </row>
    <row r="504" customFormat="false" ht="12.75" hidden="false" customHeight="false" outlineLevel="1" collapsed="false">
      <c r="A504" s="367"/>
      <c r="B504" s="723"/>
      <c r="C504" s="723"/>
      <c r="D504" s="723"/>
      <c r="E504" s="713"/>
      <c r="F504" s="713"/>
      <c r="G504" s="713"/>
      <c r="H504" s="713"/>
      <c r="I504" s="713"/>
      <c r="J504" s="713"/>
      <c r="K504" s="713"/>
      <c r="L504" s="713"/>
      <c r="M504" s="713"/>
      <c r="N504" s="713"/>
      <c r="O504" s="713"/>
      <c r="P504" s="713"/>
      <c r="Q504" s="713"/>
      <c r="R504" s="713"/>
      <c r="S504" s="713"/>
      <c r="T504" s="713"/>
      <c r="U504" s="713"/>
      <c r="V504" s="713"/>
      <c r="W504" s="713"/>
      <c r="X504" s="713"/>
      <c r="Y504" s="713"/>
      <c r="Z504" s="713"/>
      <c r="AA504" s="707"/>
      <c r="AB504" s="707"/>
      <c r="AC504" s="707"/>
      <c r="AD504" s="707"/>
      <c r="AE504" s="707"/>
      <c r="AF504" s="707"/>
      <c r="AG504" s="707"/>
      <c r="AH504" s="707"/>
      <c r="AI504" s="707"/>
      <c r="AJ504" s="707"/>
      <c r="AK504" s="707"/>
      <c r="AL504" s="707"/>
      <c r="AM504" s="707"/>
      <c r="AN504" s="707"/>
      <c r="AO504" s="707"/>
      <c r="AP504" s="707"/>
      <c r="AQ504" s="707"/>
      <c r="AR504" s="707"/>
      <c r="AS504" s="707"/>
      <c r="AT504" s="707"/>
      <c r="AU504" s="707"/>
      <c r="AV504" s="707"/>
      <c r="AW504" s="707"/>
      <c r="AX504" s="707"/>
      <c r="AY504" s="707"/>
      <c r="AZ504" s="707"/>
      <c r="BA504" s="707"/>
      <c r="BB504" s="707"/>
      <c r="BC504" s="707"/>
      <c r="BD504" s="707"/>
      <c r="BE504" s="707"/>
      <c r="BF504" s="707"/>
      <c r="BG504" s="707"/>
      <c r="BH504" s="707"/>
      <c r="BI504" s="707"/>
      <c r="BJ504" s="707"/>
      <c r="BK504" s="707"/>
      <c r="BL504" s="707"/>
      <c r="BM504" s="707"/>
      <c r="BN504" s="707"/>
      <c r="BO504" s="707"/>
      <c r="BP504" s="707"/>
      <c r="BQ504" s="707"/>
      <c r="BR504" s="707"/>
      <c r="BS504" s="707"/>
      <c r="BT504" s="707"/>
      <c r="BU504" s="707"/>
      <c r="BV504" s="707"/>
      <c r="BW504" s="707"/>
      <c r="BX504" s="707"/>
      <c r="BY504" s="707"/>
      <c r="BZ504" s="707"/>
      <c r="CA504" s="707"/>
      <c r="CB504" s="707"/>
      <c r="CC504" s="707"/>
      <c r="CD504" s="707"/>
      <c r="CE504" s="707"/>
      <c r="CF504" s="707"/>
      <c r="CG504" s="707"/>
      <c r="CH504" s="707"/>
      <c r="CI504" s="707"/>
      <c r="CJ504" s="707"/>
      <c r="CK504" s="707"/>
      <c r="CL504" s="707"/>
      <c r="CM504" s="707"/>
      <c r="CN504" s="707"/>
      <c r="CO504" s="707"/>
      <c r="CP504" s="707"/>
      <c r="CQ504" s="707"/>
      <c r="CR504" s="707"/>
      <c r="CS504" s="707"/>
      <c r="CT504" s="707"/>
      <c r="CU504" s="707"/>
      <c r="CV504" s="707"/>
      <c r="CW504" s="707"/>
      <c r="CX504" s="707"/>
      <c r="CY504" s="707"/>
      <c r="CZ504" s="707"/>
      <c r="DA504" s="707"/>
      <c r="DB504" s="707"/>
      <c r="DC504" s="707"/>
      <c r="DD504" s="707"/>
      <c r="DE504" s="707"/>
      <c r="DF504" s="707"/>
      <c r="DG504" s="707"/>
      <c r="DH504" s="707"/>
      <c r="DI504" s="707"/>
      <c r="DJ504" s="707"/>
      <c r="DK504" s="707"/>
      <c r="DL504" s="707"/>
      <c r="DM504" s="707"/>
      <c r="DN504" s="707"/>
      <c r="DO504" s="707"/>
      <c r="DP504" s="707"/>
      <c r="DQ504" s="707"/>
      <c r="DR504" s="707"/>
      <c r="DS504" s="707"/>
      <c r="DT504" s="707"/>
      <c r="DU504" s="707"/>
      <c r="DV504" s="707"/>
      <c r="DW504" s="707"/>
      <c r="DX504" s="707"/>
      <c r="DY504" s="707"/>
      <c r="DZ504" s="707"/>
      <c r="EA504" s="707"/>
      <c r="EB504" s="707"/>
      <c r="EC504" s="707"/>
      <c r="ED504" s="707"/>
      <c r="EE504" s="707"/>
      <c r="EF504" s="707"/>
      <c r="EG504" s="707"/>
      <c r="EH504" s="707"/>
      <c r="EI504" s="707"/>
      <c r="EJ504" s="707"/>
      <c r="EK504" s="707"/>
      <c r="EL504" s="707"/>
      <c r="EM504" s="707"/>
      <c r="EN504" s="707"/>
      <c r="EO504" s="707"/>
      <c r="EP504" s="707"/>
      <c r="EQ504" s="707"/>
      <c r="ER504" s="707"/>
      <c r="ES504" s="707"/>
      <c r="ET504" s="707"/>
      <c r="EU504" s="707"/>
      <c r="EV504" s="707"/>
      <c r="EW504" s="707"/>
      <c r="EX504" s="707"/>
      <c r="EY504" s="707"/>
      <c r="EZ504" s="707"/>
      <c r="FA504" s="707"/>
      <c r="FB504" s="707"/>
      <c r="FC504" s="707"/>
      <c r="FD504" s="707"/>
      <c r="FE504" s="707"/>
      <c r="FF504" s="707"/>
      <c r="FG504" s="707"/>
      <c r="FH504" s="707"/>
      <c r="FI504" s="707"/>
      <c r="FJ504" s="707"/>
      <c r="FK504" s="707"/>
      <c r="FL504" s="707"/>
      <c r="FM504" s="707"/>
      <c r="FN504" s="707"/>
      <c r="FO504" s="707"/>
      <c r="FP504" s="707"/>
      <c r="FQ504" s="707"/>
      <c r="FR504" s="707"/>
      <c r="FS504" s="707"/>
      <c r="FT504" s="707"/>
      <c r="FU504" s="707"/>
      <c r="FV504" s="707"/>
      <c r="FW504" s="707"/>
      <c r="FX504" s="707"/>
      <c r="FY504" s="707"/>
      <c r="FZ504" s="707"/>
      <c r="GA504" s="707"/>
      <c r="GB504" s="707"/>
      <c r="GC504" s="707"/>
      <c r="GD504" s="707"/>
      <c r="GE504" s="707"/>
      <c r="GF504" s="707"/>
      <c r="GG504" s="707"/>
      <c r="GH504" s="707"/>
      <c r="GI504" s="707"/>
      <c r="GJ504" s="707"/>
      <c r="GK504" s="707"/>
      <c r="GL504" s="707"/>
      <c r="GM504" s="707"/>
      <c r="GN504" s="707"/>
      <c r="GO504" s="707"/>
      <c r="GP504" s="707"/>
      <c r="GQ504" s="707"/>
      <c r="GR504" s="707"/>
      <c r="GS504" s="707"/>
      <c r="GT504" s="707"/>
      <c r="GU504" s="707"/>
      <c r="GV504" s="707"/>
      <c r="GW504" s="707"/>
      <c r="GX504" s="707"/>
      <c r="GY504" s="707"/>
      <c r="GZ504" s="707"/>
      <c r="HA504" s="707"/>
      <c r="HB504" s="707"/>
      <c r="HC504" s="707"/>
      <c r="HD504" s="707"/>
      <c r="HE504" s="707"/>
      <c r="HF504" s="707"/>
      <c r="HG504" s="707"/>
      <c r="HH504" s="707"/>
      <c r="HI504" s="707"/>
      <c r="HJ504" s="707"/>
      <c r="HK504" s="707"/>
      <c r="HL504" s="707"/>
      <c r="HM504" s="707"/>
      <c r="HN504" s="707"/>
      <c r="HO504" s="707"/>
      <c r="HP504" s="707"/>
      <c r="HQ504" s="707"/>
      <c r="HR504" s="707"/>
      <c r="HS504" s="707"/>
      <c r="HT504" s="707"/>
      <c r="HU504" s="707"/>
      <c r="HV504" s="707"/>
      <c r="HW504" s="707"/>
      <c r="HX504" s="707"/>
      <c r="HY504" s="707"/>
      <c r="HZ504" s="707"/>
      <c r="IA504" s="707"/>
      <c r="IB504" s="707"/>
      <c r="IC504" s="707"/>
      <c r="ID504" s="707"/>
      <c r="IE504" s="707"/>
      <c r="IF504" s="707"/>
      <c r="IG504" s="707"/>
      <c r="IH504" s="707"/>
      <c r="II504" s="707"/>
      <c r="IJ504" s="707"/>
      <c r="IK504" s="707"/>
      <c r="IL504" s="707"/>
      <c r="IM504" s="707"/>
      <c r="IN504" s="707"/>
      <c r="IO504" s="707"/>
      <c r="IP504" s="707"/>
      <c r="IQ504" s="707"/>
      <c r="IR504" s="707"/>
      <c r="IS504" s="707"/>
      <c r="IT504" s="707"/>
      <c r="IU504" s="707"/>
      <c r="IV504" s="707"/>
      <c r="IW504" s="707"/>
    </row>
    <row r="505" customFormat="false" ht="12.75" hidden="false" customHeight="false" outlineLevel="1" collapsed="false">
      <c r="A505" s="388"/>
      <c r="B505" s="707"/>
      <c r="C505" s="707"/>
      <c r="D505" s="707"/>
      <c r="E505" s="713"/>
      <c r="F505" s="713"/>
      <c r="G505" s="713"/>
      <c r="H505" s="713"/>
      <c r="I505" s="713"/>
      <c r="J505" s="713"/>
      <c r="K505" s="713"/>
      <c r="L505" s="713"/>
      <c r="M505" s="713"/>
      <c r="N505" s="713"/>
      <c r="O505" s="713"/>
      <c r="P505" s="713"/>
      <c r="Q505" s="713"/>
      <c r="R505" s="713"/>
      <c r="S505" s="713"/>
      <c r="T505" s="713"/>
      <c r="U505" s="713"/>
      <c r="V505" s="713"/>
      <c r="W505" s="713"/>
      <c r="X505" s="713"/>
      <c r="Y505" s="713"/>
      <c r="Z505" s="713"/>
      <c r="AA505" s="707"/>
      <c r="AB505" s="707"/>
      <c r="AC505" s="707"/>
      <c r="AD505" s="707"/>
      <c r="AE505" s="707"/>
      <c r="AF505" s="707"/>
      <c r="AG505" s="707"/>
      <c r="AH505" s="707"/>
      <c r="AI505" s="707"/>
      <c r="AJ505" s="707"/>
      <c r="AK505" s="707"/>
      <c r="AL505" s="707"/>
      <c r="AM505" s="707"/>
      <c r="AN505" s="707"/>
      <c r="AO505" s="707"/>
      <c r="AP505" s="707"/>
      <c r="AQ505" s="707"/>
      <c r="AR505" s="707"/>
      <c r="AS505" s="707"/>
      <c r="AT505" s="707"/>
      <c r="AU505" s="707"/>
      <c r="AV505" s="707"/>
      <c r="AW505" s="707"/>
      <c r="AX505" s="707"/>
      <c r="AY505" s="707"/>
      <c r="AZ505" s="707"/>
      <c r="BA505" s="707"/>
      <c r="BB505" s="707"/>
      <c r="BC505" s="707"/>
      <c r="BD505" s="707"/>
      <c r="BE505" s="707"/>
      <c r="BF505" s="707"/>
      <c r="BG505" s="707"/>
      <c r="BH505" s="707"/>
      <c r="BI505" s="707"/>
      <c r="BJ505" s="707"/>
      <c r="BK505" s="707"/>
      <c r="BL505" s="707"/>
      <c r="BM505" s="707"/>
      <c r="BN505" s="707"/>
      <c r="BO505" s="707"/>
      <c r="BP505" s="707"/>
      <c r="BQ505" s="707"/>
      <c r="BR505" s="707"/>
      <c r="BS505" s="707"/>
      <c r="BT505" s="707"/>
      <c r="BU505" s="707"/>
      <c r="BV505" s="707"/>
      <c r="BW505" s="707"/>
      <c r="BX505" s="707"/>
      <c r="BY505" s="707"/>
      <c r="BZ505" s="707"/>
      <c r="CA505" s="707"/>
      <c r="CB505" s="707"/>
      <c r="CC505" s="707"/>
      <c r="CD505" s="707"/>
      <c r="CE505" s="707"/>
      <c r="CF505" s="707"/>
      <c r="CG505" s="707"/>
      <c r="CH505" s="707"/>
      <c r="CI505" s="707"/>
      <c r="CJ505" s="707"/>
      <c r="CK505" s="707"/>
      <c r="CL505" s="707"/>
      <c r="CM505" s="707"/>
      <c r="CN505" s="707"/>
      <c r="CO505" s="707"/>
      <c r="CP505" s="707"/>
      <c r="CQ505" s="707"/>
      <c r="CR505" s="707"/>
      <c r="CS505" s="707"/>
      <c r="CT505" s="707"/>
      <c r="CU505" s="707"/>
      <c r="CV505" s="707"/>
      <c r="CW505" s="707"/>
      <c r="CX505" s="707"/>
      <c r="CY505" s="707"/>
      <c r="CZ505" s="707"/>
      <c r="DA505" s="707"/>
      <c r="DB505" s="707"/>
      <c r="DC505" s="707"/>
      <c r="DD505" s="707"/>
      <c r="DE505" s="707"/>
      <c r="DF505" s="707"/>
      <c r="DG505" s="707"/>
      <c r="DH505" s="707"/>
      <c r="DI505" s="707"/>
      <c r="DJ505" s="707"/>
      <c r="DK505" s="707"/>
      <c r="DL505" s="707"/>
      <c r="DM505" s="707"/>
      <c r="DN505" s="707"/>
      <c r="DO505" s="707"/>
      <c r="DP505" s="707"/>
      <c r="DQ505" s="707"/>
      <c r="DR505" s="707"/>
      <c r="DS505" s="707"/>
      <c r="DT505" s="707"/>
      <c r="DU505" s="707"/>
      <c r="DV505" s="707"/>
      <c r="DW505" s="707"/>
      <c r="DX505" s="707"/>
      <c r="DY505" s="707"/>
      <c r="DZ505" s="707"/>
      <c r="EA505" s="707"/>
      <c r="EB505" s="707"/>
      <c r="EC505" s="707"/>
      <c r="ED505" s="707"/>
      <c r="EE505" s="707"/>
      <c r="EF505" s="707"/>
      <c r="EG505" s="707"/>
      <c r="EH505" s="707"/>
      <c r="EI505" s="707"/>
      <c r="EJ505" s="707"/>
      <c r="EK505" s="707"/>
      <c r="EL505" s="707"/>
      <c r="EM505" s="707"/>
      <c r="EN505" s="707"/>
      <c r="EO505" s="707"/>
      <c r="EP505" s="707"/>
      <c r="EQ505" s="707"/>
      <c r="ER505" s="707"/>
      <c r="ES505" s="707"/>
      <c r="ET505" s="707"/>
      <c r="EU505" s="707"/>
      <c r="EV505" s="707"/>
      <c r="EW505" s="707"/>
      <c r="EX505" s="707"/>
      <c r="EY505" s="707"/>
      <c r="EZ505" s="707"/>
      <c r="FA505" s="707"/>
      <c r="FB505" s="707"/>
      <c r="FC505" s="707"/>
      <c r="FD505" s="707"/>
      <c r="FE505" s="707"/>
      <c r="FF505" s="707"/>
      <c r="FG505" s="707"/>
      <c r="FH505" s="707"/>
      <c r="FI505" s="707"/>
      <c r="FJ505" s="707"/>
      <c r="FK505" s="707"/>
      <c r="FL505" s="707"/>
      <c r="FM505" s="707"/>
      <c r="FN505" s="707"/>
      <c r="FO505" s="707"/>
      <c r="FP505" s="707"/>
      <c r="FQ505" s="707"/>
      <c r="FR505" s="707"/>
      <c r="FS505" s="707"/>
      <c r="FT505" s="707"/>
      <c r="FU505" s="707"/>
      <c r="FV505" s="707"/>
      <c r="FW505" s="707"/>
      <c r="FX505" s="707"/>
      <c r="FY505" s="707"/>
      <c r="FZ505" s="707"/>
      <c r="GA505" s="707"/>
      <c r="GB505" s="707"/>
      <c r="GC505" s="707"/>
      <c r="GD505" s="707"/>
      <c r="GE505" s="707"/>
      <c r="GF505" s="707"/>
      <c r="GG505" s="707"/>
      <c r="GH505" s="707"/>
      <c r="GI505" s="707"/>
      <c r="GJ505" s="707"/>
      <c r="GK505" s="707"/>
      <c r="GL505" s="707"/>
      <c r="GM505" s="707"/>
      <c r="GN505" s="707"/>
      <c r="GO505" s="707"/>
      <c r="GP505" s="707"/>
      <c r="GQ505" s="707"/>
      <c r="GR505" s="707"/>
      <c r="GS505" s="707"/>
      <c r="GT505" s="707"/>
      <c r="GU505" s="707"/>
      <c r="GV505" s="707"/>
      <c r="GW505" s="707"/>
      <c r="GX505" s="707"/>
      <c r="GY505" s="707"/>
      <c r="GZ505" s="707"/>
      <c r="HA505" s="707"/>
      <c r="HB505" s="707"/>
      <c r="HC505" s="707"/>
      <c r="HD505" s="707"/>
      <c r="HE505" s="707"/>
      <c r="HF505" s="707"/>
      <c r="HG505" s="707"/>
      <c r="HH505" s="707"/>
      <c r="HI505" s="707"/>
      <c r="HJ505" s="707"/>
      <c r="HK505" s="707"/>
      <c r="HL505" s="707"/>
      <c r="HM505" s="707"/>
      <c r="HN505" s="707"/>
      <c r="HO505" s="707"/>
      <c r="HP505" s="707"/>
      <c r="HQ505" s="707"/>
      <c r="HR505" s="707"/>
      <c r="HS505" s="707"/>
      <c r="HT505" s="707"/>
      <c r="HU505" s="707"/>
      <c r="HV505" s="707"/>
      <c r="HW505" s="707"/>
      <c r="HX505" s="707"/>
      <c r="HY505" s="707"/>
      <c r="HZ505" s="707"/>
      <c r="IA505" s="707"/>
      <c r="IB505" s="707"/>
      <c r="IC505" s="707"/>
      <c r="ID505" s="707"/>
      <c r="IE505" s="707"/>
      <c r="IF505" s="707"/>
      <c r="IG505" s="707"/>
      <c r="IH505" s="707"/>
      <c r="II505" s="707"/>
      <c r="IJ505" s="707"/>
      <c r="IK505" s="707"/>
      <c r="IL505" s="707"/>
      <c r="IM505" s="707"/>
      <c r="IN505" s="707"/>
      <c r="IO505" s="707"/>
      <c r="IP505" s="707"/>
      <c r="IQ505" s="707"/>
      <c r="IR505" s="707"/>
      <c r="IS505" s="707"/>
      <c r="IT505" s="707"/>
      <c r="IU505" s="707"/>
      <c r="IV505" s="707"/>
      <c r="IW505" s="707"/>
    </row>
    <row r="506" customFormat="false" ht="12.75" hidden="false" customHeight="false" outlineLevel="1" collapsed="false">
      <c r="A506" s="724"/>
      <c r="B506" s="725"/>
      <c r="C506" s="725"/>
      <c r="D506" s="725"/>
      <c r="E506" s="713"/>
      <c r="F506" s="713"/>
      <c r="G506" s="713"/>
      <c r="H506" s="713"/>
      <c r="I506" s="713"/>
      <c r="J506" s="713"/>
      <c r="K506" s="713"/>
      <c r="L506" s="713"/>
      <c r="M506" s="713"/>
      <c r="N506" s="713"/>
      <c r="O506" s="713"/>
      <c r="P506" s="713"/>
      <c r="Q506" s="713"/>
      <c r="R506" s="713"/>
      <c r="S506" s="713"/>
      <c r="T506" s="713"/>
      <c r="U506" s="713"/>
      <c r="V506" s="713"/>
      <c r="W506" s="713"/>
      <c r="X506" s="713"/>
      <c r="Y506" s="713"/>
      <c r="Z506" s="713"/>
      <c r="AA506" s="722"/>
      <c r="AB506" s="722"/>
      <c r="AC506" s="722"/>
      <c r="AD506" s="722"/>
      <c r="AE506" s="722"/>
      <c r="AF506" s="722"/>
      <c r="AG506" s="722"/>
      <c r="AH506" s="722"/>
      <c r="AI506" s="722"/>
      <c r="AJ506" s="722"/>
      <c r="AK506" s="722"/>
      <c r="AL506" s="722"/>
      <c r="AM506" s="722"/>
      <c r="AN506" s="722"/>
      <c r="AO506" s="722"/>
      <c r="AP506" s="722"/>
      <c r="AQ506" s="722"/>
      <c r="AR506" s="722"/>
      <c r="AS506" s="722"/>
      <c r="AT506" s="722"/>
      <c r="AU506" s="722"/>
      <c r="AV506" s="722"/>
      <c r="AW506" s="722"/>
      <c r="AX506" s="722"/>
      <c r="AY506" s="722"/>
      <c r="AZ506" s="722"/>
      <c r="BA506" s="722"/>
      <c r="BB506" s="722"/>
      <c r="BC506" s="722"/>
      <c r="BD506" s="722"/>
      <c r="BE506" s="722"/>
      <c r="BF506" s="722"/>
      <c r="BG506" s="722"/>
      <c r="BH506" s="722"/>
      <c r="BI506" s="722"/>
      <c r="BJ506" s="722"/>
      <c r="BK506" s="722"/>
      <c r="BL506" s="722"/>
      <c r="BM506" s="722"/>
      <c r="BN506" s="722"/>
      <c r="BO506" s="722"/>
      <c r="BP506" s="722"/>
      <c r="BQ506" s="722"/>
      <c r="BR506" s="722"/>
      <c r="BS506" s="722"/>
      <c r="BT506" s="722"/>
      <c r="BU506" s="722"/>
      <c r="BV506" s="722"/>
      <c r="BW506" s="722"/>
      <c r="BX506" s="722"/>
      <c r="BY506" s="722"/>
      <c r="BZ506" s="722"/>
      <c r="CA506" s="722"/>
      <c r="CB506" s="722"/>
      <c r="CC506" s="722"/>
      <c r="CD506" s="722"/>
      <c r="CE506" s="722"/>
      <c r="CF506" s="722"/>
      <c r="CG506" s="722"/>
      <c r="CH506" s="722"/>
      <c r="CI506" s="722"/>
      <c r="CJ506" s="722"/>
      <c r="CK506" s="722"/>
      <c r="CL506" s="722"/>
      <c r="CM506" s="722"/>
      <c r="CN506" s="722"/>
      <c r="CO506" s="722"/>
      <c r="CP506" s="722"/>
      <c r="CQ506" s="722"/>
      <c r="CR506" s="722"/>
      <c r="CS506" s="722"/>
      <c r="CT506" s="722"/>
      <c r="CU506" s="722"/>
      <c r="CV506" s="722"/>
      <c r="CW506" s="722"/>
      <c r="CX506" s="722"/>
      <c r="CY506" s="722"/>
      <c r="CZ506" s="722"/>
      <c r="DA506" s="722"/>
      <c r="DB506" s="722"/>
      <c r="DC506" s="722"/>
      <c r="DD506" s="722"/>
      <c r="DE506" s="722"/>
      <c r="DF506" s="722"/>
      <c r="DG506" s="722"/>
      <c r="DH506" s="722"/>
      <c r="DI506" s="722"/>
      <c r="DJ506" s="722"/>
      <c r="DK506" s="722"/>
      <c r="DL506" s="722"/>
      <c r="DM506" s="722"/>
      <c r="DN506" s="722"/>
      <c r="DO506" s="722"/>
      <c r="DP506" s="722"/>
      <c r="DQ506" s="722"/>
      <c r="DR506" s="722"/>
      <c r="DS506" s="722"/>
      <c r="DT506" s="722"/>
      <c r="DU506" s="722"/>
      <c r="DV506" s="722"/>
      <c r="DW506" s="722"/>
      <c r="DX506" s="722"/>
      <c r="DY506" s="722"/>
      <c r="DZ506" s="722"/>
      <c r="EA506" s="722"/>
      <c r="EB506" s="722"/>
      <c r="EC506" s="722"/>
      <c r="ED506" s="722"/>
      <c r="EE506" s="722"/>
      <c r="EF506" s="722"/>
      <c r="EG506" s="722"/>
      <c r="EH506" s="722"/>
      <c r="EI506" s="722"/>
      <c r="EJ506" s="722"/>
      <c r="EK506" s="722"/>
      <c r="EL506" s="722"/>
      <c r="EM506" s="722"/>
      <c r="EN506" s="722"/>
      <c r="EO506" s="722"/>
      <c r="EP506" s="722"/>
      <c r="EQ506" s="722"/>
      <c r="ER506" s="722"/>
      <c r="ES506" s="722"/>
      <c r="ET506" s="722"/>
      <c r="EU506" s="722"/>
      <c r="EV506" s="722"/>
      <c r="EW506" s="722"/>
      <c r="EX506" s="722"/>
      <c r="EY506" s="722"/>
      <c r="EZ506" s="722"/>
      <c r="FA506" s="722"/>
      <c r="FB506" s="722"/>
      <c r="FC506" s="722"/>
      <c r="FD506" s="722"/>
      <c r="FE506" s="722"/>
      <c r="FF506" s="722"/>
      <c r="FG506" s="722"/>
      <c r="FH506" s="722"/>
      <c r="FI506" s="722"/>
      <c r="FJ506" s="722"/>
      <c r="FK506" s="722"/>
      <c r="FL506" s="722"/>
      <c r="FM506" s="722"/>
      <c r="FN506" s="722"/>
      <c r="FO506" s="722"/>
      <c r="FP506" s="722"/>
      <c r="FQ506" s="722"/>
      <c r="FR506" s="722"/>
      <c r="FS506" s="722"/>
      <c r="FT506" s="722"/>
      <c r="FU506" s="722"/>
      <c r="FV506" s="722"/>
      <c r="FW506" s="722"/>
      <c r="FX506" s="722"/>
      <c r="FY506" s="722"/>
      <c r="FZ506" s="722"/>
      <c r="GA506" s="722"/>
      <c r="GB506" s="722"/>
      <c r="GC506" s="722"/>
      <c r="GD506" s="722"/>
      <c r="GE506" s="722"/>
      <c r="GF506" s="722"/>
      <c r="GG506" s="722"/>
      <c r="GH506" s="722"/>
      <c r="GI506" s="722"/>
      <c r="GJ506" s="722"/>
      <c r="GK506" s="722"/>
      <c r="GL506" s="722"/>
      <c r="GM506" s="722"/>
      <c r="GN506" s="722"/>
      <c r="GO506" s="722"/>
      <c r="GP506" s="722"/>
      <c r="GQ506" s="722"/>
      <c r="GR506" s="722"/>
      <c r="GS506" s="722"/>
      <c r="GT506" s="722"/>
      <c r="GU506" s="722"/>
      <c r="GV506" s="722"/>
      <c r="GW506" s="722"/>
      <c r="GX506" s="722"/>
      <c r="GY506" s="722"/>
      <c r="GZ506" s="722"/>
      <c r="HA506" s="722"/>
      <c r="HB506" s="722"/>
      <c r="HC506" s="722"/>
      <c r="HD506" s="722"/>
      <c r="HE506" s="722"/>
      <c r="HF506" s="722"/>
      <c r="HG506" s="722"/>
      <c r="HH506" s="722"/>
      <c r="HI506" s="722"/>
      <c r="HJ506" s="722"/>
      <c r="HK506" s="722"/>
      <c r="HL506" s="722"/>
      <c r="HM506" s="722"/>
      <c r="HN506" s="722"/>
      <c r="HO506" s="722"/>
      <c r="HP506" s="722"/>
      <c r="HQ506" s="722"/>
      <c r="HR506" s="722"/>
      <c r="HS506" s="722"/>
      <c r="HT506" s="722"/>
      <c r="HU506" s="722"/>
      <c r="HV506" s="722"/>
      <c r="HW506" s="722"/>
      <c r="HX506" s="722"/>
      <c r="HY506" s="722"/>
      <c r="HZ506" s="722"/>
      <c r="IA506" s="722"/>
      <c r="IB506" s="722"/>
      <c r="IC506" s="722"/>
      <c r="ID506" s="722"/>
      <c r="IE506" s="722"/>
      <c r="IF506" s="722"/>
      <c r="IG506" s="722"/>
      <c r="IH506" s="722"/>
      <c r="II506" s="722"/>
      <c r="IJ506" s="722"/>
      <c r="IK506" s="722"/>
      <c r="IL506" s="722"/>
      <c r="IM506" s="722"/>
      <c r="IN506" s="722"/>
      <c r="IO506" s="722"/>
      <c r="IP506" s="722"/>
      <c r="IQ506" s="722"/>
      <c r="IR506" s="722"/>
      <c r="IS506" s="722"/>
      <c r="IT506" s="722"/>
      <c r="IU506" s="722"/>
      <c r="IV506" s="722"/>
      <c r="IW506" s="722"/>
    </row>
    <row r="507" customFormat="false" ht="12.75" hidden="false" customHeight="false" outlineLevel="1" collapsed="false">
      <c r="A507" s="367"/>
      <c r="B507" s="706"/>
      <c r="C507" s="706"/>
      <c r="D507" s="706"/>
      <c r="E507" s="713"/>
      <c r="F507" s="713"/>
      <c r="G507" s="713"/>
      <c r="H507" s="713"/>
      <c r="I507" s="713"/>
      <c r="J507" s="713"/>
      <c r="K507" s="713"/>
      <c r="L507" s="713"/>
      <c r="M507" s="713"/>
      <c r="N507" s="713"/>
      <c r="O507" s="713"/>
      <c r="P507" s="713"/>
      <c r="Q507" s="713"/>
      <c r="R507" s="713"/>
      <c r="S507" s="713"/>
      <c r="T507" s="713"/>
      <c r="U507" s="713"/>
      <c r="V507" s="713"/>
      <c r="W507" s="713"/>
      <c r="X507" s="713"/>
      <c r="Y507" s="713"/>
      <c r="Z507" s="713"/>
      <c r="AA507" s="707"/>
      <c r="AB507" s="707"/>
      <c r="AC507" s="707"/>
      <c r="AD507" s="707"/>
      <c r="AE507" s="707"/>
      <c r="AF507" s="707"/>
      <c r="AG507" s="707"/>
      <c r="AH507" s="707"/>
      <c r="AI507" s="707"/>
      <c r="AJ507" s="707"/>
      <c r="AK507" s="707"/>
      <c r="AL507" s="707"/>
      <c r="AM507" s="707"/>
      <c r="AN507" s="707"/>
      <c r="AO507" s="707"/>
      <c r="AP507" s="707"/>
      <c r="AQ507" s="707"/>
      <c r="AR507" s="707"/>
      <c r="AS507" s="707"/>
      <c r="AT507" s="707"/>
      <c r="AU507" s="707"/>
      <c r="AV507" s="707"/>
      <c r="AW507" s="707"/>
      <c r="AX507" s="707"/>
      <c r="AY507" s="707"/>
      <c r="AZ507" s="707"/>
      <c r="BA507" s="707"/>
      <c r="BB507" s="707"/>
      <c r="BC507" s="707"/>
      <c r="BD507" s="707"/>
      <c r="BE507" s="707"/>
      <c r="BF507" s="707"/>
      <c r="BG507" s="707"/>
      <c r="BH507" s="707"/>
      <c r="BI507" s="707"/>
      <c r="BJ507" s="707"/>
      <c r="BK507" s="707"/>
      <c r="BL507" s="707"/>
      <c r="BM507" s="707"/>
      <c r="BN507" s="707"/>
      <c r="BO507" s="707"/>
      <c r="BP507" s="707"/>
      <c r="BQ507" s="707"/>
      <c r="BR507" s="707"/>
      <c r="BS507" s="707"/>
      <c r="BT507" s="707"/>
      <c r="BU507" s="707"/>
      <c r="BV507" s="707"/>
      <c r="BW507" s="707"/>
      <c r="BX507" s="707"/>
      <c r="BY507" s="707"/>
      <c r="BZ507" s="707"/>
      <c r="CA507" s="707"/>
      <c r="CB507" s="707"/>
      <c r="CC507" s="707"/>
      <c r="CD507" s="707"/>
      <c r="CE507" s="707"/>
      <c r="CF507" s="707"/>
      <c r="CG507" s="707"/>
      <c r="CH507" s="707"/>
      <c r="CI507" s="707"/>
      <c r="CJ507" s="707"/>
      <c r="CK507" s="707"/>
      <c r="CL507" s="707"/>
      <c r="CM507" s="707"/>
      <c r="CN507" s="707"/>
      <c r="CO507" s="707"/>
      <c r="CP507" s="707"/>
      <c r="CQ507" s="707"/>
      <c r="CR507" s="707"/>
      <c r="CS507" s="707"/>
      <c r="CT507" s="707"/>
      <c r="CU507" s="707"/>
      <c r="CV507" s="707"/>
      <c r="CW507" s="707"/>
      <c r="CX507" s="707"/>
      <c r="CY507" s="707"/>
      <c r="CZ507" s="707"/>
      <c r="DA507" s="707"/>
      <c r="DB507" s="707"/>
      <c r="DC507" s="707"/>
      <c r="DD507" s="707"/>
      <c r="DE507" s="707"/>
      <c r="DF507" s="707"/>
      <c r="DG507" s="707"/>
      <c r="DH507" s="707"/>
      <c r="DI507" s="707"/>
      <c r="DJ507" s="707"/>
      <c r="DK507" s="707"/>
      <c r="DL507" s="707"/>
      <c r="DM507" s="707"/>
      <c r="DN507" s="707"/>
      <c r="DO507" s="707"/>
      <c r="DP507" s="707"/>
      <c r="DQ507" s="707"/>
      <c r="DR507" s="707"/>
      <c r="DS507" s="707"/>
      <c r="DT507" s="707"/>
      <c r="DU507" s="707"/>
      <c r="DV507" s="707"/>
      <c r="DW507" s="707"/>
      <c r="DX507" s="707"/>
      <c r="DY507" s="707"/>
      <c r="DZ507" s="707"/>
      <c r="EA507" s="707"/>
      <c r="EB507" s="707"/>
      <c r="EC507" s="707"/>
      <c r="ED507" s="707"/>
      <c r="EE507" s="707"/>
      <c r="EF507" s="707"/>
      <c r="EG507" s="707"/>
      <c r="EH507" s="707"/>
      <c r="EI507" s="707"/>
      <c r="EJ507" s="707"/>
      <c r="EK507" s="707"/>
      <c r="EL507" s="707"/>
      <c r="EM507" s="707"/>
      <c r="EN507" s="707"/>
      <c r="EO507" s="707"/>
      <c r="EP507" s="707"/>
      <c r="EQ507" s="707"/>
      <c r="ER507" s="707"/>
      <c r="ES507" s="707"/>
      <c r="ET507" s="707"/>
      <c r="EU507" s="707"/>
      <c r="EV507" s="707"/>
      <c r="EW507" s="707"/>
      <c r="EX507" s="707"/>
      <c r="EY507" s="707"/>
      <c r="EZ507" s="707"/>
      <c r="FA507" s="707"/>
      <c r="FB507" s="707"/>
      <c r="FC507" s="707"/>
      <c r="FD507" s="707"/>
      <c r="FE507" s="707"/>
      <c r="FF507" s="707"/>
      <c r="FG507" s="707"/>
      <c r="FH507" s="707"/>
      <c r="FI507" s="707"/>
      <c r="FJ507" s="707"/>
      <c r="FK507" s="707"/>
      <c r="FL507" s="707"/>
      <c r="FM507" s="707"/>
      <c r="FN507" s="707"/>
      <c r="FO507" s="707"/>
      <c r="FP507" s="707"/>
      <c r="FQ507" s="707"/>
      <c r="FR507" s="707"/>
      <c r="FS507" s="707"/>
      <c r="FT507" s="707"/>
      <c r="FU507" s="707"/>
      <c r="FV507" s="707"/>
      <c r="FW507" s="707"/>
      <c r="FX507" s="707"/>
      <c r="FY507" s="707"/>
      <c r="FZ507" s="707"/>
      <c r="GA507" s="707"/>
      <c r="GB507" s="707"/>
      <c r="GC507" s="707"/>
      <c r="GD507" s="707"/>
      <c r="GE507" s="707"/>
      <c r="GF507" s="707"/>
      <c r="GG507" s="707"/>
      <c r="GH507" s="707"/>
      <c r="GI507" s="707"/>
      <c r="GJ507" s="707"/>
      <c r="GK507" s="707"/>
      <c r="GL507" s="707"/>
      <c r="GM507" s="707"/>
      <c r="GN507" s="707"/>
      <c r="GO507" s="707"/>
      <c r="GP507" s="707"/>
      <c r="GQ507" s="707"/>
      <c r="GR507" s="707"/>
      <c r="GS507" s="707"/>
      <c r="GT507" s="707"/>
      <c r="GU507" s="707"/>
      <c r="GV507" s="707"/>
      <c r="GW507" s="707"/>
      <c r="GX507" s="707"/>
      <c r="GY507" s="707"/>
      <c r="GZ507" s="707"/>
      <c r="HA507" s="707"/>
      <c r="HB507" s="707"/>
      <c r="HC507" s="707"/>
      <c r="HD507" s="707"/>
      <c r="HE507" s="707"/>
      <c r="HF507" s="707"/>
      <c r="HG507" s="707"/>
      <c r="HH507" s="707"/>
      <c r="HI507" s="707"/>
      <c r="HJ507" s="707"/>
      <c r="HK507" s="707"/>
      <c r="HL507" s="707"/>
      <c r="HM507" s="707"/>
      <c r="HN507" s="707"/>
      <c r="HO507" s="707"/>
      <c r="HP507" s="707"/>
      <c r="HQ507" s="707"/>
      <c r="HR507" s="707"/>
      <c r="HS507" s="707"/>
      <c r="HT507" s="707"/>
      <c r="HU507" s="707"/>
      <c r="HV507" s="707"/>
      <c r="HW507" s="707"/>
      <c r="HX507" s="707"/>
      <c r="HY507" s="707"/>
      <c r="HZ507" s="707"/>
      <c r="IA507" s="707"/>
      <c r="IB507" s="707"/>
      <c r="IC507" s="707"/>
      <c r="ID507" s="707"/>
      <c r="IE507" s="707"/>
      <c r="IF507" s="707"/>
      <c r="IG507" s="707"/>
      <c r="IH507" s="707"/>
      <c r="II507" s="707"/>
      <c r="IJ507" s="707"/>
      <c r="IK507" s="707"/>
      <c r="IL507" s="707"/>
      <c r="IM507" s="707"/>
      <c r="IN507" s="707"/>
      <c r="IO507" s="707"/>
      <c r="IP507" s="707"/>
      <c r="IQ507" s="707"/>
      <c r="IR507" s="707"/>
      <c r="IS507" s="707"/>
      <c r="IT507" s="707"/>
      <c r="IU507" s="707"/>
      <c r="IV507" s="707"/>
      <c r="IW507" s="707"/>
    </row>
    <row r="508" customFormat="false" ht="12.75" hidden="false" customHeight="false" outlineLevel="1" collapsed="false">
      <c r="A508" s="681"/>
      <c r="B508" s="706"/>
      <c r="C508" s="706"/>
      <c r="D508" s="706"/>
      <c r="E508" s="713"/>
      <c r="F508" s="713"/>
      <c r="G508" s="713"/>
      <c r="H508" s="713"/>
      <c r="I508" s="713"/>
      <c r="J508" s="713"/>
      <c r="K508" s="713"/>
      <c r="L508" s="713"/>
      <c r="M508" s="713"/>
      <c r="N508" s="713"/>
      <c r="O508" s="713"/>
      <c r="P508" s="713"/>
      <c r="Q508" s="713"/>
      <c r="R508" s="713"/>
      <c r="S508" s="713"/>
      <c r="T508" s="713"/>
      <c r="U508" s="713"/>
      <c r="V508" s="713"/>
      <c r="W508" s="713"/>
      <c r="X508" s="713"/>
      <c r="Y508" s="713"/>
      <c r="Z508" s="713"/>
      <c r="AA508" s="707"/>
      <c r="AB508" s="707"/>
      <c r="AC508" s="707"/>
      <c r="AD508" s="707"/>
      <c r="AE508" s="707"/>
      <c r="AF508" s="707"/>
      <c r="AG508" s="707"/>
      <c r="AH508" s="707"/>
      <c r="AI508" s="707"/>
      <c r="AJ508" s="707"/>
      <c r="AK508" s="707"/>
      <c r="AL508" s="707"/>
      <c r="AM508" s="707"/>
      <c r="AN508" s="707"/>
      <c r="AO508" s="707"/>
      <c r="AP508" s="707"/>
      <c r="AQ508" s="707"/>
      <c r="AR508" s="707"/>
      <c r="AS508" s="707"/>
      <c r="AT508" s="707"/>
      <c r="AU508" s="707"/>
      <c r="AV508" s="707"/>
      <c r="AW508" s="707"/>
      <c r="AX508" s="707"/>
      <c r="AY508" s="707"/>
      <c r="AZ508" s="707"/>
      <c r="BA508" s="707"/>
      <c r="BB508" s="707"/>
      <c r="BC508" s="707"/>
      <c r="BD508" s="707"/>
      <c r="BE508" s="707"/>
      <c r="BF508" s="707"/>
      <c r="BG508" s="707"/>
      <c r="BH508" s="707"/>
      <c r="BI508" s="707"/>
      <c r="BJ508" s="707"/>
      <c r="BK508" s="707"/>
      <c r="BL508" s="707"/>
      <c r="BM508" s="707"/>
      <c r="BN508" s="707"/>
      <c r="BO508" s="707"/>
      <c r="BP508" s="707"/>
      <c r="BQ508" s="707"/>
      <c r="BR508" s="707"/>
      <c r="BS508" s="707"/>
      <c r="BT508" s="707"/>
      <c r="BU508" s="707"/>
      <c r="BV508" s="707"/>
      <c r="BW508" s="707"/>
      <c r="BX508" s="707"/>
      <c r="BY508" s="707"/>
      <c r="BZ508" s="707"/>
      <c r="CA508" s="707"/>
      <c r="CB508" s="707"/>
      <c r="CC508" s="707"/>
      <c r="CD508" s="707"/>
      <c r="CE508" s="707"/>
      <c r="CF508" s="707"/>
      <c r="CG508" s="707"/>
      <c r="CH508" s="707"/>
      <c r="CI508" s="707"/>
      <c r="CJ508" s="707"/>
      <c r="CK508" s="707"/>
      <c r="CL508" s="707"/>
      <c r="CM508" s="707"/>
      <c r="CN508" s="707"/>
      <c r="CO508" s="707"/>
      <c r="CP508" s="707"/>
      <c r="CQ508" s="707"/>
      <c r="CR508" s="707"/>
      <c r="CS508" s="707"/>
      <c r="CT508" s="707"/>
      <c r="CU508" s="707"/>
      <c r="CV508" s="707"/>
      <c r="CW508" s="707"/>
      <c r="CX508" s="707"/>
      <c r="CY508" s="707"/>
      <c r="CZ508" s="707"/>
      <c r="DA508" s="707"/>
      <c r="DB508" s="707"/>
      <c r="DC508" s="707"/>
      <c r="DD508" s="707"/>
      <c r="DE508" s="707"/>
      <c r="DF508" s="707"/>
      <c r="DG508" s="707"/>
      <c r="DH508" s="707"/>
      <c r="DI508" s="707"/>
      <c r="DJ508" s="707"/>
      <c r="DK508" s="707"/>
      <c r="DL508" s="707"/>
      <c r="DM508" s="707"/>
      <c r="DN508" s="707"/>
      <c r="DO508" s="707"/>
      <c r="DP508" s="707"/>
      <c r="DQ508" s="707"/>
      <c r="DR508" s="707"/>
      <c r="DS508" s="707"/>
      <c r="DT508" s="707"/>
      <c r="DU508" s="707"/>
      <c r="DV508" s="707"/>
      <c r="DW508" s="707"/>
      <c r="DX508" s="707"/>
      <c r="DY508" s="707"/>
      <c r="DZ508" s="707"/>
      <c r="EA508" s="707"/>
      <c r="EB508" s="707"/>
      <c r="EC508" s="707"/>
      <c r="ED508" s="707"/>
      <c r="EE508" s="707"/>
      <c r="EF508" s="707"/>
      <c r="EG508" s="707"/>
      <c r="EH508" s="707"/>
      <c r="EI508" s="707"/>
      <c r="EJ508" s="707"/>
      <c r="EK508" s="707"/>
      <c r="EL508" s="707"/>
      <c r="EM508" s="707"/>
      <c r="EN508" s="707"/>
      <c r="EO508" s="707"/>
      <c r="EP508" s="707"/>
      <c r="EQ508" s="707"/>
      <c r="ER508" s="707"/>
      <c r="ES508" s="707"/>
      <c r="ET508" s="707"/>
      <c r="EU508" s="707"/>
      <c r="EV508" s="707"/>
      <c r="EW508" s="707"/>
      <c r="EX508" s="707"/>
      <c r="EY508" s="707"/>
      <c r="EZ508" s="707"/>
      <c r="FA508" s="707"/>
      <c r="FB508" s="707"/>
      <c r="FC508" s="707"/>
      <c r="FD508" s="707"/>
      <c r="FE508" s="707"/>
      <c r="FF508" s="707"/>
      <c r="FG508" s="707"/>
      <c r="FH508" s="707"/>
      <c r="FI508" s="707"/>
      <c r="FJ508" s="707"/>
      <c r="FK508" s="707"/>
      <c r="FL508" s="707"/>
      <c r="FM508" s="707"/>
      <c r="FN508" s="707"/>
      <c r="FO508" s="707"/>
      <c r="FP508" s="707"/>
      <c r="FQ508" s="707"/>
      <c r="FR508" s="707"/>
      <c r="FS508" s="707"/>
      <c r="FT508" s="707"/>
      <c r="FU508" s="707"/>
      <c r="FV508" s="707"/>
      <c r="FW508" s="707"/>
      <c r="FX508" s="707"/>
      <c r="FY508" s="707"/>
      <c r="FZ508" s="707"/>
      <c r="GA508" s="707"/>
      <c r="GB508" s="707"/>
      <c r="GC508" s="707"/>
      <c r="GD508" s="707"/>
      <c r="GE508" s="707"/>
      <c r="GF508" s="707"/>
      <c r="GG508" s="707"/>
      <c r="GH508" s="707"/>
      <c r="GI508" s="707"/>
      <c r="GJ508" s="707"/>
      <c r="GK508" s="707"/>
      <c r="GL508" s="707"/>
      <c r="GM508" s="707"/>
      <c r="GN508" s="707"/>
      <c r="GO508" s="707"/>
      <c r="GP508" s="707"/>
      <c r="GQ508" s="707"/>
      <c r="GR508" s="707"/>
      <c r="GS508" s="707"/>
      <c r="GT508" s="707"/>
      <c r="GU508" s="707"/>
      <c r="GV508" s="707"/>
      <c r="GW508" s="707"/>
      <c r="GX508" s="707"/>
      <c r="GY508" s="707"/>
      <c r="GZ508" s="707"/>
      <c r="HA508" s="707"/>
      <c r="HB508" s="707"/>
      <c r="HC508" s="707"/>
      <c r="HD508" s="707"/>
      <c r="HE508" s="707"/>
      <c r="HF508" s="707"/>
      <c r="HG508" s="707"/>
      <c r="HH508" s="707"/>
      <c r="HI508" s="707"/>
      <c r="HJ508" s="707"/>
      <c r="HK508" s="707"/>
      <c r="HL508" s="707"/>
      <c r="HM508" s="707"/>
      <c r="HN508" s="707"/>
      <c r="HO508" s="707"/>
      <c r="HP508" s="707"/>
      <c r="HQ508" s="707"/>
      <c r="HR508" s="707"/>
      <c r="HS508" s="707"/>
      <c r="HT508" s="707"/>
      <c r="HU508" s="707"/>
      <c r="HV508" s="707"/>
      <c r="HW508" s="707"/>
      <c r="HX508" s="707"/>
      <c r="HY508" s="707"/>
      <c r="HZ508" s="707"/>
      <c r="IA508" s="707"/>
      <c r="IB508" s="707"/>
      <c r="IC508" s="707"/>
      <c r="ID508" s="707"/>
      <c r="IE508" s="707"/>
      <c r="IF508" s="707"/>
      <c r="IG508" s="707"/>
      <c r="IH508" s="707"/>
      <c r="II508" s="707"/>
      <c r="IJ508" s="707"/>
      <c r="IK508" s="707"/>
      <c r="IL508" s="707"/>
      <c r="IM508" s="707"/>
      <c r="IN508" s="707"/>
      <c r="IO508" s="707"/>
      <c r="IP508" s="707"/>
      <c r="IQ508" s="707"/>
      <c r="IR508" s="707"/>
      <c r="IS508" s="707"/>
      <c r="IT508" s="707"/>
      <c r="IU508" s="707"/>
      <c r="IV508" s="707"/>
      <c r="IW508" s="707"/>
    </row>
    <row r="509" customFormat="false" ht="12.75" hidden="false" customHeight="false" outlineLevel="1" collapsed="false">
      <c r="A509" s="681"/>
      <c r="B509" s="706"/>
      <c r="C509" s="706"/>
      <c r="D509" s="706"/>
      <c r="E509" s="713"/>
      <c r="F509" s="713"/>
      <c r="G509" s="713"/>
      <c r="H509" s="713"/>
      <c r="I509" s="713"/>
      <c r="J509" s="713"/>
      <c r="K509" s="713"/>
      <c r="L509" s="713"/>
      <c r="M509" s="713"/>
      <c r="N509" s="713"/>
      <c r="O509" s="713"/>
      <c r="P509" s="713"/>
      <c r="Q509" s="713"/>
      <c r="R509" s="713"/>
      <c r="S509" s="713"/>
      <c r="T509" s="713"/>
      <c r="U509" s="713"/>
      <c r="V509" s="713"/>
      <c r="W509" s="713"/>
      <c r="X509" s="713"/>
      <c r="Y509" s="713"/>
      <c r="Z509" s="713"/>
      <c r="AA509" s="707"/>
      <c r="AB509" s="707"/>
      <c r="AC509" s="707"/>
      <c r="AD509" s="707"/>
      <c r="AE509" s="707"/>
      <c r="AF509" s="707"/>
      <c r="AG509" s="707"/>
      <c r="AH509" s="707"/>
      <c r="AI509" s="707"/>
      <c r="AJ509" s="707"/>
      <c r="AK509" s="707"/>
      <c r="AL509" s="707"/>
      <c r="AM509" s="707"/>
      <c r="AN509" s="707"/>
      <c r="AO509" s="707"/>
      <c r="AP509" s="707"/>
      <c r="AQ509" s="707"/>
      <c r="AR509" s="707"/>
      <c r="AS509" s="707"/>
      <c r="AT509" s="707"/>
      <c r="AU509" s="707"/>
      <c r="AV509" s="707"/>
      <c r="AW509" s="707"/>
      <c r="AX509" s="707"/>
      <c r="AY509" s="707"/>
      <c r="AZ509" s="707"/>
      <c r="BA509" s="707"/>
      <c r="BB509" s="707"/>
      <c r="BC509" s="707"/>
      <c r="BD509" s="707"/>
      <c r="BE509" s="707"/>
      <c r="BF509" s="707"/>
      <c r="BG509" s="707"/>
      <c r="BH509" s="707"/>
      <c r="BI509" s="707"/>
      <c r="BJ509" s="707"/>
      <c r="BK509" s="707"/>
      <c r="BL509" s="707"/>
      <c r="BM509" s="707"/>
      <c r="BN509" s="707"/>
      <c r="BO509" s="707"/>
      <c r="BP509" s="707"/>
      <c r="BQ509" s="707"/>
      <c r="BR509" s="707"/>
      <c r="BS509" s="707"/>
      <c r="BT509" s="707"/>
      <c r="BU509" s="707"/>
      <c r="BV509" s="707"/>
      <c r="BW509" s="707"/>
      <c r="BX509" s="707"/>
      <c r="BY509" s="707"/>
      <c r="BZ509" s="707"/>
      <c r="CA509" s="707"/>
      <c r="CB509" s="707"/>
      <c r="CC509" s="707"/>
      <c r="CD509" s="707"/>
      <c r="CE509" s="707"/>
      <c r="CF509" s="707"/>
      <c r="CG509" s="707"/>
      <c r="CH509" s="707"/>
      <c r="CI509" s="707"/>
      <c r="CJ509" s="707"/>
      <c r="CK509" s="707"/>
      <c r="CL509" s="707"/>
      <c r="CM509" s="707"/>
      <c r="CN509" s="707"/>
      <c r="CO509" s="707"/>
      <c r="CP509" s="707"/>
      <c r="CQ509" s="707"/>
      <c r="CR509" s="707"/>
      <c r="CS509" s="707"/>
      <c r="CT509" s="707"/>
      <c r="CU509" s="707"/>
      <c r="CV509" s="707"/>
      <c r="CW509" s="707"/>
      <c r="CX509" s="707"/>
      <c r="CY509" s="707"/>
      <c r="CZ509" s="707"/>
      <c r="DA509" s="707"/>
      <c r="DB509" s="707"/>
      <c r="DC509" s="707"/>
      <c r="DD509" s="707"/>
      <c r="DE509" s="707"/>
      <c r="DF509" s="707"/>
      <c r="DG509" s="707"/>
      <c r="DH509" s="707"/>
      <c r="DI509" s="707"/>
      <c r="DJ509" s="707"/>
      <c r="DK509" s="707"/>
      <c r="DL509" s="707"/>
      <c r="DM509" s="707"/>
      <c r="DN509" s="707"/>
      <c r="DO509" s="707"/>
      <c r="DP509" s="707"/>
      <c r="DQ509" s="707"/>
      <c r="DR509" s="707"/>
      <c r="DS509" s="707"/>
      <c r="DT509" s="707"/>
      <c r="DU509" s="707"/>
      <c r="DV509" s="707"/>
      <c r="DW509" s="707"/>
      <c r="DX509" s="707"/>
      <c r="DY509" s="707"/>
      <c r="DZ509" s="707"/>
      <c r="EA509" s="707"/>
      <c r="EB509" s="707"/>
      <c r="EC509" s="707"/>
      <c r="ED509" s="707"/>
      <c r="EE509" s="707"/>
      <c r="EF509" s="707"/>
      <c r="EG509" s="707"/>
      <c r="EH509" s="707"/>
      <c r="EI509" s="707"/>
      <c r="EJ509" s="707"/>
      <c r="EK509" s="707"/>
      <c r="EL509" s="707"/>
      <c r="EM509" s="707"/>
      <c r="EN509" s="707"/>
      <c r="EO509" s="707"/>
      <c r="EP509" s="707"/>
      <c r="EQ509" s="707"/>
      <c r="ER509" s="707"/>
      <c r="ES509" s="707"/>
      <c r="ET509" s="707"/>
      <c r="EU509" s="707"/>
      <c r="EV509" s="707"/>
      <c r="EW509" s="707"/>
      <c r="EX509" s="707"/>
      <c r="EY509" s="707"/>
      <c r="EZ509" s="707"/>
      <c r="FA509" s="707"/>
      <c r="FB509" s="707"/>
      <c r="FC509" s="707"/>
      <c r="FD509" s="707"/>
      <c r="FE509" s="707"/>
      <c r="FF509" s="707"/>
      <c r="FG509" s="707"/>
      <c r="FH509" s="707"/>
      <c r="FI509" s="707"/>
      <c r="FJ509" s="707"/>
      <c r="FK509" s="707"/>
      <c r="FL509" s="707"/>
      <c r="FM509" s="707"/>
      <c r="FN509" s="707"/>
      <c r="FO509" s="707"/>
      <c r="FP509" s="707"/>
      <c r="FQ509" s="707"/>
      <c r="FR509" s="707"/>
      <c r="FS509" s="707"/>
      <c r="FT509" s="707"/>
      <c r="FU509" s="707"/>
      <c r="FV509" s="707"/>
      <c r="FW509" s="707"/>
      <c r="FX509" s="707"/>
      <c r="FY509" s="707"/>
      <c r="FZ509" s="707"/>
      <c r="GA509" s="707"/>
      <c r="GB509" s="707"/>
      <c r="GC509" s="707"/>
      <c r="GD509" s="707"/>
      <c r="GE509" s="707"/>
      <c r="GF509" s="707"/>
      <c r="GG509" s="707"/>
      <c r="GH509" s="707"/>
      <c r="GI509" s="707"/>
      <c r="GJ509" s="707"/>
      <c r="GK509" s="707"/>
      <c r="GL509" s="707"/>
      <c r="GM509" s="707"/>
      <c r="GN509" s="707"/>
      <c r="GO509" s="707"/>
      <c r="GP509" s="707"/>
      <c r="GQ509" s="707"/>
      <c r="GR509" s="707"/>
      <c r="GS509" s="707"/>
      <c r="GT509" s="707"/>
      <c r="GU509" s="707"/>
      <c r="GV509" s="707"/>
      <c r="GW509" s="707"/>
      <c r="GX509" s="707"/>
      <c r="GY509" s="707"/>
      <c r="GZ509" s="707"/>
      <c r="HA509" s="707"/>
      <c r="HB509" s="707"/>
      <c r="HC509" s="707"/>
      <c r="HD509" s="707"/>
      <c r="HE509" s="707"/>
      <c r="HF509" s="707"/>
      <c r="HG509" s="707"/>
      <c r="HH509" s="707"/>
      <c r="HI509" s="707"/>
      <c r="HJ509" s="707"/>
      <c r="HK509" s="707"/>
      <c r="HL509" s="707"/>
      <c r="HM509" s="707"/>
      <c r="HN509" s="707"/>
      <c r="HO509" s="707"/>
      <c r="HP509" s="707"/>
      <c r="HQ509" s="707"/>
      <c r="HR509" s="707"/>
      <c r="HS509" s="707"/>
      <c r="HT509" s="707"/>
      <c r="HU509" s="707"/>
      <c r="HV509" s="707"/>
      <c r="HW509" s="707"/>
      <c r="HX509" s="707"/>
      <c r="HY509" s="707"/>
      <c r="HZ509" s="707"/>
      <c r="IA509" s="707"/>
      <c r="IB509" s="707"/>
      <c r="IC509" s="707"/>
      <c r="ID509" s="707"/>
      <c r="IE509" s="707"/>
      <c r="IF509" s="707"/>
      <c r="IG509" s="707"/>
      <c r="IH509" s="707"/>
      <c r="II509" s="707"/>
      <c r="IJ509" s="707"/>
      <c r="IK509" s="707"/>
      <c r="IL509" s="707"/>
      <c r="IM509" s="707"/>
      <c r="IN509" s="707"/>
      <c r="IO509" s="707"/>
      <c r="IP509" s="707"/>
      <c r="IQ509" s="707"/>
      <c r="IR509" s="707"/>
      <c r="IS509" s="707"/>
      <c r="IT509" s="707"/>
      <c r="IU509" s="707"/>
      <c r="IV509" s="707"/>
      <c r="IW509" s="707"/>
    </row>
    <row r="510" customFormat="false" ht="12.75" hidden="false" customHeight="false" outlineLevel="1" collapsed="false">
      <c r="A510" s="681"/>
      <c r="B510" s="706"/>
      <c r="C510" s="706"/>
      <c r="D510" s="706"/>
      <c r="E510" s="713"/>
      <c r="F510" s="713"/>
      <c r="G510" s="713"/>
      <c r="H510" s="713"/>
      <c r="I510" s="713"/>
      <c r="J510" s="713"/>
      <c r="K510" s="713"/>
      <c r="L510" s="713"/>
      <c r="M510" s="713"/>
      <c r="N510" s="713"/>
      <c r="O510" s="713"/>
      <c r="P510" s="713"/>
      <c r="Q510" s="713"/>
      <c r="R510" s="713"/>
      <c r="S510" s="713"/>
      <c r="T510" s="713"/>
      <c r="U510" s="713"/>
      <c r="V510" s="713"/>
      <c r="W510" s="713"/>
      <c r="X510" s="713"/>
      <c r="Y510" s="713"/>
      <c r="Z510" s="713"/>
      <c r="AA510" s="707"/>
      <c r="AB510" s="707"/>
      <c r="AC510" s="707"/>
      <c r="AD510" s="707"/>
      <c r="AE510" s="707"/>
      <c r="AF510" s="707"/>
      <c r="AG510" s="707"/>
      <c r="AH510" s="707"/>
      <c r="AI510" s="707"/>
      <c r="AJ510" s="707"/>
      <c r="AK510" s="707"/>
      <c r="AL510" s="707"/>
      <c r="AM510" s="707"/>
      <c r="AN510" s="707"/>
      <c r="AO510" s="707"/>
      <c r="AP510" s="707"/>
      <c r="AQ510" s="707"/>
      <c r="AR510" s="707"/>
      <c r="AS510" s="707"/>
      <c r="AT510" s="707"/>
      <c r="AU510" s="707"/>
      <c r="AV510" s="707"/>
      <c r="AW510" s="707"/>
      <c r="AX510" s="707"/>
      <c r="AY510" s="707"/>
      <c r="AZ510" s="707"/>
      <c r="BA510" s="707"/>
      <c r="BB510" s="707"/>
      <c r="BC510" s="707"/>
      <c r="BD510" s="707"/>
      <c r="BE510" s="707"/>
      <c r="BF510" s="707"/>
      <c r="BG510" s="707"/>
      <c r="BH510" s="707"/>
      <c r="BI510" s="707"/>
      <c r="BJ510" s="707"/>
      <c r="BK510" s="707"/>
      <c r="BL510" s="707"/>
      <c r="BM510" s="707"/>
      <c r="BN510" s="707"/>
      <c r="BO510" s="707"/>
      <c r="BP510" s="707"/>
      <c r="BQ510" s="707"/>
      <c r="BR510" s="707"/>
      <c r="BS510" s="707"/>
      <c r="BT510" s="707"/>
      <c r="BU510" s="707"/>
      <c r="BV510" s="707"/>
      <c r="BW510" s="707"/>
      <c r="BX510" s="707"/>
      <c r="BY510" s="707"/>
      <c r="BZ510" s="707"/>
      <c r="CA510" s="707"/>
      <c r="CB510" s="707"/>
      <c r="CC510" s="707"/>
      <c r="CD510" s="707"/>
      <c r="CE510" s="707"/>
      <c r="CF510" s="707"/>
      <c r="CG510" s="707"/>
      <c r="CH510" s="707"/>
      <c r="CI510" s="707"/>
      <c r="CJ510" s="707"/>
      <c r="CK510" s="707"/>
      <c r="CL510" s="707"/>
      <c r="CM510" s="707"/>
      <c r="CN510" s="707"/>
      <c r="CO510" s="707"/>
      <c r="CP510" s="707"/>
      <c r="CQ510" s="707"/>
      <c r="CR510" s="707"/>
      <c r="CS510" s="707"/>
      <c r="CT510" s="707"/>
      <c r="CU510" s="707"/>
      <c r="CV510" s="707"/>
      <c r="CW510" s="707"/>
      <c r="CX510" s="707"/>
      <c r="CY510" s="707"/>
      <c r="CZ510" s="707"/>
      <c r="DA510" s="707"/>
      <c r="DB510" s="707"/>
      <c r="DC510" s="707"/>
      <c r="DD510" s="707"/>
      <c r="DE510" s="707"/>
      <c r="DF510" s="707"/>
      <c r="DG510" s="707"/>
      <c r="DH510" s="707"/>
      <c r="DI510" s="707"/>
      <c r="DJ510" s="707"/>
      <c r="DK510" s="707"/>
      <c r="DL510" s="707"/>
      <c r="DM510" s="707"/>
      <c r="DN510" s="707"/>
      <c r="DO510" s="707"/>
      <c r="DP510" s="707"/>
      <c r="DQ510" s="707"/>
      <c r="DR510" s="707"/>
      <c r="DS510" s="707"/>
      <c r="DT510" s="707"/>
      <c r="DU510" s="707"/>
      <c r="DV510" s="707"/>
      <c r="DW510" s="707"/>
      <c r="DX510" s="707"/>
      <c r="DY510" s="707"/>
      <c r="DZ510" s="707"/>
      <c r="EA510" s="707"/>
      <c r="EB510" s="707"/>
      <c r="EC510" s="707"/>
      <c r="ED510" s="707"/>
      <c r="EE510" s="707"/>
      <c r="EF510" s="707"/>
      <c r="EG510" s="707"/>
      <c r="EH510" s="707"/>
      <c r="EI510" s="707"/>
      <c r="EJ510" s="707"/>
      <c r="EK510" s="707"/>
      <c r="EL510" s="707"/>
      <c r="EM510" s="707"/>
      <c r="EN510" s="707"/>
      <c r="EO510" s="707"/>
      <c r="EP510" s="707"/>
      <c r="EQ510" s="707"/>
      <c r="ER510" s="707"/>
      <c r="ES510" s="707"/>
      <c r="ET510" s="707"/>
      <c r="EU510" s="707"/>
      <c r="EV510" s="707"/>
      <c r="EW510" s="707"/>
      <c r="EX510" s="707"/>
      <c r="EY510" s="707"/>
      <c r="EZ510" s="707"/>
      <c r="FA510" s="707"/>
      <c r="FB510" s="707"/>
      <c r="FC510" s="707"/>
      <c r="FD510" s="707"/>
      <c r="FE510" s="707"/>
      <c r="FF510" s="707"/>
      <c r="FG510" s="707"/>
      <c r="FH510" s="707"/>
      <c r="FI510" s="707"/>
      <c r="FJ510" s="707"/>
      <c r="FK510" s="707"/>
      <c r="FL510" s="707"/>
      <c r="FM510" s="707"/>
      <c r="FN510" s="707"/>
      <c r="FO510" s="707"/>
      <c r="FP510" s="707"/>
      <c r="FQ510" s="707"/>
      <c r="FR510" s="707"/>
      <c r="FS510" s="707"/>
      <c r="FT510" s="707"/>
      <c r="FU510" s="707"/>
      <c r="FV510" s="707"/>
      <c r="FW510" s="707"/>
      <c r="FX510" s="707"/>
      <c r="FY510" s="707"/>
      <c r="FZ510" s="707"/>
      <c r="GA510" s="707"/>
      <c r="GB510" s="707"/>
      <c r="GC510" s="707"/>
      <c r="GD510" s="707"/>
      <c r="GE510" s="707"/>
      <c r="GF510" s="707"/>
      <c r="GG510" s="707"/>
      <c r="GH510" s="707"/>
      <c r="GI510" s="707"/>
      <c r="GJ510" s="707"/>
      <c r="GK510" s="707"/>
      <c r="GL510" s="707"/>
      <c r="GM510" s="707"/>
      <c r="GN510" s="707"/>
      <c r="GO510" s="707"/>
      <c r="GP510" s="707"/>
      <c r="GQ510" s="707"/>
      <c r="GR510" s="707"/>
      <c r="GS510" s="707"/>
      <c r="GT510" s="707"/>
      <c r="GU510" s="707"/>
      <c r="GV510" s="707"/>
      <c r="GW510" s="707"/>
      <c r="GX510" s="707"/>
      <c r="GY510" s="707"/>
      <c r="GZ510" s="707"/>
      <c r="HA510" s="707"/>
      <c r="HB510" s="707"/>
      <c r="HC510" s="707"/>
      <c r="HD510" s="707"/>
      <c r="HE510" s="707"/>
      <c r="HF510" s="707"/>
      <c r="HG510" s="707"/>
      <c r="HH510" s="707"/>
      <c r="HI510" s="707"/>
      <c r="HJ510" s="707"/>
      <c r="HK510" s="707"/>
      <c r="HL510" s="707"/>
      <c r="HM510" s="707"/>
      <c r="HN510" s="707"/>
      <c r="HO510" s="707"/>
      <c r="HP510" s="707"/>
      <c r="HQ510" s="707"/>
      <c r="HR510" s="707"/>
      <c r="HS510" s="707"/>
      <c r="HT510" s="707"/>
      <c r="HU510" s="707"/>
      <c r="HV510" s="707"/>
      <c r="HW510" s="707"/>
      <c r="HX510" s="707"/>
      <c r="HY510" s="707"/>
      <c r="HZ510" s="707"/>
      <c r="IA510" s="707"/>
      <c r="IB510" s="707"/>
      <c r="IC510" s="707"/>
      <c r="ID510" s="707"/>
      <c r="IE510" s="707"/>
      <c r="IF510" s="707"/>
      <c r="IG510" s="707"/>
      <c r="IH510" s="707"/>
      <c r="II510" s="707"/>
      <c r="IJ510" s="707"/>
      <c r="IK510" s="707"/>
      <c r="IL510" s="707"/>
      <c r="IM510" s="707"/>
      <c r="IN510" s="707"/>
      <c r="IO510" s="707"/>
      <c r="IP510" s="707"/>
      <c r="IQ510" s="707"/>
      <c r="IR510" s="707"/>
      <c r="IS510" s="707"/>
      <c r="IT510" s="707"/>
      <c r="IU510" s="707"/>
      <c r="IV510" s="707"/>
      <c r="IW510" s="707"/>
    </row>
    <row r="511" customFormat="false" ht="12.75" hidden="false" customHeight="false" outlineLevel="1" collapsed="false">
      <c r="A511" s="367"/>
      <c r="B511" s="706"/>
      <c r="C511" s="706"/>
      <c r="D511" s="706"/>
      <c r="E511" s="713"/>
      <c r="F511" s="713"/>
      <c r="G511" s="713"/>
      <c r="H511" s="713"/>
      <c r="I511" s="713"/>
      <c r="J511" s="713"/>
      <c r="K511" s="713"/>
      <c r="L511" s="713"/>
      <c r="M511" s="713"/>
      <c r="N511" s="713"/>
      <c r="O511" s="713"/>
      <c r="P511" s="713"/>
      <c r="Q511" s="713"/>
      <c r="R511" s="713"/>
      <c r="S511" s="713"/>
      <c r="T511" s="713"/>
      <c r="U511" s="713"/>
      <c r="V511" s="713"/>
      <c r="W511" s="713"/>
      <c r="X511" s="713"/>
      <c r="Y511" s="713"/>
      <c r="Z511" s="713"/>
      <c r="AA511" s="707"/>
      <c r="AB511" s="707"/>
      <c r="AC511" s="707"/>
      <c r="AD511" s="707"/>
      <c r="AE511" s="707"/>
      <c r="AF511" s="707"/>
      <c r="AG511" s="707"/>
      <c r="AH511" s="707"/>
      <c r="AI511" s="707"/>
      <c r="AJ511" s="707"/>
      <c r="AK511" s="707"/>
      <c r="AL511" s="707"/>
      <c r="AM511" s="707"/>
      <c r="AN511" s="707"/>
      <c r="AO511" s="707"/>
      <c r="AP511" s="707"/>
      <c r="AQ511" s="707"/>
      <c r="AR511" s="707"/>
      <c r="AS511" s="707"/>
      <c r="AT511" s="707"/>
      <c r="AU511" s="707"/>
      <c r="AV511" s="707"/>
      <c r="AW511" s="707"/>
      <c r="AX511" s="707"/>
      <c r="AY511" s="707"/>
      <c r="AZ511" s="707"/>
      <c r="BA511" s="707"/>
      <c r="BB511" s="707"/>
      <c r="BC511" s="707"/>
      <c r="BD511" s="707"/>
      <c r="BE511" s="707"/>
      <c r="BF511" s="707"/>
      <c r="BG511" s="707"/>
      <c r="BH511" s="707"/>
      <c r="BI511" s="707"/>
      <c r="BJ511" s="707"/>
      <c r="BK511" s="707"/>
      <c r="BL511" s="707"/>
      <c r="BM511" s="707"/>
      <c r="BN511" s="707"/>
      <c r="BO511" s="707"/>
      <c r="BP511" s="707"/>
      <c r="BQ511" s="707"/>
      <c r="BR511" s="707"/>
      <c r="BS511" s="707"/>
      <c r="BT511" s="707"/>
      <c r="BU511" s="707"/>
      <c r="BV511" s="707"/>
      <c r="BW511" s="707"/>
      <c r="BX511" s="707"/>
      <c r="BY511" s="707"/>
      <c r="BZ511" s="707"/>
      <c r="CA511" s="707"/>
      <c r="CB511" s="707"/>
      <c r="CC511" s="707"/>
      <c r="CD511" s="707"/>
      <c r="CE511" s="707"/>
      <c r="CF511" s="707"/>
      <c r="CG511" s="707"/>
      <c r="CH511" s="707"/>
      <c r="CI511" s="707"/>
      <c r="CJ511" s="707"/>
      <c r="CK511" s="707"/>
      <c r="CL511" s="707"/>
      <c r="CM511" s="707"/>
      <c r="CN511" s="707"/>
      <c r="CO511" s="707"/>
      <c r="CP511" s="707"/>
      <c r="CQ511" s="707"/>
      <c r="CR511" s="707"/>
      <c r="CS511" s="707"/>
      <c r="CT511" s="707"/>
      <c r="CU511" s="707"/>
      <c r="CV511" s="707"/>
      <c r="CW511" s="707"/>
      <c r="CX511" s="707"/>
      <c r="CY511" s="707"/>
      <c r="CZ511" s="707"/>
      <c r="DA511" s="707"/>
      <c r="DB511" s="707"/>
      <c r="DC511" s="707"/>
      <c r="DD511" s="707"/>
      <c r="DE511" s="707"/>
      <c r="DF511" s="707"/>
      <c r="DG511" s="707"/>
      <c r="DH511" s="707"/>
      <c r="DI511" s="707"/>
      <c r="DJ511" s="707"/>
      <c r="DK511" s="707"/>
      <c r="DL511" s="707"/>
      <c r="DM511" s="707"/>
      <c r="DN511" s="707"/>
      <c r="DO511" s="707"/>
      <c r="DP511" s="707"/>
      <c r="DQ511" s="707"/>
      <c r="DR511" s="707"/>
      <c r="DS511" s="707"/>
      <c r="DT511" s="707"/>
      <c r="DU511" s="707"/>
      <c r="DV511" s="707"/>
      <c r="DW511" s="707"/>
      <c r="DX511" s="707"/>
      <c r="DY511" s="707"/>
      <c r="DZ511" s="707"/>
      <c r="EA511" s="707"/>
      <c r="EB511" s="707"/>
      <c r="EC511" s="707"/>
      <c r="ED511" s="707"/>
      <c r="EE511" s="707"/>
      <c r="EF511" s="707"/>
      <c r="EG511" s="707"/>
      <c r="EH511" s="707"/>
      <c r="EI511" s="707"/>
      <c r="EJ511" s="707"/>
      <c r="EK511" s="707"/>
      <c r="EL511" s="707"/>
      <c r="EM511" s="707"/>
      <c r="EN511" s="707"/>
      <c r="EO511" s="707"/>
      <c r="EP511" s="707"/>
      <c r="EQ511" s="707"/>
      <c r="ER511" s="707"/>
      <c r="ES511" s="707"/>
      <c r="ET511" s="707"/>
      <c r="EU511" s="707"/>
      <c r="EV511" s="707"/>
      <c r="EW511" s="707"/>
      <c r="EX511" s="707"/>
      <c r="EY511" s="707"/>
      <c r="EZ511" s="707"/>
      <c r="FA511" s="707"/>
      <c r="FB511" s="707"/>
      <c r="FC511" s="707"/>
      <c r="FD511" s="707"/>
      <c r="FE511" s="707"/>
      <c r="FF511" s="707"/>
      <c r="FG511" s="707"/>
      <c r="FH511" s="707"/>
      <c r="FI511" s="707"/>
      <c r="FJ511" s="707"/>
      <c r="FK511" s="707"/>
      <c r="FL511" s="707"/>
      <c r="FM511" s="707"/>
      <c r="FN511" s="707"/>
      <c r="FO511" s="707"/>
      <c r="FP511" s="707"/>
      <c r="FQ511" s="707"/>
      <c r="FR511" s="707"/>
      <c r="FS511" s="707"/>
      <c r="FT511" s="707"/>
      <c r="FU511" s="707"/>
      <c r="FV511" s="707"/>
      <c r="FW511" s="707"/>
      <c r="FX511" s="707"/>
      <c r="FY511" s="707"/>
      <c r="FZ511" s="707"/>
      <c r="GA511" s="707"/>
      <c r="GB511" s="707"/>
      <c r="GC511" s="707"/>
      <c r="GD511" s="707"/>
      <c r="GE511" s="707"/>
      <c r="GF511" s="707"/>
      <c r="GG511" s="707"/>
      <c r="GH511" s="707"/>
      <c r="GI511" s="707"/>
      <c r="GJ511" s="707"/>
      <c r="GK511" s="707"/>
      <c r="GL511" s="707"/>
      <c r="GM511" s="707"/>
      <c r="GN511" s="707"/>
      <c r="GO511" s="707"/>
      <c r="GP511" s="707"/>
      <c r="GQ511" s="707"/>
      <c r="GR511" s="707"/>
      <c r="GS511" s="707"/>
      <c r="GT511" s="707"/>
      <c r="GU511" s="707"/>
      <c r="GV511" s="707"/>
      <c r="GW511" s="707"/>
      <c r="GX511" s="707"/>
      <c r="GY511" s="707"/>
      <c r="GZ511" s="707"/>
      <c r="HA511" s="707"/>
      <c r="HB511" s="707"/>
      <c r="HC511" s="707"/>
      <c r="HD511" s="707"/>
      <c r="HE511" s="707"/>
      <c r="HF511" s="707"/>
      <c r="HG511" s="707"/>
      <c r="HH511" s="707"/>
      <c r="HI511" s="707"/>
      <c r="HJ511" s="707"/>
      <c r="HK511" s="707"/>
      <c r="HL511" s="707"/>
      <c r="HM511" s="707"/>
      <c r="HN511" s="707"/>
      <c r="HO511" s="707"/>
      <c r="HP511" s="707"/>
      <c r="HQ511" s="707"/>
      <c r="HR511" s="707"/>
      <c r="HS511" s="707"/>
      <c r="HT511" s="707"/>
      <c r="HU511" s="707"/>
      <c r="HV511" s="707"/>
      <c r="HW511" s="707"/>
      <c r="HX511" s="707"/>
      <c r="HY511" s="707"/>
      <c r="HZ511" s="707"/>
      <c r="IA511" s="707"/>
      <c r="IB511" s="707"/>
      <c r="IC511" s="707"/>
      <c r="ID511" s="707"/>
      <c r="IE511" s="707"/>
      <c r="IF511" s="707"/>
      <c r="IG511" s="707"/>
      <c r="IH511" s="707"/>
      <c r="II511" s="707"/>
      <c r="IJ511" s="707"/>
      <c r="IK511" s="707"/>
      <c r="IL511" s="707"/>
      <c r="IM511" s="707"/>
      <c r="IN511" s="707"/>
      <c r="IO511" s="707"/>
      <c r="IP511" s="707"/>
      <c r="IQ511" s="707"/>
      <c r="IR511" s="707"/>
      <c r="IS511" s="707"/>
      <c r="IT511" s="707"/>
      <c r="IU511" s="707"/>
      <c r="IV511" s="707"/>
      <c r="IW511" s="707"/>
    </row>
    <row r="512" customFormat="false" ht="12.75" hidden="false" customHeight="false" outlineLevel="1" collapsed="false">
      <c r="A512" s="720"/>
      <c r="B512" s="725"/>
      <c r="C512" s="725"/>
      <c r="D512" s="725"/>
      <c r="E512" s="713"/>
      <c r="F512" s="713"/>
      <c r="G512" s="713"/>
      <c r="H512" s="713"/>
      <c r="I512" s="713"/>
      <c r="J512" s="713"/>
      <c r="K512" s="713"/>
      <c r="L512" s="713"/>
      <c r="M512" s="713"/>
      <c r="N512" s="713"/>
      <c r="O512" s="713"/>
      <c r="P512" s="713"/>
      <c r="Q512" s="713"/>
      <c r="R512" s="713"/>
      <c r="S512" s="713"/>
      <c r="T512" s="713"/>
      <c r="U512" s="713"/>
      <c r="V512" s="713"/>
      <c r="W512" s="713"/>
      <c r="X512" s="713"/>
      <c r="Y512" s="713"/>
      <c r="Z512" s="713"/>
      <c r="AA512" s="722"/>
      <c r="AB512" s="722"/>
      <c r="AC512" s="722"/>
      <c r="AD512" s="722"/>
      <c r="AE512" s="722"/>
      <c r="AF512" s="722"/>
      <c r="AG512" s="722"/>
      <c r="AH512" s="722"/>
      <c r="AI512" s="722"/>
      <c r="AJ512" s="722"/>
      <c r="AK512" s="722"/>
      <c r="AL512" s="722"/>
      <c r="AM512" s="722"/>
      <c r="AN512" s="722"/>
      <c r="AO512" s="722"/>
      <c r="AP512" s="722"/>
      <c r="AQ512" s="722"/>
      <c r="AR512" s="722"/>
      <c r="AS512" s="722"/>
      <c r="AT512" s="722"/>
      <c r="AU512" s="722"/>
      <c r="AV512" s="722"/>
      <c r="AW512" s="722"/>
      <c r="AX512" s="722"/>
      <c r="AY512" s="722"/>
      <c r="AZ512" s="722"/>
      <c r="BA512" s="722"/>
      <c r="BB512" s="722"/>
      <c r="BC512" s="722"/>
      <c r="BD512" s="722"/>
      <c r="BE512" s="722"/>
      <c r="BF512" s="722"/>
      <c r="BG512" s="722"/>
      <c r="BH512" s="722"/>
      <c r="BI512" s="722"/>
      <c r="BJ512" s="722"/>
      <c r="BK512" s="722"/>
      <c r="BL512" s="722"/>
      <c r="BM512" s="722"/>
      <c r="BN512" s="722"/>
      <c r="BO512" s="722"/>
      <c r="BP512" s="722"/>
      <c r="BQ512" s="722"/>
      <c r="BR512" s="722"/>
      <c r="BS512" s="722"/>
      <c r="BT512" s="722"/>
      <c r="BU512" s="722"/>
      <c r="BV512" s="722"/>
      <c r="BW512" s="722"/>
      <c r="BX512" s="722"/>
      <c r="BY512" s="722"/>
      <c r="BZ512" s="722"/>
      <c r="CA512" s="722"/>
      <c r="CB512" s="722"/>
      <c r="CC512" s="722"/>
      <c r="CD512" s="722"/>
      <c r="CE512" s="722"/>
      <c r="CF512" s="722"/>
      <c r="CG512" s="722"/>
      <c r="CH512" s="722"/>
      <c r="CI512" s="722"/>
      <c r="CJ512" s="722"/>
      <c r="CK512" s="722"/>
      <c r="CL512" s="722"/>
      <c r="CM512" s="722"/>
      <c r="CN512" s="722"/>
      <c r="CO512" s="722"/>
      <c r="CP512" s="722"/>
      <c r="CQ512" s="722"/>
      <c r="CR512" s="722"/>
      <c r="CS512" s="722"/>
      <c r="CT512" s="722"/>
      <c r="CU512" s="722"/>
      <c r="CV512" s="722"/>
      <c r="CW512" s="722"/>
      <c r="CX512" s="722"/>
      <c r="CY512" s="722"/>
      <c r="CZ512" s="722"/>
      <c r="DA512" s="722"/>
      <c r="DB512" s="722"/>
      <c r="DC512" s="722"/>
      <c r="DD512" s="722"/>
      <c r="DE512" s="722"/>
      <c r="DF512" s="722"/>
      <c r="DG512" s="722"/>
      <c r="DH512" s="722"/>
      <c r="DI512" s="722"/>
      <c r="DJ512" s="722"/>
      <c r="DK512" s="722"/>
      <c r="DL512" s="722"/>
      <c r="DM512" s="722"/>
      <c r="DN512" s="722"/>
      <c r="DO512" s="722"/>
      <c r="DP512" s="722"/>
      <c r="DQ512" s="722"/>
      <c r="DR512" s="722"/>
      <c r="DS512" s="722"/>
      <c r="DT512" s="722"/>
      <c r="DU512" s="722"/>
      <c r="DV512" s="722"/>
      <c r="DW512" s="722"/>
      <c r="DX512" s="722"/>
      <c r="DY512" s="722"/>
      <c r="DZ512" s="722"/>
      <c r="EA512" s="722"/>
      <c r="EB512" s="722"/>
      <c r="EC512" s="722"/>
      <c r="ED512" s="722"/>
      <c r="EE512" s="722"/>
      <c r="EF512" s="722"/>
      <c r="EG512" s="722"/>
      <c r="EH512" s="722"/>
      <c r="EI512" s="722"/>
      <c r="EJ512" s="722"/>
      <c r="EK512" s="722"/>
      <c r="EL512" s="722"/>
      <c r="EM512" s="722"/>
      <c r="EN512" s="722"/>
      <c r="EO512" s="722"/>
      <c r="EP512" s="722"/>
      <c r="EQ512" s="722"/>
      <c r="ER512" s="722"/>
      <c r="ES512" s="722"/>
      <c r="ET512" s="722"/>
      <c r="EU512" s="722"/>
      <c r="EV512" s="722"/>
      <c r="EW512" s="722"/>
      <c r="EX512" s="722"/>
      <c r="EY512" s="722"/>
      <c r="EZ512" s="722"/>
      <c r="FA512" s="722"/>
      <c r="FB512" s="722"/>
      <c r="FC512" s="722"/>
      <c r="FD512" s="722"/>
      <c r="FE512" s="722"/>
      <c r="FF512" s="722"/>
      <c r="FG512" s="722"/>
      <c r="FH512" s="722"/>
      <c r="FI512" s="722"/>
      <c r="FJ512" s="722"/>
      <c r="FK512" s="722"/>
      <c r="FL512" s="722"/>
      <c r="FM512" s="722"/>
      <c r="FN512" s="722"/>
      <c r="FO512" s="722"/>
      <c r="FP512" s="722"/>
      <c r="FQ512" s="722"/>
      <c r="FR512" s="722"/>
      <c r="FS512" s="722"/>
      <c r="FT512" s="722"/>
      <c r="FU512" s="722"/>
      <c r="FV512" s="722"/>
      <c r="FW512" s="722"/>
      <c r="FX512" s="722"/>
      <c r="FY512" s="722"/>
      <c r="FZ512" s="722"/>
      <c r="GA512" s="722"/>
      <c r="GB512" s="722"/>
      <c r="GC512" s="722"/>
      <c r="GD512" s="722"/>
      <c r="GE512" s="722"/>
      <c r="GF512" s="722"/>
      <c r="GG512" s="722"/>
      <c r="GH512" s="722"/>
      <c r="GI512" s="722"/>
      <c r="GJ512" s="722"/>
      <c r="GK512" s="722"/>
      <c r="GL512" s="722"/>
      <c r="GM512" s="722"/>
      <c r="GN512" s="722"/>
      <c r="GO512" s="722"/>
      <c r="GP512" s="722"/>
      <c r="GQ512" s="722"/>
      <c r="GR512" s="722"/>
      <c r="GS512" s="722"/>
      <c r="GT512" s="722"/>
      <c r="GU512" s="722"/>
      <c r="GV512" s="722"/>
      <c r="GW512" s="722"/>
      <c r="GX512" s="722"/>
      <c r="GY512" s="722"/>
      <c r="GZ512" s="722"/>
      <c r="HA512" s="722"/>
      <c r="HB512" s="722"/>
      <c r="HC512" s="722"/>
      <c r="HD512" s="722"/>
      <c r="HE512" s="722"/>
      <c r="HF512" s="722"/>
      <c r="HG512" s="722"/>
      <c r="HH512" s="722"/>
      <c r="HI512" s="722"/>
      <c r="HJ512" s="722"/>
      <c r="HK512" s="722"/>
      <c r="HL512" s="722"/>
      <c r="HM512" s="722"/>
      <c r="HN512" s="722"/>
      <c r="HO512" s="722"/>
      <c r="HP512" s="722"/>
      <c r="HQ512" s="722"/>
      <c r="HR512" s="722"/>
      <c r="HS512" s="722"/>
      <c r="HT512" s="722"/>
      <c r="HU512" s="722"/>
      <c r="HV512" s="722"/>
      <c r="HW512" s="722"/>
      <c r="HX512" s="722"/>
      <c r="HY512" s="722"/>
      <c r="HZ512" s="722"/>
      <c r="IA512" s="722"/>
      <c r="IB512" s="722"/>
      <c r="IC512" s="722"/>
      <c r="ID512" s="722"/>
      <c r="IE512" s="722"/>
      <c r="IF512" s="722"/>
      <c r="IG512" s="722"/>
      <c r="IH512" s="722"/>
      <c r="II512" s="722"/>
      <c r="IJ512" s="722"/>
      <c r="IK512" s="722"/>
      <c r="IL512" s="722"/>
      <c r="IM512" s="722"/>
      <c r="IN512" s="722"/>
      <c r="IO512" s="722"/>
      <c r="IP512" s="722"/>
      <c r="IQ512" s="722"/>
      <c r="IR512" s="722"/>
      <c r="IS512" s="722"/>
      <c r="IT512" s="722"/>
      <c r="IU512" s="722"/>
      <c r="IV512" s="722"/>
      <c r="IW512" s="722"/>
    </row>
    <row r="513" customFormat="false" ht="12.75" hidden="false" customHeight="false" outlineLevel="1" collapsed="false">
      <c r="A513" s="367"/>
      <c r="B513" s="726"/>
      <c r="C513" s="726"/>
      <c r="D513" s="726"/>
      <c r="E513" s="713"/>
      <c r="F513" s="713"/>
      <c r="G513" s="713"/>
      <c r="H513" s="713"/>
      <c r="I513" s="713"/>
      <c r="J513" s="713"/>
      <c r="K513" s="713"/>
      <c r="L513" s="713"/>
      <c r="M513" s="713"/>
      <c r="N513" s="713"/>
      <c r="O513" s="713"/>
      <c r="P513" s="713"/>
      <c r="Q513" s="713"/>
      <c r="R513" s="713"/>
      <c r="S513" s="713"/>
      <c r="T513" s="713"/>
      <c r="U513" s="713"/>
      <c r="V513" s="713"/>
      <c r="W513" s="713"/>
      <c r="X513" s="713"/>
      <c r="Y513" s="713"/>
      <c r="Z513" s="713"/>
      <c r="AA513" s="707"/>
      <c r="AB513" s="707"/>
      <c r="AC513" s="707"/>
      <c r="AD513" s="707"/>
      <c r="AE513" s="707"/>
      <c r="AF513" s="707"/>
      <c r="AG513" s="707"/>
      <c r="AH513" s="707"/>
      <c r="AI513" s="707"/>
      <c r="AJ513" s="707"/>
      <c r="AK513" s="707"/>
      <c r="AL513" s="707"/>
      <c r="AM513" s="707"/>
      <c r="AN513" s="707"/>
      <c r="AO513" s="707"/>
      <c r="AP513" s="707"/>
      <c r="AQ513" s="707"/>
      <c r="AR513" s="707"/>
      <c r="AS513" s="707"/>
      <c r="AT513" s="707"/>
      <c r="AU513" s="707"/>
      <c r="AV513" s="707"/>
      <c r="AW513" s="707"/>
      <c r="AX513" s="707"/>
      <c r="AY513" s="707"/>
      <c r="AZ513" s="707"/>
      <c r="BA513" s="707"/>
      <c r="BB513" s="707"/>
      <c r="BC513" s="707"/>
      <c r="BD513" s="707"/>
      <c r="BE513" s="707"/>
      <c r="BF513" s="707"/>
      <c r="BG513" s="707"/>
      <c r="BH513" s="707"/>
      <c r="BI513" s="707"/>
      <c r="BJ513" s="707"/>
      <c r="BK513" s="707"/>
      <c r="BL513" s="707"/>
      <c r="BM513" s="707"/>
      <c r="BN513" s="707"/>
      <c r="BO513" s="707"/>
      <c r="BP513" s="707"/>
      <c r="BQ513" s="707"/>
      <c r="BR513" s="707"/>
      <c r="BS513" s="707"/>
      <c r="BT513" s="707"/>
      <c r="BU513" s="707"/>
      <c r="BV513" s="707"/>
      <c r="BW513" s="707"/>
      <c r="BX513" s="707"/>
      <c r="BY513" s="707"/>
      <c r="BZ513" s="707"/>
      <c r="CA513" s="707"/>
      <c r="CB513" s="707"/>
      <c r="CC513" s="707"/>
      <c r="CD513" s="707"/>
      <c r="CE513" s="707"/>
      <c r="CF513" s="707"/>
      <c r="CG513" s="707"/>
      <c r="CH513" s="707"/>
      <c r="CI513" s="707"/>
      <c r="CJ513" s="707"/>
      <c r="CK513" s="707"/>
      <c r="CL513" s="707"/>
      <c r="CM513" s="707"/>
      <c r="CN513" s="707"/>
      <c r="CO513" s="707"/>
      <c r="CP513" s="707"/>
      <c r="CQ513" s="707"/>
      <c r="CR513" s="707"/>
      <c r="CS513" s="707"/>
      <c r="CT513" s="707"/>
      <c r="CU513" s="707"/>
      <c r="CV513" s="707"/>
      <c r="CW513" s="707"/>
      <c r="CX513" s="707"/>
      <c r="CY513" s="707"/>
      <c r="CZ513" s="707"/>
      <c r="DA513" s="707"/>
      <c r="DB513" s="707"/>
      <c r="DC513" s="707"/>
      <c r="DD513" s="707"/>
      <c r="DE513" s="707"/>
      <c r="DF513" s="707"/>
      <c r="DG513" s="707"/>
      <c r="DH513" s="707"/>
      <c r="DI513" s="707"/>
      <c r="DJ513" s="707"/>
      <c r="DK513" s="707"/>
      <c r="DL513" s="707"/>
      <c r="DM513" s="707"/>
      <c r="DN513" s="707"/>
      <c r="DO513" s="707"/>
      <c r="DP513" s="707"/>
      <c r="DQ513" s="707"/>
      <c r="DR513" s="707"/>
      <c r="DS513" s="707"/>
      <c r="DT513" s="707"/>
      <c r="DU513" s="707"/>
      <c r="DV513" s="707"/>
      <c r="DW513" s="707"/>
      <c r="DX513" s="707"/>
      <c r="DY513" s="707"/>
      <c r="DZ513" s="707"/>
      <c r="EA513" s="707"/>
      <c r="EB513" s="707"/>
      <c r="EC513" s="707"/>
      <c r="ED513" s="707"/>
      <c r="EE513" s="707"/>
      <c r="EF513" s="707"/>
      <c r="EG513" s="707"/>
      <c r="EH513" s="707"/>
      <c r="EI513" s="707"/>
      <c r="EJ513" s="707"/>
      <c r="EK513" s="707"/>
      <c r="EL513" s="707"/>
      <c r="EM513" s="707"/>
      <c r="EN513" s="707"/>
      <c r="EO513" s="707"/>
      <c r="EP513" s="707"/>
      <c r="EQ513" s="707"/>
      <c r="ER513" s="707"/>
      <c r="ES513" s="707"/>
      <c r="ET513" s="707"/>
      <c r="EU513" s="707"/>
      <c r="EV513" s="707"/>
      <c r="EW513" s="707"/>
      <c r="EX513" s="707"/>
      <c r="EY513" s="707"/>
      <c r="EZ513" s="707"/>
      <c r="FA513" s="707"/>
      <c r="FB513" s="707"/>
      <c r="FC513" s="707"/>
      <c r="FD513" s="707"/>
      <c r="FE513" s="707"/>
      <c r="FF513" s="707"/>
      <c r="FG513" s="707"/>
      <c r="FH513" s="707"/>
      <c r="FI513" s="707"/>
      <c r="FJ513" s="707"/>
      <c r="FK513" s="707"/>
      <c r="FL513" s="707"/>
      <c r="FM513" s="707"/>
      <c r="FN513" s="707"/>
      <c r="FO513" s="707"/>
      <c r="FP513" s="707"/>
      <c r="FQ513" s="707"/>
      <c r="FR513" s="707"/>
      <c r="FS513" s="707"/>
      <c r="FT513" s="707"/>
      <c r="FU513" s="707"/>
      <c r="FV513" s="707"/>
      <c r="FW513" s="707"/>
      <c r="FX513" s="707"/>
      <c r="FY513" s="707"/>
      <c r="FZ513" s="707"/>
      <c r="GA513" s="707"/>
      <c r="GB513" s="707"/>
      <c r="GC513" s="707"/>
      <c r="GD513" s="707"/>
      <c r="GE513" s="707"/>
      <c r="GF513" s="707"/>
      <c r="GG513" s="707"/>
      <c r="GH513" s="707"/>
      <c r="GI513" s="707"/>
      <c r="GJ513" s="707"/>
      <c r="GK513" s="707"/>
      <c r="GL513" s="707"/>
      <c r="GM513" s="707"/>
      <c r="GN513" s="707"/>
      <c r="GO513" s="707"/>
      <c r="GP513" s="707"/>
      <c r="GQ513" s="707"/>
      <c r="GR513" s="707"/>
      <c r="GS513" s="707"/>
      <c r="GT513" s="707"/>
      <c r="GU513" s="707"/>
      <c r="GV513" s="707"/>
      <c r="GW513" s="707"/>
      <c r="GX513" s="707"/>
      <c r="GY513" s="707"/>
      <c r="GZ513" s="707"/>
      <c r="HA513" s="707"/>
      <c r="HB513" s="707"/>
      <c r="HC513" s="707"/>
      <c r="HD513" s="707"/>
      <c r="HE513" s="707"/>
      <c r="HF513" s="707"/>
      <c r="HG513" s="707"/>
      <c r="HH513" s="707"/>
      <c r="HI513" s="707"/>
      <c r="HJ513" s="707"/>
      <c r="HK513" s="707"/>
      <c r="HL513" s="707"/>
      <c r="HM513" s="707"/>
      <c r="HN513" s="707"/>
      <c r="HO513" s="707"/>
      <c r="HP513" s="707"/>
      <c r="HQ513" s="707"/>
      <c r="HR513" s="707"/>
      <c r="HS513" s="707"/>
      <c r="HT513" s="707"/>
      <c r="HU513" s="707"/>
      <c r="HV513" s="707"/>
      <c r="HW513" s="707"/>
      <c r="HX513" s="707"/>
      <c r="HY513" s="707"/>
      <c r="HZ513" s="707"/>
      <c r="IA513" s="707"/>
      <c r="IB513" s="707"/>
      <c r="IC513" s="707"/>
      <c r="ID513" s="707"/>
      <c r="IE513" s="707"/>
      <c r="IF513" s="707"/>
      <c r="IG513" s="707"/>
      <c r="IH513" s="707"/>
      <c r="II513" s="707"/>
      <c r="IJ513" s="707"/>
      <c r="IK513" s="707"/>
      <c r="IL513" s="707"/>
      <c r="IM513" s="707"/>
      <c r="IN513" s="707"/>
      <c r="IO513" s="707"/>
      <c r="IP513" s="707"/>
      <c r="IQ513" s="707"/>
      <c r="IR513" s="707"/>
      <c r="IS513" s="707"/>
      <c r="IT513" s="707"/>
      <c r="IU513" s="707"/>
      <c r="IV513" s="707"/>
      <c r="IW513" s="707"/>
    </row>
    <row r="514" customFormat="false" ht="12.75" hidden="false" customHeight="false" outlineLevel="1" collapsed="false">
      <c r="A514" s="681"/>
      <c r="B514" s="726"/>
      <c r="C514" s="726"/>
      <c r="D514" s="726"/>
      <c r="E514" s="713"/>
      <c r="F514" s="713"/>
      <c r="G514" s="713"/>
      <c r="H514" s="713"/>
      <c r="I514" s="713"/>
      <c r="J514" s="713"/>
      <c r="K514" s="713"/>
      <c r="L514" s="713"/>
      <c r="M514" s="713"/>
      <c r="N514" s="713"/>
      <c r="O514" s="713"/>
      <c r="P514" s="713"/>
      <c r="Q514" s="713"/>
      <c r="R514" s="713"/>
      <c r="S514" s="713"/>
      <c r="T514" s="713"/>
      <c r="U514" s="713"/>
      <c r="V514" s="713"/>
      <c r="W514" s="713"/>
      <c r="X514" s="713"/>
      <c r="Y514" s="713"/>
      <c r="Z514" s="713"/>
      <c r="AA514" s="707"/>
      <c r="AB514" s="707"/>
      <c r="AC514" s="707"/>
      <c r="AD514" s="707"/>
      <c r="AE514" s="707"/>
      <c r="AF514" s="707"/>
      <c r="AG514" s="707"/>
      <c r="AH514" s="707"/>
      <c r="AI514" s="707"/>
      <c r="AJ514" s="707"/>
      <c r="AK514" s="707"/>
      <c r="AL514" s="707"/>
      <c r="AM514" s="707"/>
      <c r="AN514" s="707"/>
      <c r="AO514" s="707"/>
      <c r="AP514" s="707"/>
      <c r="AQ514" s="707"/>
      <c r="AR514" s="707"/>
      <c r="AS514" s="707"/>
      <c r="AT514" s="707"/>
      <c r="AU514" s="707"/>
      <c r="AV514" s="707"/>
      <c r="AW514" s="707"/>
      <c r="AX514" s="707"/>
      <c r="AY514" s="707"/>
      <c r="AZ514" s="707"/>
      <c r="BA514" s="707"/>
      <c r="BB514" s="707"/>
      <c r="BC514" s="707"/>
      <c r="BD514" s="707"/>
      <c r="BE514" s="707"/>
      <c r="BF514" s="707"/>
      <c r="BG514" s="707"/>
      <c r="BH514" s="707"/>
      <c r="BI514" s="707"/>
      <c r="BJ514" s="707"/>
      <c r="BK514" s="707"/>
      <c r="BL514" s="707"/>
      <c r="BM514" s="707"/>
      <c r="BN514" s="707"/>
      <c r="BO514" s="707"/>
      <c r="BP514" s="707"/>
      <c r="BQ514" s="707"/>
      <c r="BR514" s="707"/>
      <c r="BS514" s="707"/>
      <c r="BT514" s="707"/>
      <c r="BU514" s="707"/>
      <c r="BV514" s="707"/>
      <c r="BW514" s="707"/>
      <c r="BX514" s="707"/>
      <c r="BY514" s="707"/>
      <c r="BZ514" s="707"/>
      <c r="CA514" s="707"/>
      <c r="CB514" s="707"/>
      <c r="CC514" s="707"/>
      <c r="CD514" s="707"/>
      <c r="CE514" s="707"/>
      <c r="CF514" s="707"/>
      <c r="CG514" s="707"/>
      <c r="CH514" s="707"/>
      <c r="CI514" s="707"/>
      <c r="CJ514" s="707"/>
      <c r="CK514" s="707"/>
      <c r="CL514" s="707"/>
      <c r="CM514" s="707"/>
      <c r="CN514" s="707"/>
      <c r="CO514" s="707"/>
      <c r="CP514" s="707"/>
      <c r="CQ514" s="707"/>
      <c r="CR514" s="707"/>
      <c r="CS514" s="707"/>
      <c r="CT514" s="707"/>
      <c r="CU514" s="707"/>
      <c r="CV514" s="707"/>
      <c r="CW514" s="707"/>
      <c r="CX514" s="707"/>
      <c r="CY514" s="707"/>
      <c r="CZ514" s="707"/>
      <c r="DA514" s="707"/>
      <c r="DB514" s="707"/>
      <c r="DC514" s="707"/>
      <c r="DD514" s="707"/>
      <c r="DE514" s="707"/>
      <c r="DF514" s="707"/>
      <c r="DG514" s="707"/>
      <c r="DH514" s="707"/>
      <c r="DI514" s="707"/>
      <c r="DJ514" s="707"/>
      <c r="DK514" s="707"/>
      <c r="DL514" s="707"/>
      <c r="DM514" s="707"/>
      <c r="DN514" s="707"/>
      <c r="DO514" s="707"/>
      <c r="DP514" s="707"/>
      <c r="DQ514" s="707"/>
      <c r="DR514" s="707"/>
      <c r="DS514" s="707"/>
      <c r="DT514" s="707"/>
      <c r="DU514" s="707"/>
      <c r="DV514" s="707"/>
      <c r="DW514" s="707"/>
      <c r="DX514" s="707"/>
      <c r="DY514" s="707"/>
      <c r="DZ514" s="707"/>
      <c r="EA514" s="707"/>
      <c r="EB514" s="707"/>
      <c r="EC514" s="707"/>
      <c r="ED514" s="707"/>
      <c r="EE514" s="707"/>
      <c r="EF514" s="707"/>
      <c r="EG514" s="707"/>
      <c r="EH514" s="707"/>
      <c r="EI514" s="707"/>
      <c r="EJ514" s="707"/>
      <c r="EK514" s="707"/>
      <c r="EL514" s="707"/>
      <c r="EM514" s="707"/>
      <c r="EN514" s="707"/>
      <c r="EO514" s="707"/>
      <c r="EP514" s="707"/>
      <c r="EQ514" s="707"/>
      <c r="ER514" s="707"/>
      <c r="ES514" s="707"/>
      <c r="ET514" s="707"/>
      <c r="EU514" s="707"/>
      <c r="EV514" s="707"/>
      <c r="EW514" s="707"/>
      <c r="EX514" s="707"/>
      <c r="EY514" s="707"/>
      <c r="EZ514" s="707"/>
      <c r="FA514" s="707"/>
      <c r="FB514" s="707"/>
      <c r="FC514" s="707"/>
      <c r="FD514" s="707"/>
      <c r="FE514" s="707"/>
      <c r="FF514" s="707"/>
      <c r="FG514" s="707"/>
      <c r="FH514" s="707"/>
      <c r="FI514" s="707"/>
      <c r="FJ514" s="707"/>
      <c r="FK514" s="707"/>
      <c r="FL514" s="707"/>
      <c r="FM514" s="707"/>
      <c r="FN514" s="707"/>
      <c r="FO514" s="707"/>
      <c r="FP514" s="707"/>
      <c r="FQ514" s="707"/>
      <c r="FR514" s="707"/>
      <c r="FS514" s="707"/>
      <c r="FT514" s="707"/>
      <c r="FU514" s="707"/>
      <c r="FV514" s="707"/>
      <c r="FW514" s="707"/>
      <c r="FX514" s="707"/>
      <c r="FY514" s="707"/>
      <c r="FZ514" s="707"/>
      <c r="GA514" s="707"/>
      <c r="GB514" s="707"/>
      <c r="GC514" s="707"/>
      <c r="GD514" s="707"/>
      <c r="GE514" s="707"/>
      <c r="GF514" s="707"/>
      <c r="GG514" s="707"/>
      <c r="GH514" s="707"/>
      <c r="GI514" s="707"/>
      <c r="GJ514" s="707"/>
      <c r="GK514" s="707"/>
      <c r="GL514" s="707"/>
      <c r="GM514" s="707"/>
      <c r="GN514" s="707"/>
      <c r="GO514" s="707"/>
      <c r="GP514" s="707"/>
      <c r="GQ514" s="707"/>
      <c r="GR514" s="707"/>
      <c r="GS514" s="707"/>
      <c r="GT514" s="707"/>
      <c r="GU514" s="707"/>
      <c r="GV514" s="707"/>
      <c r="GW514" s="707"/>
      <c r="GX514" s="707"/>
      <c r="GY514" s="707"/>
      <c r="GZ514" s="707"/>
      <c r="HA514" s="707"/>
      <c r="HB514" s="707"/>
      <c r="HC514" s="707"/>
      <c r="HD514" s="707"/>
      <c r="HE514" s="707"/>
      <c r="HF514" s="707"/>
      <c r="HG514" s="707"/>
      <c r="HH514" s="707"/>
      <c r="HI514" s="707"/>
      <c r="HJ514" s="707"/>
      <c r="HK514" s="707"/>
      <c r="HL514" s="707"/>
      <c r="HM514" s="707"/>
      <c r="HN514" s="707"/>
      <c r="HO514" s="707"/>
      <c r="HP514" s="707"/>
      <c r="HQ514" s="707"/>
      <c r="HR514" s="707"/>
      <c r="HS514" s="707"/>
      <c r="HT514" s="707"/>
      <c r="HU514" s="707"/>
      <c r="HV514" s="707"/>
      <c r="HW514" s="707"/>
      <c r="HX514" s="707"/>
      <c r="HY514" s="707"/>
      <c r="HZ514" s="707"/>
      <c r="IA514" s="707"/>
      <c r="IB514" s="707"/>
      <c r="IC514" s="707"/>
      <c r="ID514" s="707"/>
      <c r="IE514" s="707"/>
      <c r="IF514" s="707"/>
      <c r="IG514" s="707"/>
      <c r="IH514" s="707"/>
      <c r="II514" s="707"/>
      <c r="IJ514" s="707"/>
      <c r="IK514" s="707"/>
      <c r="IL514" s="707"/>
      <c r="IM514" s="707"/>
      <c r="IN514" s="707"/>
      <c r="IO514" s="707"/>
      <c r="IP514" s="707"/>
      <c r="IQ514" s="707"/>
      <c r="IR514" s="707"/>
      <c r="IS514" s="707"/>
      <c r="IT514" s="707"/>
      <c r="IU514" s="707"/>
      <c r="IV514" s="707"/>
      <c r="IW514" s="707"/>
    </row>
    <row r="515" customFormat="false" ht="12.75" hidden="false" customHeight="false" outlineLevel="1" collapsed="false">
      <c r="A515" s="366"/>
      <c r="B515" s="719"/>
      <c r="C515" s="719"/>
      <c r="D515" s="719"/>
      <c r="E515" s="713"/>
      <c r="F515" s="713"/>
      <c r="G515" s="713"/>
      <c r="H515" s="713"/>
      <c r="I515" s="713"/>
      <c r="J515" s="713"/>
      <c r="K515" s="713"/>
      <c r="L515" s="713"/>
      <c r="M515" s="713"/>
      <c r="N515" s="713"/>
      <c r="O515" s="713"/>
      <c r="P515" s="713"/>
      <c r="Q515" s="713"/>
      <c r="R515" s="713"/>
      <c r="S515" s="713"/>
      <c r="T515" s="713"/>
      <c r="U515" s="713"/>
      <c r="V515" s="713"/>
      <c r="W515" s="713"/>
      <c r="X515" s="713"/>
      <c r="Y515" s="713"/>
      <c r="Z515" s="713"/>
      <c r="AA515" s="707"/>
      <c r="AB515" s="707"/>
      <c r="AC515" s="707"/>
      <c r="AD515" s="707"/>
      <c r="AE515" s="707"/>
      <c r="AF515" s="707"/>
      <c r="AG515" s="707"/>
      <c r="AH515" s="707"/>
      <c r="AI515" s="707"/>
      <c r="AJ515" s="707"/>
      <c r="AK515" s="707"/>
      <c r="AL515" s="707"/>
      <c r="AM515" s="707"/>
      <c r="AN515" s="707"/>
      <c r="AO515" s="707"/>
      <c r="AP515" s="707"/>
      <c r="AQ515" s="707"/>
      <c r="AR515" s="707"/>
      <c r="AS515" s="707"/>
      <c r="AT515" s="707"/>
      <c r="AU515" s="707"/>
      <c r="AV515" s="707"/>
      <c r="AW515" s="707"/>
      <c r="AX515" s="707"/>
      <c r="AY515" s="707"/>
      <c r="AZ515" s="707"/>
      <c r="BA515" s="707"/>
      <c r="BB515" s="707"/>
      <c r="BC515" s="707"/>
      <c r="BD515" s="707"/>
      <c r="BE515" s="707"/>
      <c r="BF515" s="707"/>
      <c r="BG515" s="707"/>
      <c r="BH515" s="707"/>
      <c r="BI515" s="707"/>
      <c r="BJ515" s="707"/>
      <c r="BK515" s="707"/>
      <c r="BL515" s="707"/>
      <c r="BM515" s="707"/>
      <c r="BN515" s="707"/>
      <c r="BO515" s="707"/>
      <c r="BP515" s="707"/>
      <c r="BQ515" s="707"/>
      <c r="BR515" s="707"/>
      <c r="BS515" s="707"/>
      <c r="BT515" s="707"/>
      <c r="BU515" s="707"/>
      <c r="BV515" s="707"/>
      <c r="BW515" s="707"/>
      <c r="BX515" s="707"/>
      <c r="BY515" s="707"/>
      <c r="BZ515" s="707"/>
      <c r="CA515" s="707"/>
      <c r="CB515" s="707"/>
      <c r="CC515" s="707"/>
      <c r="CD515" s="707"/>
      <c r="CE515" s="707"/>
      <c r="CF515" s="707"/>
      <c r="CG515" s="707"/>
      <c r="CH515" s="707"/>
      <c r="CI515" s="707"/>
      <c r="CJ515" s="707"/>
      <c r="CK515" s="707"/>
      <c r="CL515" s="707"/>
      <c r="CM515" s="707"/>
      <c r="CN515" s="707"/>
      <c r="CO515" s="707"/>
      <c r="CP515" s="707"/>
      <c r="CQ515" s="707"/>
      <c r="CR515" s="707"/>
      <c r="CS515" s="707"/>
      <c r="CT515" s="707"/>
      <c r="CU515" s="707"/>
      <c r="CV515" s="707"/>
      <c r="CW515" s="707"/>
      <c r="CX515" s="707"/>
      <c r="CY515" s="707"/>
      <c r="CZ515" s="707"/>
      <c r="DA515" s="707"/>
      <c r="DB515" s="707"/>
      <c r="DC515" s="707"/>
      <c r="DD515" s="707"/>
      <c r="DE515" s="707"/>
      <c r="DF515" s="707"/>
      <c r="DG515" s="707"/>
      <c r="DH515" s="707"/>
      <c r="DI515" s="707"/>
      <c r="DJ515" s="707"/>
      <c r="DK515" s="707"/>
      <c r="DL515" s="707"/>
      <c r="DM515" s="707"/>
      <c r="DN515" s="707"/>
      <c r="DO515" s="707"/>
      <c r="DP515" s="707"/>
      <c r="DQ515" s="707"/>
      <c r="DR515" s="707"/>
      <c r="DS515" s="707"/>
      <c r="DT515" s="707"/>
      <c r="DU515" s="707"/>
      <c r="DV515" s="707"/>
      <c r="DW515" s="707"/>
      <c r="DX515" s="707"/>
      <c r="DY515" s="707"/>
      <c r="DZ515" s="707"/>
      <c r="EA515" s="707"/>
      <c r="EB515" s="707"/>
      <c r="EC515" s="707"/>
      <c r="ED515" s="707"/>
      <c r="EE515" s="707"/>
      <c r="EF515" s="707"/>
      <c r="EG515" s="707"/>
      <c r="EH515" s="707"/>
      <c r="EI515" s="707"/>
      <c r="EJ515" s="707"/>
      <c r="EK515" s="707"/>
      <c r="EL515" s="707"/>
      <c r="EM515" s="707"/>
      <c r="EN515" s="707"/>
      <c r="EO515" s="707"/>
      <c r="EP515" s="707"/>
      <c r="EQ515" s="707"/>
      <c r="ER515" s="707"/>
      <c r="ES515" s="707"/>
      <c r="ET515" s="707"/>
      <c r="EU515" s="707"/>
      <c r="EV515" s="707"/>
      <c r="EW515" s="707"/>
      <c r="EX515" s="707"/>
      <c r="EY515" s="707"/>
      <c r="EZ515" s="707"/>
      <c r="FA515" s="707"/>
      <c r="FB515" s="707"/>
      <c r="FC515" s="707"/>
      <c r="FD515" s="707"/>
      <c r="FE515" s="707"/>
      <c r="FF515" s="707"/>
      <c r="FG515" s="707"/>
      <c r="FH515" s="707"/>
      <c r="FI515" s="707"/>
      <c r="FJ515" s="707"/>
      <c r="FK515" s="707"/>
      <c r="FL515" s="707"/>
      <c r="FM515" s="707"/>
      <c r="FN515" s="707"/>
      <c r="FO515" s="707"/>
      <c r="FP515" s="707"/>
      <c r="FQ515" s="707"/>
      <c r="FR515" s="707"/>
      <c r="FS515" s="707"/>
      <c r="FT515" s="707"/>
      <c r="FU515" s="707"/>
      <c r="FV515" s="707"/>
      <c r="FW515" s="707"/>
      <c r="FX515" s="707"/>
      <c r="FY515" s="707"/>
      <c r="FZ515" s="707"/>
      <c r="GA515" s="707"/>
      <c r="GB515" s="707"/>
      <c r="GC515" s="707"/>
      <c r="GD515" s="707"/>
      <c r="GE515" s="707"/>
      <c r="GF515" s="707"/>
      <c r="GG515" s="707"/>
      <c r="GH515" s="707"/>
      <c r="GI515" s="707"/>
      <c r="GJ515" s="707"/>
      <c r="GK515" s="707"/>
      <c r="GL515" s="707"/>
      <c r="GM515" s="707"/>
      <c r="GN515" s="707"/>
      <c r="GO515" s="707"/>
      <c r="GP515" s="707"/>
      <c r="GQ515" s="707"/>
      <c r="GR515" s="707"/>
      <c r="GS515" s="707"/>
      <c r="GT515" s="707"/>
      <c r="GU515" s="707"/>
      <c r="GV515" s="707"/>
      <c r="GW515" s="707"/>
      <c r="GX515" s="707"/>
      <c r="GY515" s="707"/>
      <c r="GZ515" s="707"/>
      <c r="HA515" s="707"/>
      <c r="HB515" s="707"/>
      <c r="HC515" s="707"/>
      <c r="HD515" s="707"/>
      <c r="HE515" s="707"/>
      <c r="HF515" s="707"/>
      <c r="HG515" s="707"/>
      <c r="HH515" s="707"/>
      <c r="HI515" s="707"/>
      <c r="HJ515" s="707"/>
      <c r="HK515" s="707"/>
      <c r="HL515" s="707"/>
      <c r="HM515" s="707"/>
      <c r="HN515" s="707"/>
      <c r="HO515" s="707"/>
      <c r="HP515" s="707"/>
      <c r="HQ515" s="707"/>
      <c r="HR515" s="707"/>
      <c r="HS515" s="707"/>
      <c r="HT515" s="707"/>
      <c r="HU515" s="707"/>
      <c r="HV515" s="707"/>
      <c r="HW515" s="707"/>
      <c r="HX515" s="707"/>
      <c r="HY515" s="707"/>
      <c r="HZ515" s="707"/>
      <c r="IA515" s="707"/>
      <c r="IB515" s="707"/>
      <c r="IC515" s="707"/>
      <c r="ID515" s="707"/>
      <c r="IE515" s="707"/>
      <c r="IF515" s="707"/>
      <c r="IG515" s="707"/>
      <c r="IH515" s="707"/>
      <c r="II515" s="707"/>
      <c r="IJ515" s="707"/>
      <c r="IK515" s="707"/>
      <c r="IL515" s="707"/>
      <c r="IM515" s="707"/>
      <c r="IN515" s="707"/>
      <c r="IO515" s="707"/>
      <c r="IP515" s="707"/>
      <c r="IQ515" s="707"/>
      <c r="IR515" s="707"/>
      <c r="IS515" s="707"/>
      <c r="IT515" s="707"/>
      <c r="IU515" s="707"/>
      <c r="IV515" s="707"/>
      <c r="IW515" s="707"/>
    </row>
    <row r="516" customFormat="false" ht="12.75" hidden="false" customHeight="false" outlineLevel="1" collapsed="false">
      <c r="A516" s="724"/>
      <c r="B516" s="725"/>
      <c r="C516" s="725"/>
      <c r="D516" s="725"/>
      <c r="E516" s="713"/>
      <c r="F516" s="713"/>
      <c r="G516" s="713"/>
      <c r="H516" s="713"/>
      <c r="I516" s="713"/>
      <c r="J516" s="713"/>
      <c r="K516" s="713"/>
      <c r="L516" s="713"/>
      <c r="M516" s="713"/>
      <c r="N516" s="713"/>
      <c r="O516" s="713"/>
      <c r="P516" s="713"/>
      <c r="Q516" s="713"/>
      <c r="R516" s="713"/>
      <c r="S516" s="713"/>
      <c r="T516" s="713"/>
      <c r="U516" s="713"/>
      <c r="V516" s="713"/>
      <c r="W516" s="713"/>
      <c r="X516" s="713"/>
      <c r="Y516" s="713"/>
      <c r="Z516" s="713"/>
      <c r="AA516" s="722"/>
      <c r="AB516" s="722"/>
      <c r="AC516" s="722"/>
      <c r="AD516" s="722"/>
      <c r="AE516" s="722"/>
      <c r="AF516" s="722"/>
      <c r="AG516" s="722"/>
      <c r="AH516" s="722"/>
      <c r="AI516" s="722"/>
      <c r="AJ516" s="722"/>
      <c r="AK516" s="722"/>
      <c r="AL516" s="722"/>
      <c r="AM516" s="722"/>
      <c r="AN516" s="722"/>
      <c r="AO516" s="722"/>
      <c r="AP516" s="722"/>
      <c r="AQ516" s="722"/>
      <c r="AR516" s="722"/>
      <c r="AS516" s="722"/>
      <c r="AT516" s="722"/>
      <c r="AU516" s="722"/>
      <c r="AV516" s="722"/>
      <c r="AW516" s="722"/>
      <c r="AX516" s="722"/>
      <c r="AY516" s="722"/>
      <c r="AZ516" s="722"/>
      <c r="BA516" s="722"/>
      <c r="BB516" s="722"/>
      <c r="BC516" s="722"/>
      <c r="BD516" s="722"/>
      <c r="BE516" s="722"/>
      <c r="BF516" s="722"/>
      <c r="BG516" s="722"/>
      <c r="BH516" s="722"/>
      <c r="BI516" s="722"/>
      <c r="BJ516" s="722"/>
      <c r="BK516" s="722"/>
      <c r="BL516" s="722"/>
      <c r="BM516" s="722"/>
      <c r="BN516" s="722"/>
      <c r="BO516" s="722"/>
      <c r="BP516" s="722"/>
      <c r="BQ516" s="722"/>
      <c r="BR516" s="722"/>
      <c r="BS516" s="722"/>
      <c r="BT516" s="722"/>
      <c r="BU516" s="722"/>
      <c r="BV516" s="722"/>
      <c r="BW516" s="722"/>
      <c r="BX516" s="722"/>
      <c r="BY516" s="722"/>
      <c r="BZ516" s="722"/>
      <c r="CA516" s="722"/>
      <c r="CB516" s="722"/>
      <c r="CC516" s="722"/>
      <c r="CD516" s="722"/>
      <c r="CE516" s="722"/>
      <c r="CF516" s="722"/>
      <c r="CG516" s="722"/>
      <c r="CH516" s="722"/>
      <c r="CI516" s="722"/>
      <c r="CJ516" s="722"/>
      <c r="CK516" s="722"/>
      <c r="CL516" s="722"/>
      <c r="CM516" s="722"/>
      <c r="CN516" s="722"/>
      <c r="CO516" s="722"/>
      <c r="CP516" s="722"/>
      <c r="CQ516" s="722"/>
      <c r="CR516" s="722"/>
      <c r="CS516" s="722"/>
      <c r="CT516" s="722"/>
      <c r="CU516" s="722"/>
      <c r="CV516" s="722"/>
      <c r="CW516" s="722"/>
      <c r="CX516" s="722"/>
      <c r="CY516" s="722"/>
      <c r="CZ516" s="722"/>
      <c r="DA516" s="722"/>
      <c r="DB516" s="722"/>
      <c r="DC516" s="722"/>
      <c r="DD516" s="722"/>
      <c r="DE516" s="722"/>
      <c r="DF516" s="722"/>
      <c r="DG516" s="722"/>
      <c r="DH516" s="722"/>
      <c r="DI516" s="722"/>
      <c r="DJ516" s="722"/>
      <c r="DK516" s="722"/>
      <c r="DL516" s="722"/>
      <c r="DM516" s="722"/>
      <c r="DN516" s="722"/>
      <c r="DO516" s="722"/>
      <c r="DP516" s="722"/>
      <c r="DQ516" s="722"/>
      <c r="DR516" s="722"/>
      <c r="DS516" s="722"/>
      <c r="DT516" s="722"/>
      <c r="DU516" s="722"/>
      <c r="DV516" s="722"/>
      <c r="DW516" s="722"/>
      <c r="DX516" s="722"/>
      <c r="DY516" s="722"/>
      <c r="DZ516" s="722"/>
      <c r="EA516" s="722"/>
      <c r="EB516" s="722"/>
      <c r="EC516" s="722"/>
      <c r="ED516" s="722"/>
      <c r="EE516" s="722"/>
      <c r="EF516" s="722"/>
      <c r="EG516" s="722"/>
      <c r="EH516" s="722"/>
      <c r="EI516" s="722"/>
      <c r="EJ516" s="722"/>
      <c r="EK516" s="722"/>
      <c r="EL516" s="722"/>
      <c r="EM516" s="722"/>
      <c r="EN516" s="722"/>
      <c r="EO516" s="722"/>
      <c r="EP516" s="722"/>
      <c r="EQ516" s="722"/>
      <c r="ER516" s="722"/>
      <c r="ES516" s="722"/>
      <c r="ET516" s="722"/>
      <c r="EU516" s="722"/>
      <c r="EV516" s="722"/>
      <c r="EW516" s="722"/>
      <c r="EX516" s="722"/>
      <c r="EY516" s="722"/>
      <c r="EZ516" s="722"/>
      <c r="FA516" s="722"/>
      <c r="FB516" s="722"/>
      <c r="FC516" s="722"/>
      <c r="FD516" s="722"/>
      <c r="FE516" s="722"/>
      <c r="FF516" s="722"/>
      <c r="FG516" s="722"/>
      <c r="FH516" s="722"/>
      <c r="FI516" s="722"/>
      <c r="FJ516" s="722"/>
      <c r="FK516" s="722"/>
      <c r="FL516" s="722"/>
      <c r="FM516" s="722"/>
      <c r="FN516" s="722"/>
      <c r="FO516" s="722"/>
      <c r="FP516" s="722"/>
      <c r="FQ516" s="722"/>
      <c r="FR516" s="722"/>
      <c r="FS516" s="722"/>
      <c r="FT516" s="722"/>
      <c r="FU516" s="722"/>
      <c r="FV516" s="722"/>
      <c r="FW516" s="722"/>
      <c r="FX516" s="722"/>
      <c r="FY516" s="722"/>
      <c r="FZ516" s="722"/>
      <c r="GA516" s="722"/>
      <c r="GB516" s="722"/>
      <c r="GC516" s="722"/>
      <c r="GD516" s="722"/>
      <c r="GE516" s="722"/>
      <c r="GF516" s="722"/>
      <c r="GG516" s="722"/>
      <c r="GH516" s="722"/>
      <c r="GI516" s="722"/>
      <c r="GJ516" s="722"/>
      <c r="GK516" s="722"/>
      <c r="GL516" s="722"/>
      <c r="GM516" s="722"/>
      <c r="GN516" s="722"/>
      <c r="GO516" s="722"/>
      <c r="GP516" s="722"/>
      <c r="GQ516" s="722"/>
      <c r="GR516" s="722"/>
      <c r="GS516" s="722"/>
      <c r="GT516" s="722"/>
      <c r="GU516" s="722"/>
      <c r="GV516" s="722"/>
      <c r="GW516" s="722"/>
      <c r="GX516" s="722"/>
      <c r="GY516" s="722"/>
      <c r="GZ516" s="722"/>
      <c r="HA516" s="722"/>
      <c r="HB516" s="722"/>
      <c r="HC516" s="722"/>
      <c r="HD516" s="722"/>
      <c r="HE516" s="722"/>
      <c r="HF516" s="722"/>
      <c r="HG516" s="722"/>
      <c r="HH516" s="722"/>
      <c r="HI516" s="722"/>
      <c r="HJ516" s="722"/>
      <c r="HK516" s="722"/>
      <c r="HL516" s="722"/>
      <c r="HM516" s="722"/>
      <c r="HN516" s="722"/>
      <c r="HO516" s="722"/>
      <c r="HP516" s="722"/>
      <c r="HQ516" s="722"/>
      <c r="HR516" s="722"/>
      <c r="HS516" s="722"/>
      <c r="HT516" s="722"/>
      <c r="HU516" s="722"/>
      <c r="HV516" s="722"/>
      <c r="HW516" s="722"/>
      <c r="HX516" s="722"/>
      <c r="HY516" s="722"/>
      <c r="HZ516" s="722"/>
      <c r="IA516" s="722"/>
      <c r="IB516" s="722"/>
      <c r="IC516" s="722"/>
      <c r="ID516" s="722"/>
      <c r="IE516" s="722"/>
      <c r="IF516" s="722"/>
      <c r="IG516" s="722"/>
      <c r="IH516" s="722"/>
      <c r="II516" s="722"/>
      <c r="IJ516" s="722"/>
      <c r="IK516" s="722"/>
      <c r="IL516" s="722"/>
      <c r="IM516" s="722"/>
      <c r="IN516" s="722"/>
      <c r="IO516" s="722"/>
      <c r="IP516" s="722"/>
      <c r="IQ516" s="722"/>
      <c r="IR516" s="722"/>
      <c r="IS516" s="722"/>
      <c r="IT516" s="722"/>
      <c r="IU516" s="722"/>
      <c r="IV516" s="722"/>
      <c r="IW516" s="722"/>
    </row>
    <row r="517" customFormat="false" ht="12.75" hidden="false" customHeight="false" outlineLevel="1" collapsed="false">
      <c r="A517" s="388"/>
      <c r="B517" s="706"/>
      <c r="C517" s="706"/>
      <c r="D517" s="706"/>
      <c r="E517" s="713"/>
      <c r="F517" s="713"/>
      <c r="G517" s="713"/>
      <c r="H517" s="713"/>
      <c r="I517" s="713"/>
      <c r="J517" s="713"/>
      <c r="K517" s="713"/>
      <c r="L517" s="713"/>
      <c r="M517" s="713"/>
      <c r="N517" s="713"/>
      <c r="O517" s="713"/>
      <c r="P517" s="713"/>
      <c r="Q517" s="713"/>
      <c r="R517" s="713"/>
      <c r="S517" s="713"/>
      <c r="T517" s="713"/>
      <c r="U517" s="713"/>
      <c r="V517" s="713"/>
      <c r="W517" s="713"/>
      <c r="X517" s="713"/>
      <c r="Y517" s="713"/>
      <c r="Z517" s="713"/>
      <c r="AA517" s="707"/>
      <c r="AB517" s="707"/>
      <c r="AC517" s="707"/>
      <c r="AD517" s="707"/>
      <c r="AE517" s="707"/>
      <c r="AF517" s="707"/>
      <c r="AG517" s="707"/>
      <c r="AH517" s="707"/>
      <c r="AI517" s="707"/>
      <c r="AJ517" s="707"/>
      <c r="AK517" s="707"/>
      <c r="AL517" s="707"/>
      <c r="AM517" s="707"/>
      <c r="AN517" s="707"/>
      <c r="AO517" s="707"/>
      <c r="AP517" s="707"/>
      <c r="AQ517" s="707"/>
      <c r="AR517" s="707"/>
      <c r="AS517" s="707"/>
      <c r="AT517" s="707"/>
      <c r="AU517" s="707"/>
      <c r="AV517" s="707"/>
      <c r="AW517" s="707"/>
      <c r="AX517" s="707"/>
      <c r="AY517" s="707"/>
      <c r="AZ517" s="707"/>
      <c r="BA517" s="707"/>
      <c r="BB517" s="707"/>
      <c r="BC517" s="707"/>
      <c r="BD517" s="707"/>
      <c r="BE517" s="707"/>
      <c r="BF517" s="707"/>
      <c r="BG517" s="707"/>
      <c r="BH517" s="707"/>
      <c r="BI517" s="707"/>
      <c r="BJ517" s="707"/>
      <c r="BK517" s="707"/>
      <c r="BL517" s="707"/>
      <c r="BM517" s="707"/>
      <c r="BN517" s="707"/>
      <c r="BO517" s="707"/>
      <c r="BP517" s="707"/>
      <c r="BQ517" s="707"/>
      <c r="BR517" s="707"/>
      <c r="BS517" s="707"/>
      <c r="BT517" s="707"/>
      <c r="BU517" s="707"/>
      <c r="BV517" s="707"/>
      <c r="BW517" s="707"/>
      <c r="BX517" s="707"/>
      <c r="BY517" s="707"/>
      <c r="BZ517" s="707"/>
      <c r="CA517" s="707"/>
      <c r="CB517" s="707"/>
      <c r="CC517" s="707"/>
      <c r="CD517" s="707"/>
      <c r="CE517" s="707"/>
      <c r="CF517" s="707"/>
      <c r="CG517" s="707"/>
      <c r="CH517" s="707"/>
      <c r="CI517" s="707"/>
      <c r="CJ517" s="707"/>
      <c r="CK517" s="707"/>
      <c r="CL517" s="707"/>
      <c r="CM517" s="707"/>
      <c r="CN517" s="707"/>
      <c r="CO517" s="707"/>
      <c r="CP517" s="707"/>
      <c r="CQ517" s="707"/>
      <c r="CR517" s="707"/>
      <c r="CS517" s="707"/>
      <c r="CT517" s="707"/>
      <c r="CU517" s="707"/>
      <c r="CV517" s="707"/>
      <c r="CW517" s="707"/>
      <c r="CX517" s="707"/>
      <c r="CY517" s="707"/>
      <c r="CZ517" s="707"/>
      <c r="DA517" s="707"/>
      <c r="DB517" s="707"/>
      <c r="DC517" s="707"/>
      <c r="DD517" s="707"/>
      <c r="DE517" s="707"/>
      <c r="DF517" s="707"/>
      <c r="DG517" s="707"/>
      <c r="DH517" s="707"/>
      <c r="DI517" s="707"/>
      <c r="DJ517" s="707"/>
      <c r="DK517" s="707"/>
      <c r="DL517" s="707"/>
      <c r="DM517" s="707"/>
      <c r="DN517" s="707"/>
      <c r="DO517" s="707"/>
      <c r="DP517" s="707"/>
      <c r="DQ517" s="707"/>
      <c r="DR517" s="707"/>
      <c r="DS517" s="707"/>
      <c r="DT517" s="707"/>
      <c r="DU517" s="707"/>
      <c r="DV517" s="707"/>
      <c r="DW517" s="707"/>
      <c r="DX517" s="707"/>
      <c r="DY517" s="707"/>
      <c r="DZ517" s="707"/>
      <c r="EA517" s="707"/>
      <c r="EB517" s="707"/>
      <c r="EC517" s="707"/>
      <c r="ED517" s="707"/>
      <c r="EE517" s="707"/>
      <c r="EF517" s="707"/>
      <c r="EG517" s="707"/>
      <c r="EH517" s="707"/>
      <c r="EI517" s="707"/>
      <c r="EJ517" s="707"/>
      <c r="EK517" s="707"/>
      <c r="EL517" s="707"/>
      <c r="EM517" s="707"/>
      <c r="EN517" s="707"/>
      <c r="EO517" s="707"/>
      <c r="EP517" s="707"/>
      <c r="EQ517" s="707"/>
      <c r="ER517" s="707"/>
      <c r="ES517" s="707"/>
      <c r="ET517" s="707"/>
      <c r="EU517" s="707"/>
      <c r="EV517" s="707"/>
      <c r="EW517" s="707"/>
      <c r="EX517" s="707"/>
      <c r="EY517" s="707"/>
      <c r="EZ517" s="707"/>
      <c r="FA517" s="707"/>
      <c r="FB517" s="707"/>
      <c r="FC517" s="707"/>
      <c r="FD517" s="707"/>
      <c r="FE517" s="707"/>
      <c r="FF517" s="707"/>
      <c r="FG517" s="707"/>
      <c r="FH517" s="707"/>
      <c r="FI517" s="707"/>
      <c r="FJ517" s="707"/>
      <c r="FK517" s="707"/>
      <c r="FL517" s="707"/>
      <c r="FM517" s="707"/>
      <c r="FN517" s="707"/>
      <c r="FO517" s="707"/>
      <c r="FP517" s="707"/>
      <c r="FQ517" s="707"/>
      <c r="FR517" s="707"/>
      <c r="FS517" s="707"/>
      <c r="FT517" s="707"/>
      <c r="FU517" s="707"/>
      <c r="FV517" s="707"/>
      <c r="FW517" s="707"/>
      <c r="FX517" s="707"/>
      <c r="FY517" s="707"/>
      <c r="FZ517" s="707"/>
      <c r="GA517" s="707"/>
      <c r="GB517" s="707"/>
      <c r="GC517" s="707"/>
      <c r="GD517" s="707"/>
      <c r="GE517" s="707"/>
      <c r="GF517" s="707"/>
      <c r="GG517" s="707"/>
      <c r="GH517" s="707"/>
      <c r="GI517" s="707"/>
      <c r="GJ517" s="707"/>
      <c r="GK517" s="707"/>
      <c r="GL517" s="707"/>
      <c r="GM517" s="707"/>
      <c r="GN517" s="707"/>
      <c r="GO517" s="707"/>
      <c r="GP517" s="707"/>
      <c r="GQ517" s="707"/>
      <c r="GR517" s="707"/>
      <c r="GS517" s="707"/>
      <c r="GT517" s="707"/>
      <c r="GU517" s="707"/>
      <c r="GV517" s="707"/>
      <c r="GW517" s="707"/>
      <c r="GX517" s="707"/>
      <c r="GY517" s="707"/>
      <c r="GZ517" s="707"/>
      <c r="HA517" s="707"/>
      <c r="HB517" s="707"/>
      <c r="HC517" s="707"/>
      <c r="HD517" s="707"/>
      <c r="HE517" s="707"/>
      <c r="HF517" s="707"/>
      <c r="HG517" s="707"/>
      <c r="HH517" s="707"/>
      <c r="HI517" s="707"/>
      <c r="HJ517" s="707"/>
      <c r="HK517" s="707"/>
      <c r="HL517" s="707"/>
      <c r="HM517" s="707"/>
      <c r="HN517" s="707"/>
      <c r="HO517" s="707"/>
      <c r="HP517" s="707"/>
      <c r="HQ517" s="707"/>
      <c r="HR517" s="707"/>
      <c r="HS517" s="707"/>
      <c r="HT517" s="707"/>
      <c r="HU517" s="707"/>
      <c r="HV517" s="707"/>
      <c r="HW517" s="707"/>
      <c r="HX517" s="707"/>
      <c r="HY517" s="707"/>
      <c r="HZ517" s="707"/>
      <c r="IA517" s="707"/>
      <c r="IB517" s="707"/>
      <c r="IC517" s="707"/>
      <c r="ID517" s="707"/>
      <c r="IE517" s="707"/>
      <c r="IF517" s="707"/>
      <c r="IG517" s="707"/>
      <c r="IH517" s="707"/>
      <c r="II517" s="707"/>
      <c r="IJ517" s="707"/>
      <c r="IK517" s="707"/>
      <c r="IL517" s="707"/>
      <c r="IM517" s="707"/>
      <c r="IN517" s="707"/>
      <c r="IO517" s="707"/>
      <c r="IP517" s="707"/>
      <c r="IQ517" s="707"/>
      <c r="IR517" s="707"/>
      <c r="IS517" s="707"/>
      <c r="IT517" s="707"/>
      <c r="IU517" s="707"/>
      <c r="IV517" s="707"/>
      <c r="IW517" s="707"/>
    </row>
    <row r="518" customFormat="false" ht="12.75" hidden="false" customHeight="false" outlineLevel="1" collapsed="false">
      <c r="A518" s="724"/>
      <c r="B518" s="725"/>
      <c r="C518" s="725"/>
      <c r="D518" s="725"/>
      <c r="E518" s="713"/>
      <c r="F518" s="713"/>
      <c r="G518" s="713"/>
      <c r="H518" s="713"/>
      <c r="I518" s="713"/>
      <c r="J518" s="713"/>
      <c r="K518" s="713"/>
      <c r="L518" s="713"/>
      <c r="M518" s="713"/>
      <c r="N518" s="713"/>
      <c r="O518" s="713"/>
      <c r="P518" s="713"/>
      <c r="Q518" s="713"/>
      <c r="R518" s="713"/>
      <c r="S518" s="713"/>
      <c r="T518" s="713"/>
      <c r="U518" s="713"/>
      <c r="V518" s="713"/>
      <c r="W518" s="713"/>
      <c r="X518" s="713"/>
      <c r="Y518" s="713"/>
      <c r="Z518" s="713"/>
      <c r="AA518" s="722"/>
      <c r="AB518" s="722"/>
      <c r="AC518" s="722"/>
      <c r="AD518" s="722"/>
      <c r="AE518" s="722"/>
      <c r="AF518" s="722"/>
      <c r="AG518" s="722"/>
      <c r="AH518" s="722"/>
      <c r="AI518" s="722"/>
      <c r="AJ518" s="722"/>
      <c r="AK518" s="722"/>
      <c r="AL518" s="722"/>
      <c r="AM518" s="722"/>
      <c r="AN518" s="722"/>
      <c r="AO518" s="722"/>
      <c r="AP518" s="722"/>
      <c r="AQ518" s="722"/>
      <c r="AR518" s="722"/>
      <c r="AS518" s="722"/>
      <c r="AT518" s="722"/>
      <c r="AU518" s="722"/>
      <c r="AV518" s="722"/>
      <c r="AW518" s="722"/>
      <c r="AX518" s="722"/>
      <c r="AY518" s="722"/>
      <c r="AZ518" s="722"/>
      <c r="BA518" s="722"/>
      <c r="BB518" s="722"/>
      <c r="BC518" s="722"/>
      <c r="BD518" s="722"/>
      <c r="BE518" s="722"/>
      <c r="BF518" s="722"/>
      <c r="BG518" s="722"/>
      <c r="BH518" s="722"/>
      <c r="BI518" s="722"/>
      <c r="BJ518" s="722"/>
      <c r="BK518" s="722"/>
      <c r="BL518" s="722"/>
      <c r="BM518" s="722"/>
      <c r="BN518" s="722"/>
      <c r="BO518" s="722"/>
      <c r="BP518" s="722"/>
      <c r="BQ518" s="722"/>
      <c r="BR518" s="722"/>
      <c r="BS518" s="722"/>
      <c r="BT518" s="722"/>
      <c r="BU518" s="722"/>
      <c r="BV518" s="722"/>
      <c r="BW518" s="722"/>
      <c r="BX518" s="722"/>
      <c r="BY518" s="722"/>
      <c r="BZ518" s="722"/>
      <c r="CA518" s="722"/>
      <c r="CB518" s="722"/>
      <c r="CC518" s="722"/>
      <c r="CD518" s="722"/>
      <c r="CE518" s="722"/>
      <c r="CF518" s="722"/>
      <c r="CG518" s="722"/>
      <c r="CH518" s="722"/>
      <c r="CI518" s="722"/>
      <c r="CJ518" s="722"/>
      <c r="CK518" s="722"/>
      <c r="CL518" s="722"/>
      <c r="CM518" s="722"/>
      <c r="CN518" s="722"/>
      <c r="CO518" s="722"/>
      <c r="CP518" s="722"/>
      <c r="CQ518" s="722"/>
      <c r="CR518" s="722"/>
      <c r="CS518" s="722"/>
      <c r="CT518" s="722"/>
      <c r="CU518" s="722"/>
      <c r="CV518" s="722"/>
      <c r="CW518" s="722"/>
      <c r="CX518" s="722"/>
      <c r="CY518" s="722"/>
      <c r="CZ518" s="722"/>
      <c r="DA518" s="722"/>
      <c r="DB518" s="722"/>
      <c r="DC518" s="722"/>
      <c r="DD518" s="722"/>
      <c r="DE518" s="722"/>
      <c r="DF518" s="722"/>
      <c r="DG518" s="722"/>
      <c r="DH518" s="722"/>
      <c r="DI518" s="722"/>
      <c r="DJ518" s="722"/>
      <c r="DK518" s="722"/>
      <c r="DL518" s="722"/>
      <c r="DM518" s="722"/>
      <c r="DN518" s="722"/>
      <c r="DO518" s="722"/>
      <c r="DP518" s="722"/>
      <c r="DQ518" s="722"/>
      <c r="DR518" s="722"/>
      <c r="DS518" s="722"/>
      <c r="DT518" s="722"/>
      <c r="DU518" s="722"/>
      <c r="DV518" s="722"/>
      <c r="DW518" s="722"/>
      <c r="DX518" s="722"/>
      <c r="DY518" s="722"/>
      <c r="DZ518" s="722"/>
      <c r="EA518" s="722"/>
      <c r="EB518" s="722"/>
      <c r="EC518" s="722"/>
      <c r="ED518" s="722"/>
      <c r="EE518" s="722"/>
      <c r="EF518" s="722"/>
      <c r="EG518" s="722"/>
      <c r="EH518" s="722"/>
      <c r="EI518" s="722"/>
      <c r="EJ518" s="722"/>
      <c r="EK518" s="722"/>
      <c r="EL518" s="722"/>
      <c r="EM518" s="722"/>
      <c r="EN518" s="722"/>
      <c r="EO518" s="722"/>
      <c r="EP518" s="722"/>
      <c r="EQ518" s="722"/>
      <c r="ER518" s="722"/>
      <c r="ES518" s="722"/>
      <c r="ET518" s="722"/>
      <c r="EU518" s="722"/>
      <c r="EV518" s="722"/>
      <c r="EW518" s="722"/>
      <c r="EX518" s="722"/>
      <c r="EY518" s="722"/>
      <c r="EZ518" s="722"/>
      <c r="FA518" s="722"/>
      <c r="FB518" s="722"/>
      <c r="FC518" s="722"/>
      <c r="FD518" s="722"/>
      <c r="FE518" s="722"/>
      <c r="FF518" s="722"/>
      <c r="FG518" s="722"/>
      <c r="FH518" s="722"/>
      <c r="FI518" s="722"/>
      <c r="FJ518" s="722"/>
      <c r="FK518" s="722"/>
      <c r="FL518" s="722"/>
      <c r="FM518" s="722"/>
      <c r="FN518" s="722"/>
      <c r="FO518" s="722"/>
      <c r="FP518" s="722"/>
      <c r="FQ518" s="722"/>
      <c r="FR518" s="722"/>
      <c r="FS518" s="722"/>
      <c r="FT518" s="722"/>
      <c r="FU518" s="722"/>
      <c r="FV518" s="722"/>
      <c r="FW518" s="722"/>
      <c r="FX518" s="722"/>
      <c r="FY518" s="722"/>
      <c r="FZ518" s="722"/>
      <c r="GA518" s="722"/>
      <c r="GB518" s="722"/>
      <c r="GC518" s="722"/>
      <c r="GD518" s="722"/>
      <c r="GE518" s="722"/>
      <c r="GF518" s="722"/>
      <c r="GG518" s="722"/>
      <c r="GH518" s="722"/>
      <c r="GI518" s="722"/>
      <c r="GJ518" s="722"/>
      <c r="GK518" s="722"/>
      <c r="GL518" s="722"/>
      <c r="GM518" s="722"/>
      <c r="GN518" s="722"/>
      <c r="GO518" s="722"/>
      <c r="GP518" s="722"/>
      <c r="GQ518" s="722"/>
      <c r="GR518" s="722"/>
      <c r="GS518" s="722"/>
      <c r="GT518" s="722"/>
      <c r="GU518" s="722"/>
      <c r="GV518" s="722"/>
      <c r="GW518" s="722"/>
      <c r="GX518" s="722"/>
      <c r="GY518" s="722"/>
      <c r="GZ518" s="722"/>
      <c r="HA518" s="722"/>
      <c r="HB518" s="722"/>
      <c r="HC518" s="722"/>
      <c r="HD518" s="722"/>
      <c r="HE518" s="722"/>
      <c r="HF518" s="722"/>
      <c r="HG518" s="722"/>
      <c r="HH518" s="722"/>
      <c r="HI518" s="722"/>
      <c r="HJ518" s="722"/>
      <c r="HK518" s="722"/>
      <c r="HL518" s="722"/>
      <c r="HM518" s="722"/>
      <c r="HN518" s="722"/>
      <c r="HO518" s="722"/>
      <c r="HP518" s="722"/>
      <c r="HQ518" s="722"/>
      <c r="HR518" s="722"/>
      <c r="HS518" s="722"/>
      <c r="HT518" s="722"/>
      <c r="HU518" s="722"/>
      <c r="HV518" s="722"/>
      <c r="HW518" s="722"/>
      <c r="HX518" s="722"/>
      <c r="HY518" s="722"/>
      <c r="HZ518" s="722"/>
      <c r="IA518" s="722"/>
      <c r="IB518" s="722"/>
      <c r="IC518" s="722"/>
      <c r="ID518" s="722"/>
      <c r="IE518" s="722"/>
      <c r="IF518" s="722"/>
      <c r="IG518" s="722"/>
      <c r="IH518" s="722"/>
      <c r="II518" s="722"/>
      <c r="IJ518" s="722"/>
      <c r="IK518" s="722"/>
      <c r="IL518" s="722"/>
      <c r="IM518" s="722"/>
      <c r="IN518" s="722"/>
      <c r="IO518" s="722"/>
      <c r="IP518" s="722"/>
      <c r="IQ518" s="722"/>
      <c r="IR518" s="722"/>
      <c r="IS518" s="722"/>
      <c r="IT518" s="722"/>
      <c r="IU518" s="722"/>
      <c r="IV518" s="722"/>
      <c r="IW518" s="722"/>
    </row>
    <row r="519" customFormat="false" ht="12.75" hidden="false" customHeight="false" outlineLevel="1" collapsed="false">
      <c r="A519" s="388"/>
      <c r="B519" s="719"/>
      <c r="C519" s="719"/>
      <c r="D519" s="719"/>
      <c r="E519" s="713"/>
      <c r="F519" s="713"/>
      <c r="G519" s="713"/>
      <c r="H519" s="713"/>
      <c r="I519" s="713"/>
      <c r="J519" s="713"/>
      <c r="K519" s="713"/>
      <c r="L519" s="713"/>
      <c r="M519" s="713"/>
      <c r="N519" s="713"/>
      <c r="O519" s="713"/>
      <c r="P519" s="713"/>
      <c r="Q519" s="713"/>
      <c r="R519" s="713"/>
      <c r="S519" s="713"/>
      <c r="T519" s="713"/>
      <c r="U519" s="713"/>
      <c r="V519" s="713"/>
      <c r="W519" s="713"/>
      <c r="X519" s="713"/>
      <c r="Y519" s="713"/>
      <c r="Z519" s="713"/>
      <c r="AA519" s="707"/>
      <c r="AB519" s="707"/>
      <c r="AC519" s="707"/>
      <c r="AD519" s="707"/>
      <c r="AE519" s="707"/>
      <c r="AF519" s="707"/>
      <c r="AG519" s="707"/>
      <c r="AH519" s="707"/>
      <c r="AI519" s="707"/>
      <c r="AJ519" s="707"/>
      <c r="AK519" s="707"/>
      <c r="AL519" s="707"/>
      <c r="AM519" s="707"/>
      <c r="AN519" s="707"/>
      <c r="AO519" s="707"/>
      <c r="AP519" s="707"/>
      <c r="AQ519" s="707"/>
      <c r="AR519" s="707"/>
      <c r="AS519" s="707"/>
      <c r="AT519" s="707"/>
      <c r="AU519" s="707"/>
      <c r="AV519" s="707"/>
      <c r="AW519" s="707"/>
      <c r="AX519" s="707"/>
      <c r="AY519" s="707"/>
      <c r="AZ519" s="707"/>
      <c r="BA519" s="707"/>
      <c r="BB519" s="707"/>
      <c r="BC519" s="707"/>
      <c r="BD519" s="707"/>
      <c r="BE519" s="707"/>
      <c r="BF519" s="707"/>
      <c r="BG519" s="707"/>
      <c r="BH519" s="707"/>
      <c r="BI519" s="707"/>
      <c r="BJ519" s="707"/>
      <c r="BK519" s="707"/>
      <c r="BL519" s="707"/>
      <c r="BM519" s="707"/>
      <c r="BN519" s="707"/>
      <c r="BO519" s="707"/>
      <c r="BP519" s="707"/>
      <c r="BQ519" s="707"/>
      <c r="BR519" s="707"/>
      <c r="BS519" s="707"/>
      <c r="BT519" s="707"/>
      <c r="BU519" s="707"/>
      <c r="BV519" s="707"/>
      <c r="BW519" s="707"/>
      <c r="BX519" s="707"/>
      <c r="BY519" s="707"/>
      <c r="BZ519" s="707"/>
      <c r="CA519" s="707"/>
      <c r="CB519" s="707"/>
      <c r="CC519" s="707"/>
      <c r="CD519" s="707"/>
      <c r="CE519" s="707"/>
      <c r="CF519" s="707"/>
      <c r="CG519" s="707"/>
      <c r="CH519" s="707"/>
      <c r="CI519" s="707"/>
      <c r="CJ519" s="707"/>
      <c r="CK519" s="707"/>
      <c r="CL519" s="707"/>
      <c r="CM519" s="707"/>
      <c r="CN519" s="707"/>
      <c r="CO519" s="707"/>
      <c r="CP519" s="707"/>
      <c r="CQ519" s="707"/>
      <c r="CR519" s="707"/>
      <c r="CS519" s="707"/>
      <c r="CT519" s="707"/>
      <c r="CU519" s="707"/>
      <c r="CV519" s="707"/>
      <c r="CW519" s="707"/>
      <c r="CX519" s="707"/>
      <c r="CY519" s="707"/>
      <c r="CZ519" s="707"/>
      <c r="DA519" s="707"/>
      <c r="DB519" s="707"/>
      <c r="DC519" s="707"/>
      <c r="DD519" s="707"/>
      <c r="DE519" s="707"/>
      <c r="DF519" s="707"/>
      <c r="DG519" s="707"/>
      <c r="DH519" s="707"/>
      <c r="DI519" s="707"/>
      <c r="DJ519" s="707"/>
      <c r="DK519" s="707"/>
      <c r="DL519" s="707"/>
      <c r="DM519" s="707"/>
      <c r="DN519" s="707"/>
      <c r="DO519" s="707"/>
      <c r="DP519" s="707"/>
      <c r="DQ519" s="707"/>
      <c r="DR519" s="707"/>
      <c r="DS519" s="707"/>
      <c r="DT519" s="707"/>
      <c r="DU519" s="707"/>
      <c r="DV519" s="707"/>
      <c r="DW519" s="707"/>
      <c r="DX519" s="707"/>
      <c r="DY519" s="707"/>
      <c r="DZ519" s="707"/>
      <c r="EA519" s="707"/>
      <c r="EB519" s="707"/>
      <c r="EC519" s="707"/>
      <c r="ED519" s="707"/>
      <c r="EE519" s="707"/>
      <c r="EF519" s="707"/>
      <c r="EG519" s="707"/>
      <c r="EH519" s="707"/>
      <c r="EI519" s="707"/>
      <c r="EJ519" s="707"/>
      <c r="EK519" s="707"/>
      <c r="EL519" s="707"/>
      <c r="EM519" s="707"/>
      <c r="EN519" s="707"/>
      <c r="EO519" s="707"/>
      <c r="EP519" s="707"/>
      <c r="EQ519" s="707"/>
      <c r="ER519" s="707"/>
      <c r="ES519" s="707"/>
      <c r="ET519" s="707"/>
      <c r="EU519" s="707"/>
      <c r="EV519" s="707"/>
      <c r="EW519" s="707"/>
      <c r="EX519" s="707"/>
      <c r="EY519" s="707"/>
      <c r="EZ519" s="707"/>
      <c r="FA519" s="707"/>
      <c r="FB519" s="707"/>
      <c r="FC519" s="707"/>
      <c r="FD519" s="707"/>
      <c r="FE519" s="707"/>
      <c r="FF519" s="707"/>
      <c r="FG519" s="707"/>
      <c r="FH519" s="707"/>
      <c r="FI519" s="707"/>
      <c r="FJ519" s="707"/>
      <c r="FK519" s="707"/>
      <c r="FL519" s="707"/>
      <c r="FM519" s="707"/>
      <c r="FN519" s="707"/>
      <c r="FO519" s="707"/>
      <c r="FP519" s="707"/>
      <c r="FQ519" s="707"/>
      <c r="FR519" s="707"/>
      <c r="FS519" s="707"/>
      <c r="FT519" s="707"/>
      <c r="FU519" s="707"/>
      <c r="FV519" s="707"/>
      <c r="FW519" s="707"/>
      <c r="FX519" s="707"/>
      <c r="FY519" s="707"/>
      <c r="FZ519" s="707"/>
      <c r="GA519" s="707"/>
      <c r="GB519" s="707"/>
      <c r="GC519" s="707"/>
      <c r="GD519" s="707"/>
      <c r="GE519" s="707"/>
      <c r="GF519" s="707"/>
      <c r="GG519" s="707"/>
      <c r="GH519" s="707"/>
      <c r="GI519" s="707"/>
      <c r="GJ519" s="707"/>
      <c r="GK519" s="707"/>
      <c r="GL519" s="707"/>
      <c r="GM519" s="707"/>
      <c r="GN519" s="707"/>
      <c r="GO519" s="707"/>
      <c r="GP519" s="707"/>
      <c r="GQ519" s="707"/>
      <c r="GR519" s="707"/>
      <c r="GS519" s="707"/>
      <c r="GT519" s="707"/>
      <c r="GU519" s="707"/>
      <c r="GV519" s="707"/>
      <c r="GW519" s="707"/>
      <c r="GX519" s="707"/>
      <c r="GY519" s="707"/>
      <c r="GZ519" s="707"/>
      <c r="HA519" s="707"/>
      <c r="HB519" s="707"/>
      <c r="HC519" s="707"/>
      <c r="HD519" s="707"/>
      <c r="HE519" s="707"/>
      <c r="HF519" s="707"/>
      <c r="HG519" s="707"/>
      <c r="HH519" s="707"/>
      <c r="HI519" s="707"/>
      <c r="HJ519" s="707"/>
      <c r="HK519" s="707"/>
      <c r="HL519" s="707"/>
      <c r="HM519" s="707"/>
      <c r="HN519" s="707"/>
      <c r="HO519" s="707"/>
      <c r="HP519" s="707"/>
      <c r="HQ519" s="707"/>
      <c r="HR519" s="707"/>
      <c r="HS519" s="707"/>
      <c r="HT519" s="707"/>
      <c r="HU519" s="707"/>
      <c r="HV519" s="707"/>
      <c r="HW519" s="707"/>
      <c r="HX519" s="707"/>
      <c r="HY519" s="707"/>
      <c r="HZ519" s="707"/>
      <c r="IA519" s="707"/>
      <c r="IB519" s="707"/>
      <c r="IC519" s="707"/>
      <c r="ID519" s="707"/>
      <c r="IE519" s="707"/>
      <c r="IF519" s="707"/>
      <c r="IG519" s="707"/>
      <c r="IH519" s="707"/>
      <c r="II519" s="707"/>
      <c r="IJ519" s="707"/>
      <c r="IK519" s="707"/>
      <c r="IL519" s="707"/>
      <c r="IM519" s="707"/>
      <c r="IN519" s="707"/>
      <c r="IO519" s="707"/>
      <c r="IP519" s="707"/>
      <c r="IQ519" s="707"/>
      <c r="IR519" s="707"/>
      <c r="IS519" s="707"/>
      <c r="IT519" s="707"/>
      <c r="IU519" s="707"/>
      <c r="IV519" s="707"/>
      <c r="IW519" s="707"/>
    </row>
    <row r="520" customFormat="false" ht="12.75" hidden="false" customHeight="false" outlineLevel="1" collapsed="false">
      <c r="A520" s="388"/>
      <c r="B520" s="719"/>
      <c r="C520" s="719"/>
      <c r="D520" s="719"/>
      <c r="E520" s="713"/>
      <c r="F520" s="713"/>
      <c r="G520" s="713"/>
      <c r="H520" s="713"/>
      <c r="I520" s="713"/>
      <c r="J520" s="713"/>
      <c r="K520" s="713"/>
      <c r="L520" s="713"/>
      <c r="M520" s="713"/>
      <c r="N520" s="713"/>
      <c r="O520" s="713"/>
      <c r="P520" s="713"/>
      <c r="Q520" s="713"/>
      <c r="R520" s="713"/>
      <c r="S520" s="713"/>
      <c r="T520" s="713"/>
      <c r="U520" s="713"/>
      <c r="V520" s="713"/>
      <c r="W520" s="713"/>
      <c r="X520" s="713"/>
      <c r="Y520" s="713"/>
      <c r="Z520" s="713"/>
      <c r="AA520" s="707"/>
      <c r="AB520" s="707"/>
      <c r="AC520" s="707"/>
      <c r="AD520" s="707"/>
      <c r="AE520" s="707"/>
      <c r="AF520" s="707"/>
      <c r="AG520" s="707"/>
      <c r="AH520" s="707"/>
      <c r="AI520" s="707"/>
      <c r="AJ520" s="707"/>
      <c r="AK520" s="707"/>
      <c r="AL520" s="707"/>
      <c r="AM520" s="707"/>
      <c r="AN520" s="707"/>
      <c r="AO520" s="707"/>
      <c r="AP520" s="707"/>
      <c r="AQ520" s="707"/>
      <c r="AR520" s="707"/>
      <c r="AS520" s="707"/>
      <c r="AT520" s="707"/>
      <c r="AU520" s="707"/>
      <c r="AV520" s="707"/>
      <c r="AW520" s="707"/>
      <c r="AX520" s="707"/>
      <c r="AY520" s="707"/>
      <c r="AZ520" s="707"/>
      <c r="BA520" s="707"/>
      <c r="BB520" s="707"/>
      <c r="BC520" s="707"/>
      <c r="BD520" s="707"/>
      <c r="BE520" s="707"/>
      <c r="BF520" s="707"/>
      <c r="BG520" s="707"/>
      <c r="BH520" s="707"/>
      <c r="BI520" s="707"/>
      <c r="BJ520" s="707"/>
      <c r="BK520" s="707"/>
      <c r="BL520" s="707"/>
      <c r="BM520" s="707"/>
      <c r="BN520" s="707"/>
      <c r="BO520" s="707"/>
      <c r="BP520" s="707"/>
      <c r="BQ520" s="707"/>
      <c r="BR520" s="707"/>
      <c r="BS520" s="707"/>
      <c r="BT520" s="707"/>
      <c r="BU520" s="707"/>
      <c r="BV520" s="707"/>
      <c r="BW520" s="707"/>
      <c r="BX520" s="707"/>
      <c r="BY520" s="707"/>
      <c r="BZ520" s="707"/>
      <c r="CA520" s="707"/>
      <c r="CB520" s="707"/>
      <c r="CC520" s="707"/>
      <c r="CD520" s="707"/>
      <c r="CE520" s="707"/>
      <c r="CF520" s="707"/>
      <c r="CG520" s="707"/>
      <c r="CH520" s="707"/>
      <c r="CI520" s="707"/>
      <c r="CJ520" s="707"/>
      <c r="CK520" s="707"/>
      <c r="CL520" s="707"/>
      <c r="CM520" s="707"/>
      <c r="CN520" s="707"/>
      <c r="CO520" s="707"/>
      <c r="CP520" s="707"/>
      <c r="CQ520" s="707"/>
      <c r="CR520" s="707"/>
      <c r="CS520" s="707"/>
      <c r="CT520" s="707"/>
      <c r="CU520" s="707"/>
      <c r="CV520" s="707"/>
      <c r="CW520" s="707"/>
      <c r="CX520" s="707"/>
      <c r="CY520" s="707"/>
      <c r="CZ520" s="707"/>
      <c r="DA520" s="707"/>
      <c r="DB520" s="707"/>
      <c r="DC520" s="707"/>
      <c r="DD520" s="707"/>
      <c r="DE520" s="707"/>
      <c r="DF520" s="707"/>
      <c r="DG520" s="707"/>
      <c r="DH520" s="707"/>
      <c r="DI520" s="707"/>
      <c r="DJ520" s="707"/>
      <c r="DK520" s="707"/>
      <c r="DL520" s="707"/>
      <c r="DM520" s="707"/>
      <c r="DN520" s="707"/>
      <c r="DO520" s="707"/>
      <c r="DP520" s="707"/>
      <c r="DQ520" s="707"/>
      <c r="DR520" s="707"/>
      <c r="DS520" s="707"/>
      <c r="DT520" s="707"/>
      <c r="DU520" s="707"/>
      <c r="DV520" s="707"/>
      <c r="DW520" s="707"/>
      <c r="DX520" s="707"/>
      <c r="DY520" s="707"/>
      <c r="DZ520" s="707"/>
      <c r="EA520" s="707"/>
      <c r="EB520" s="707"/>
      <c r="EC520" s="707"/>
      <c r="ED520" s="707"/>
      <c r="EE520" s="707"/>
      <c r="EF520" s="707"/>
      <c r="EG520" s="707"/>
      <c r="EH520" s="707"/>
      <c r="EI520" s="707"/>
      <c r="EJ520" s="707"/>
      <c r="EK520" s="707"/>
      <c r="EL520" s="707"/>
      <c r="EM520" s="707"/>
      <c r="EN520" s="707"/>
      <c r="EO520" s="707"/>
      <c r="EP520" s="707"/>
      <c r="EQ520" s="707"/>
      <c r="ER520" s="707"/>
      <c r="ES520" s="707"/>
      <c r="ET520" s="707"/>
      <c r="EU520" s="707"/>
      <c r="EV520" s="707"/>
      <c r="EW520" s="707"/>
      <c r="EX520" s="707"/>
      <c r="EY520" s="707"/>
      <c r="EZ520" s="707"/>
      <c r="FA520" s="707"/>
      <c r="FB520" s="707"/>
      <c r="FC520" s="707"/>
      <c r="FD520" s="707"/>
      <c r="FE520" s="707"/>
      <c r="FF520" s="707"/>
      <c r="FG520" s="707"/>
      <c r="FH520" s="707"/>
      <c r="FI520" s="707"/>
      <c r="FJ520" s="707"/>
      <c r="FK520" s="707"/>
      <c r="FL520" s="707"/>
      <c r="FM520" s="707"/>
      <c r="FN520" s="707"/>
      <c r="FO520" s="707"/>
      <c r="FP520" s="707"/>
      <c r="FQ520" s="707"/>
      <c r="FR520" s="707"/>
      <c r="FS520" s="707"/>
      <c r="FT520" s="707"/>
      <c r="FU520" s="707"/>
      <c r="FV520" s="707"/>
      <c r="FW520" s="707"/>
      <c r="FX520" s="707"/>
      <c r="FY520" s="707"/>
      <c r="FZ520" s="707"/>
      <c r="GA520" s="707"/>
      <c r="GB520" s="707"/>
      <c r="GC520" s="707"/>
      <c r="GD520" s="707"/>
      <c r="GE520" s="707"/>
      <c r="GF520" s="707"/>
      <c r="GG520" s="707"/>
      <c r="GH520" s="707"/>
      <c r="GI520" s="707"/>
      <c r="GJ520" s="707"/>
      <c r="GK520" s="707"/>
      <c r="GL520" s="707"/>
      <c r="GM520" s="707"/>
      <c r="GN520" s="707"/>
      <c r="GO520" s="707"/>
      <c r="GP520" s="707"/>
      <c r="GQ520" s="707"/>
      <c r="GR520" s="707"/>
      <c r="GS520" s="707"/>
      <c r="GT520" s="707"/>
      <c r="GU520" s="707"/>
      <c r="GV520" s="707"/>
      <c r="GW520" s="707"/>
      <c r="GX520" s="707"/>
      <c r="GY520" s="707"/>
      <c r="GZ520" s="707"/>
      <c r="HA520" s="707"/>
      <c r="HB520" s="707"/>
      <c r="HC520" s="707"/>
      <c r="HD520" s="707"/>
      <c r="HE520" s="707"/>
      <c r="HF520" s="707"/>
      <c r="HG520" s="707"/>
      <c r="HH520" s="707"/>
      <c r="HI520" s="707"/>
      <c r="HJ520" s="707"/>
      <c r="HK520" s="707"/>
      <c r="HL520" s="707"/>
      <c r="HM520" s="707"/>
      <c r="HN520" s="707"/>
      <c r="HO520" s="707"/>
      <c r="HP520" s="707"/>
      <c r="HQ520" s="707"/>
      <c r="HR520" s="707"/>
      <c r="HS520" s="707"/>
      <c r="HT520" s="707"/>
      <c r="HU520" s="707"/>
      <c r="HV520" s="707"/>
      <c r="HW520" s="707"/>
      <c r="HX520" s="707"/>
      <c r="HY520" s="707"/>
      <c r="HZ520" s="707"/>
      <c r="IA520" s="707"/>
      <c r="IB520" s="707"/>
      <c r="IC520" s="707"/>
      <c r="ID520" s="707"/>
      <c r="IE520" s="707"/>
      <c r="IF520" s="707"/>
      <c r="IG520" s="707"/>
      <c r="IH520" s="707"/>
      <c r="II520" s="707"/>
      <c r="IJ520" s="707"/>
      <c r="IK520" s="707"/>
      <c r="IL520" s="707"/>
      <c r="IM520" s="707"/>
      <c r="IN520" s="707"/>
      <c r="IO520" s="707"/>
      <c r="IP520" s="707"/>
      <c r="IQ520" s="707"/>
      <c r="IR520" s="707"/>
      <c r="IS520" s="707"/>
      <c r="IT520" s="707"/>
      <c r="IU520" s="707"/>
      <c r="IV520" s="707"/>
      <c r="IW520" s="707"/>
    </row>
    <row r="521" customFormat="false" ht="12.75" hidden="false" customHeight="false" outlineLevel="1" collapsed="false">
      <c r="A521" s="388"/>
      <c r="B521" s="719"/>
      <c r="C521" s="719"/>
      <c r="D521" s="719"/>
      <c r="E521" s="713"/>
      <c r="F521" s="713"/>
      <c r="G521" s="713"/>
      <c r="H521" s="713"/>
      <c r="I521" s="713"/>
      <c r="J521" s="713"/>
      <c r="K521" s="713"/>
      <c r="L521" s="713"/>
      <c r="M521" s="713"/>
      <c r="N521" s="713"/>
      <c r="O521" s="713"/>
      <c r="P521" s="713"/>
      <c r="Q521" s="713"/>
      <c r="R521" s="713"/>
      <c r="S521" s="713"/>
      <c r="T521" s="713"/>
      <c r="U521" s="713"/>
      <c r="V521" s="713"/>
      <c r="W521" s="713"/>
      <c r="X521" s="713"/>
      <c r="Y521" s="713"/>
      <c r="Z521" s="713"/>
      <c r="AA521" s="707"/>
      <c r="AB521" s="707"/>
      <c r="AC521" s="707"/>
      <c r="AD521" s="707"/>
      <c r="AE521" s="707"/>
      <c r="AF521" s="707"/>
      <c r="AG521" s="707"/>
      <c r="AH521" s="707"/>
      <c r="AI521" s="707"/>
      <c r="AJ521" s="707"/>
      <c r="AK521" s="707"/>
      <c r="AL521" s="707"/>
      <c r="AM521" s="707"/>
      <c r="AN521" s="707"/>
      <c r="AO521" s="707"/>
      <c r="AP521" s="707"/>
      <c r="AQ521" s="707"/>
      <c r="AR521" s="707"/>
      <c r="AS521" s="707"/>
      <c r="AT521" s="707"/>
      <c r="AU521" s="707"/>
      <c r="AV521" s="707"/>
      <c r="AW521" s="707"/>
      <c r="AX521" s="707"/>
      <c r="AY521" s="707"/>
      <c r="AZ521" s="707"/>
      <c r="BA521" s="707"/>
      <c r="BB521" s="707"/>
      <c r="BC521" s="707"/>
      <c r="BD521" s="707"/>
      <c r="BE521" s="707"/>
      <c r="BF521" s="707"/>
      <c r="BG521" s="707"/>
      <c r="BH521" s="707"/>
      <c r="BI521" s="707"/>
      <c r="BJ521" s="707"/>
      <c r="BK521" s="707"/>
      <c r="BL521" s="707"/>
      <c r="BM521" s="707"/>
      <c r="BN521" s="707"/>
      <c r="BO521" s="707"/>
      <c r="BP521" s="707"/>
      <c r="BQ521" s="707"/>
      <c r="BR521" s="707"/>
      <c r="BS521" s="707"/>
      <c r="BT521" s="707"/>
      <c r="BU521" s="707"/>
      <c r="BV521" s="707"/>
      <c r="BW521" s="707"/>
      <c r="BX521" s="707"/>
      <c r="BY521" s="707"/>
      <c r="BZ521" s="707"/>
      <c r="CA521" s="707"/>
      <c r="CB521" s="707"/>
      <c r="CC521" s="707"/>
      <c r="CD521" s="707"/>
      <c r="CE521" s="707"/>
      <c r="CF521" s="707"/>
      <c r="CG521" s="707"/>
      <c r="CH521" s="707"/>
      <c r="CI521" s="707"/>
      <c r="CJ521" s="707"/>
      <c r="CK521" s="707"/>
      <c r="CL521" s="707"/>
      <c r="CM521" s="707"/>
      <c r="CN521" s="707"/>
      <c r="CO521" s="707"/>
      <c r="CP521" s="707"/>
      <c r="CQ521" s="707"/>
      <c r="CR521" s="707"/>
      <c r="CS521" s="707"/>
      <c r="CT521" s="707"/>
      <c r="CU521" s="707"/>
      <c r="CV521" s="707"/>
      <c r="CW521" s="707"/>
      <c r="CX521" s="707"/>
      <c r="CY521" s="707"/>
      <c r="CZ521" s="707"/>
      <c r="DA521" s="707"/>
      <c r="DB521" s="707"/>
      <c r="DC521" s="707"/>
      <c r="DD521" s="707"/>
      <c r="DE521" s="707"/>
      <c r="DF521" s="707"/>
      <c r="DG521" s="707"/>
      <c r="DH521" s="707"/>
      <c r="DI521" s="707"/>
      <c r="DJ521" s="707"/>
      <c r="DK521" s="707"/>
      <c r="DL521" s="707"/>
      <c r="DM521" s="707"/>
      <c r="DN521" s="707"/>
      <c r="DO521" s="707"/>
      <c r="DP521" s="707"/>
      <c r="DQ521" s="707"/>
      <c r="DR521" s="707"/>
      <c r="DS521" s="707"/>
      <c r="DT521" s="707"/>
      <c r="DU521" s="707"/>
      <c r="DV521" s="707"/>
      <c r="DW521" s="707"/>
      <c r="DX521" s="707"/>
      <c r="DY521" s="707"/>
      <c r="DZ521" s="707"/>
      <c r="EA521" s="707"/>
      <c r="EB521" s="707"/>
      <c r="EC521" s="707"/>
      <c r="ED521" s="707"/>
      <c r="EE521" s="707"/>
      <c r="EF521" s="707"/>
      <c r="EG521" s="707"/>
      <c r="EH521" s="707"/>
      <c r="EI521" s="707"/>
      <c r="EJ521" s="707"/>
      <c r="EK521" s="707"/>
      <c r="EL521" s="707"/>
      <c r="EM521" s="707"/>
      <c r="EN521" s="707"/>
      <c r="EO521" s="707"/>
      <c r="EP521" s="707"/>
      <c r="EQ521" s="707"/>
      <c r="ER521" s="707"/>
      <c r="ES521" s="707"/>
      <c r="ET521" s="707"/>
      <c r="EU521" s="707"/>
      <c r="EV521" s="707"/>
      <c r="EW521" s="707"/>
      <c r="EX521" s="707"/>
      <c r="EY521" s="707"/>
      <c r="EZ521" s="707"/>
      <c r="FA521" s="707"/>
      <c r="FB521" s="707"/>
      <c r="FC521" s="707"/>
      <c r="FD521" s="707"/>
      <c r="FE521" s="707"/>
      <c r="FF521" s="707"/>
      <c r="FG521" s="707"/>
      <c r="FH521" s="707"/>
      <c r="FI521" s="707"/>
      <c r="FJ521" s="707"/>
      <c r="FK521" s="707"/>
      <c r="FL521" s="707"/>
      <c r="FM521" s="707"/>
      <c r="FN521" s="707"/>
      <c r="FO521" s="707"/>
      <c r="FP521" s="707"/>
      <c r="FQ521" s="707"/>
      <c r="FR521" s="707"/>
      <c r="FS521" s="707"/>
      <c r="FT521" s="707"/>
      <c r="FU521" s="707"/>
      <c r="FV521" s="707"/>
      <c r="FW521" s="707"/>
      <c r="FX521" s="707"/>
      <c r="FY521" s="707"/>
      <c r="FZ521" s="707"/>
      <c r="GA521" s="707"/>
      <c r="GB521" s="707"/>
      <c r="GC521" s="707"/>
      <c r="GD521" s="707"/>
      <c r="GE521" s="707"/>
      <c r="GF521" s="707"/>
      <c r="GG521" s="707"/>
      <c r="GH521" s="707"/>
      <c r="GI521" s="707"/>
      <c r="GJ521" s="707"/>
      <c r="GK521" s="707"/>
      <c r="GL521" s="707"/>
      <c r="GM521" s="707"/>
      <c r="GN521" s="707"/>
      <c r="GO521" s="707"/>
      <c r="GP521" s="707"/>
      <c r="GQ521" s="707"/>
      <c r="GR521" s="707"/>
      <c r="GS521" s="707"/>
      <c r="GT521" s="707"/>
      <c r="GU521" s="707"/>
      <c r="GV521" s="707"/>
      <c r="GW521" s="707"/>
      <c r="GX521" s="707"/>
      <c r="GY521" s="707"/>
      <c r="GZ521" s="707"/>
      <c r="HA521" s="707"/>
      <c r="HB521" s="707"/>
      <c r="HC521" s="707"/>
      <c r="HD521" s="707"/>
      <c r="HE521" s="707"/>
      <c r="HF521" s="707"/>
      <c r="HG521" s="707"/>
      <c r="HH521" s="707"/>
      <c r="HI521" s="707"/>
      <c r="HJ521" s="707"/>
      <c r="HK521" s="707"/>
      <c r="HL521" s="707"/>
      <c r="HM521" s="707"/>
      <c r="HN521" s="707"/>
      <c r="HO521" s="707"/>
      <c r="HP521" s="707"/>
      <c r="HQ521" s="707"/>
      <c r="HR521" s="707"/>
      <c r="HS521" s="707"/>
      <c r="HT521" s="707"/>
      <c r="HU521" s="707"/>
      <c r="HV521" s="707"/>
      <c r="HW521" s="707"/>
      <c r="HX521" s="707"/>
      <c r="HY521" s="707"/>
      <c r="HZ521" s="707"/>
      <c r="IA521" s="707"/>
      <c r="IB521" s="707"/>
      <c r="IC521" s="707"/>
      <c r="ID521" s="707"/>
      <c r="IE521" s="707"/>
      <c r="IF521" s="707"/>
      <c r="IG521" s="707"/>
      <c r="IH521" s="707"/>
      <c r="II521" s="707"/>
      <c r="IJ521" s="707"/>
      <c r="IK521" s="707"/>
      <c r="IL521" s="707"/>
      <c r="IM521" s="707"/>
      <c r="IN521" s="707"/>
      <c r="IO521" s="707"/>
      <c r="IP521" s="707"/>
      <c r="IQ521" s="707"/>
      <c r="IR521" s="707"/>
      <c r="IS521" s="707"/>
      <c r="IT521" s="707"/>
      <c r="IU521" s="707"/>
      <c r="IV521" s="707"/>
      <c r="IW521" s="707"/>
    </row>
    <row r="522" customFormat="false" ht="12.75" hidden="false" customHeight="false" outlineLevel="1" collapsed="false">
      <c r="A522" s="70"/>
      <c r="B522" s="70"/>
      <c r="C522" s="70"/>
      <c r="D522" s="70"/>
      <c r="E522" s="70"/>
      <c r="F522" s="70"/>
      <c r="G522" s="70"/>
      <c r="H522" s="70"/>
      <c r="I522" s="70"/>
      <c r="J522" s="70"/>
      <c r="K522" s="70"/>
      <c r="L522" s="70"/>
      <c r="M522" s="70"/>
      <c r="N522" s="70"/>
      <c r="O522" s="70"/>
      <c r="P522" s="70"/>
      <c r="Q522" s="70"/>
      <c r="R522" s="70"/>
      <c r="S522" s="70"/>
      <c r="T522" s="70"/>
      <c r="U522" s="70"/>
      <c r="V522" s="70"/>
      <c r="W522" s="70"/>
      <c r="X522" s="70"/>
      <c r="Y522" s="70"/>
      <c r="Z522" s="70"/>
    </row>
    <row r="523" customFormat="false" ht="12.75" hidden="false" customHeight="false" outlineLevel="1" collapsed="false">
      <c r="A523" s="70"/>
      <c r="B523" s="70"/>
      <c r="C523" s="70"/>
      <c r="D523" s="70"/>
      <c r="E523" s="70"/>
      <c r="F523" s="70"/>
      <c r="G523" s="70"/>
      <c r="H523" s="70"/>
      <c r="I523" s="70"/>
      <c r="J523" s="70"/>
      <c r="K523" s="70"/>
      <c r="L523" s="70"/>
      <c r="M523" s="70"/>
      <c r="N523" s="70"/>
      <c r="O523" s="70"/>
      <c r="P523" s="70"/>
      <c r="Q523" s="70"/>
      <c r="R523" s="70"/>
      <c r="S523" s="70"/>
      <c r="T523" s="70"/>
      <c r="U523" s="70"/>
      <c r="V523" s="70"/>
      <c r="W523" s="70"/>
      <c r="X523" s="70"/>
      <c r="Y523" s="70"/>
      <c r="Z523" s="70"/>
    </row>
    <row r="524" customFormat="false" ht="12.75" hidden="false" customHeight="false" outlineLevel="1" collapsed="false">
      <c r="A524" s="70"/>
      <c r="B524" s="70"/>
      <c r="C524" s="70"/>
      <c r="D524" s="70"/>
      <c r="E524" s="70"/>
      <c r="F524" s="70"/>
      <c r="G524" s="70"/>
      <c r="H524" s="70"/>
      <c r="I524" s="70"/>
      <c r="J524" s="70"/>
      <c r="K524" s="70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  <c r="Y524" s="70"/>
      <c r="Z524" s="70"/>
    </row>
    <row r="525" customFormat="false" ht="18.75" hidden="false" customHeight="false" outlineLevel="1" collapsed="false">
      <c r="A525" s="683"/>
      <c r="B525" s="70"/>
      <c r="C525" s="70"/>
      <c r="D525" s="70"/>
      <c r="E525" s="70"/>
      <c r="F525" s="70"/>
      <c r="G525" s="70"/>
      <c r="H525" s="70"/>
      <c r="I525" s="70"/>
      <c r="J525" s="70"/>
      <c r="K525" s="70"/>
      <c r="L525" s="70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  <c r="Y525" s="70"/>
      <c r="Z525" s="70"/>
    </row>
    <row r="526" customFormat="false" ht="12.75" hidden="false" customHeight="false" outlineLevel="1" collapsed="false">
      <c r="A526" s="395"/>
      <c r="B526" s="70"/>
      <c r="C526" s="70"/>
      <c r="D526" s="70"/>
      <c r="E526" s="70"/>
      <c r="F526" s="70"/>
      <c r="G526" s="70"/>
      <c r="H526" s="70"/>
      <c r="I526" s="70"/>
      <c r="J526" s="70"/>
      <c r="K526" s="70"/>
      <c r="L526" s="70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  <c r="Y526" s="70"/>
      <c r="Z526" s="70"/>
    </row>
    <row r="527" customFormat="false" ht="12.75" hidden="false" customHeight="false" outlineLevel="1" collapsed="false">
      <c r="A527" s="727"/>
      <c r="B527" s="70"/>
      <c r="C527" s="70"/>
      <c r="D527" s="70"/>
      <c r="E527" s="70"/>
      <c r="F527" s="692"/>
      <c r="G527" s="692"/>
      <c r="H527" s="692"/>
      <c r="I527" s="692"/>
      <c r="J527" s="692"/>
      <c r="K527" s="692"/>
      <c r="L527" s="692"/>
      <c r="M527" s="692"/>
      <c r="N527" s="692"/>
      <c r="O527" s="692"/>
      <c r="P527" s="692"/>
      <c r="Q527" s="692"/>
      <c r="R527" s="70"/>
      <c r="S527" s="70"/>
      <c r="T527" s="70"/>
      <c r="U527" s="70"/>
      <c r="V527" s="70"/>
      <c r="W527" s="70"/>
      <c r="X527" s="70"/>
      <c r="Y527" s="70"/>
      <c r="Z527" s="70"/>
    </row>
    <row r="528" customFormat="false" ht="12.75" hidden="false" customHeight="false" outlineLevel="1" collapsed="false">
      <c r="A528" s="70"/>
      <c r="B528" s="70"/>
      <c r="C528" s="70"/>
      <c r="D528" s="70"/>
      <c r="E528" s="70"/>
      <c r="F528" s="70"/>
      <c r="G528" s="70"/>
      <c r="H528" s="70"/>
      <c r="I528" s="70"/>
      <c r="J528" s="70"/>
      <c r="K528" s="70"/>
      <c r="L528" s="70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  <c r="Y528" s="70"/>
      <c r="Z528" s="70"/>
    </row>
    <row r="529" customFormat="false" ht="12.75" hidden="false" customHeight="false" outlineLevel="1" collapsed="false">
      <c r="A529" s="322"/>
      <c r="B529" s="322"/>
      <c r="C529" s="322"/>
      <c r="D529" s="322"/>
      <c r="E529" s="321"/>
      <c r="F529" s="321"/>
      <c r="G529" s="321"/>
      <c r="H529" s="321"/>
      <c r="I529" s="321"/>
      <c r="J529" s="321"/>
      <c r="K529" s="321"/>
      <c r="L529" s="321"/>
      <c r="M529" s="321"/>
      <c r="N529" s="321"/>
      <c r="O529" s="321"/>
      <c r="P529" s="321"/>
      <c r="Q529" s="321"/>
      <c r="R529" s="70"/>
      <c r="S529" s="70"/>
      <c r="T529" s="70"/>
      <c r="U529" s="70"/>
      <c r="V529" s="70"/>
      <c r="W529" s="70"/>
      <c r="X529" s="70"/>
      <c r="Y529" s="70"/>
      <c r="Z529" s="70"/>
    </row>
    <row r="530" customFormat="false" ht="12.75" hidden="true" customHeight="false" outlineLevel="2" collapsed="false">
      <c r="A530" s="395"/>
      <c r="B530" s="70"/>
      <c r="C530" s="70"/>
      <c r="D530" s="70"/>
      <c r="E530" s="70"/>
      <c r="F530" s="70"/>
      <c r="G530" s="70"/>
      <c r="H530" s="70"/>
      <c r="I530" s="70"/>
      <c r="J530" s="70"/>
      <c r="K530" s="70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  <c r="Y530" s="70"/>
      <c r="Z530" s="70"/>
    </row>
    <row r="531" customFormat="false" ht="12.75" hidden="true" customHeight="false" outlineLevel="2" collapsed="false">
      <c r="A531" s="685"/>
      <c r="B531" s="70"/>
      <c r="C531" s="70"/>
      <c r="D531" s="70"/>
      <c r="E531" s="70"/>
      <c r="F531" s="686"/>
      <c r="G531" s="686"/>
      <c r="H531" s="686"/>
      <c r="I531" s="686"/>
      <c r="J531" s="686"/>
      <c r="K531" s="686"/>
      <c r="L531" s="686"/>
      <c r="M531" s="686"/>
      <c r="N531" s="686"/>
      <c r="O531" s="686"/>
      <c r="P531" s="686"/>
      <c r="Q531" s="686"/>
      <c r="R531" s="70"/>
      <c r="S531" s="70"/>
      <c r="T531" s="70"/>
      <c r="U531" s="70"/>
      <c r="V531" s="70"/>
      <c r="W531" s="70"/>
      <c r="X531" s="70"/>
      <c r="Y531" s="70"/>
      <c r="Z531" s="70"/>
    </row>
    <row r="532" customFormat="false" ht="12.75" hidden="true" customHeight="false" outlineLevel="2" collapsed="false">
      <c r="A532" s="685"/>
      <c r="B532" s="70"/>
      <c r="C532" s="70"/>
      <c r="D532" s="70"/>
      <c r="E532" s="70"/>
      <c r="F532" s="686"/>
      <c r="G532" s="686"/>
      <c r="H532" s="686"/>
      <c r="I532" s="686"/>
      <c r="J532" s="686"/>
      <c r="K532" s="686"/>
      <c r="L532" s="686"/>
      <c r="M532" s="686"/>
      <c r="N532" s="686"/>
      <c r="O532" s="686"/>
      <c r="P532" s="686"/>
      <c r="Q532" s="686"/>
      <c r="R532" s="70"/>
      <c r="S532" s="70"/>
      <c r="T532" s="70"/>
      <c r="U532" s="70"/>
      <c r="V532" s="70"/>
      <c r="W532" s="70"/>
      <c r="X532" s="70"/>
      <c r="Y532" s="70"/>
      <c r="Z532" s="70"/>
    </row>
    <row r="533" customFormat="false" ht="12.75" hidden="true" customHeight="false" outlineLevel="2" collapsed="false">
      <c r="A533" s="728"/>
      <c r="B533" s="70"/>
      <c r="C533" s="70"/>
      <c r="D533" s="70"/>
      <c r="E533" s="70"/>
      <c r="F533" s="686"/>
      <c r="G533" s="686"/>
      <c r="H533" s="686"/>
      <c r="I533" s="686"/>
      <c r="J533" s="686"/>
      <c r="K533" s="686"/>
      <c r="L533" s="686"/>
      <c r="M533" s="686"/>
      <c r="N533" s="686"/>
      <c r="O533" s="686"/>
      <c r="P533" s="686"/>
      <c r="Q533" s="686"/>
      <c r="R533" s="70"/>
      <c r="S533" s="70"/>
      <c r="T533" s="70"/>
      <c r="U533" s="70"/>
      <c r="V533" s="70"/>
      <c r="W533" s="70"/>
      <c r="X533" s="70"/>
      <c r="Y533" s="70"/>
      <c r="Z533" s="70"/>
    </row>
    <row r="534" customFormat="false" ht="12.75" hidden="true" customHeight="false" outlineLevel="2" collapsed="false">
      <c r="A534" s="685"/>
      <c r="B534" s="70"/>
      <c r="C534" s="70"/>
      <c r="D534" s="70"/>
      <c r="E534" s="70"/>
      <c r="F534" s="686"/>
      <c r="G534" s="686"/>
      <c r="H534" s="686"/>
      <c r="I534" s="686"/>
      <c r="J534" s="686"/>
      <c r="K534" s="686"/>
      <c r="L534" s="686"/>
      <c r="M534" s="686"/>
      <c r="N534" s="686"/>
      <c r="O534" s="686"/>
      <c r="P534" s="686"/>
      <c r="Q534" s="686"/>
      <c r="R534" s="70"/>
      <c r="S534" s="70"/>
      <c r="T534" s="70"/>
      <c r="U534" s="70"/>
      <c r="V534" s="70"/>
      <c r="W534" s="70"/>
      <c r="X534" s="70"/>
      <c r="Y534" s="70"/>
      <c r="Z534" s="70"/>
    </row>
    <row r="535" customFormat="false" ht="12.75" hidden="true" customHeight="false" outlineLevel="2" collapsed="false">
      <c r="A535" s="70"/>
      <c r="B535" s="70"/>
      <c r="C535" s="70"/>
      <c r="D535" s="70"/>
      <c r="E535" s="70"/>
      <c r="F535" s="686"/>
      <c r="G535" s="686"/>
      <c r="H535" s="686"/>
      <c r="I535" s="686"/>
      <c r="J535" s="686"/>
      <c r="K535" s="686"/>
      <c r="L535" s="686"/>
      <c r="M535" s="686"/>
      <c r="N535" s="686"/>
      <c r="O535" s="686"/>
      <c r="P535" s="686"/>
      <c r="Q535" s="686"/>
      <c r="R535" s="70"/>
      <c r="S535" s="70"/>
      <c r="T535" s="70"/>
      <c r="U535" s="70"/>
      <c r="V535" s="70"/>
      <c r="W535" s="70"/>
      <c r="X535" s="70"/>
      <c r="Y535" s="70"/>
      <c r="Z535" s="70"/>
    </row>
    <row r="536" customFormat="false" ht="12.75" hidden="true" customHeight="false" outlineLevel="2" collapsed="false">
      <c r="A536" s="395"/>
      <c r="B536" s="70"/>
      <c r="C536" s="70"/>
      <c r="D536" s="70"/>
      <c r="E536" s="70"/>
      <c r="F536" s="686"/>
      <c r="G536" s="686"/>
      <c r="H536" s="686"/>
      <c r="I536" s="686"/>
      <c r="J536" s="686"/>
      <c r="K536" s="686"/>
      <c r="L536" s="686"/>
      <c r="M536" s="686"/>
      <c r="N536" s="686"/>
      <c r="O536" s="686"/>
      <c r="P536" s="686"/>
      <c r="Q536" s="686"/>
      <c r="R536" s="70"/>
      <c r="S536" s="70"/>
      <c r="T536" s="70"/>
      <c r="U536" s="70"/>
      <c r="V536" s="70"/>
      <c r="W536" s="70"/>
      <c r="X536" s="70"/>
      <c r="Y536" s="70"/>
      <c r="Z536" s="70"/>
    </row>
    <row r="537" customFormat="false" ht="12.75" hidden="true" customHeight="false" outlineLevel="2" collapsed="false">
      <c r="A537" s="685"/>
      <c r="B537" s="70"/>
      <c r="C537" s="70"/>
      <c r="D537" s="70"/>
      <c r="E537" s="70"/>
      <c r="F537" s="686"/>
      <c r="G537" s="686"/>
      <c r="H537" s="686"/>
      <c r="I537" s="686"/>
      <c r="J537" s="686"/>
      <c r="K537" s="686"/>
      <c r="L537" s="686"/>
      <c r="M537" s="686"/>
      <c r="N537" s="686"/>
      <c r="O537" s="686"/>
      <c r="P537" s="686"/>
      <c r="Q537" s="686"/>
      <c r="R537" s="70"/>
      <c r="S537" s="70"/>
      <c r="T537" s="70"/>
      <c r="U537" s="70"/>
      <c r="V537" s="70"/>
      <c r="W537" s="70"/>
      <c r="X537" s="70"/>
      <c r="Y537" s="70"/>
      <c r="Z537" s="70"/>
    </row>
    <row r="538" customFormat="false" ht="12.75" hidden="true" customHeight="false" outlineLevel="2" collapsed="false">
      <c r="A538" s="685"/>
      <c r="B538" s="70"/>
      <c r="C538" s="70"/>
      <c r="D538" s="70"/>
      <c r="E538" s="70"/>
      <c r="F538" s="686"/>
      <c r="G538" s="686"/>
      <c r="H538" s="686"/>
      <c r="I538" s="686"/>
      <c r="J538" s="686"/>
      <c r="K538" s="686"/>
      <c r="L538" s="686"/>
      <c r="M538" s="686"/>
      <c r="N538" s="686"/>
      <c r="O538" s="686"/>
      <c r="P538" s="686"/>
      <c r="Q538" s="686"/>
      <c r="R538" s="70"/>
      <c r="S538" s="70"/>
      <c r="T538" s="70"/>
      <c r="U538" s="70"/>
      <c r="V538" s="70"/>
      <c r="W538" s="70"/>
      <c r="X538" s="70"/>
      <c r="Y538" s="70"/>
      <c r="Z538" s="70"/>
    </row>
    <row r="539" customFormat="false" ht="12.75" hidden="true" customHeight="false" outlineLevel="2" collapsed="false">
      <c r="A539" s="685"/>
      <c r="B539" s="70"/>
      <c r="C539" s="70"/>
      <c r="D539" s="70"/>
      <c r="E539" s="70"/>
      <c r="F539" s="686"/>
      <c r="G539" s="686"/>
      <c r="H539" s="686"/>
      <c r="I539" s="686"/>
      <c r="J539" s="686"/>
      <c r="K539" s="686"/>
      <c r="L539" s="686"/>
      <c r="M539" s="686"/>
      <c r="N539" s="686"/>
      <c r="O539" s="686"/>
      <c r="P539" s="686"/>
      <c r="Q539" s="686"/>
      <c r="R539" s="70"/>
      <c r="S539" s="70"/>
      <c r="T539" s="70"/>
      <c r="U539" s="70"/>
      <c r="V539" s="70"/>
      <c r="W539" s="70"/>
      <c r="X539" s="70"/>
      <c r="Y539" s="70"/>
      <c r="Z539" s="70"/>
    </row>
    <row r="540" customFormat="false" ht="12.75" hidden="true" customHeight="false" outlineLevel="2" collapsed="false">
      <c r="A540" s="685"/>
      <c r="B540" s="70"/>
      <c r="C540" s="70"/>
      <c r="D540" s="70"/>
      <c r="E540" s="70"/>
      <c r="F540" s="686"/>
      <c r="G540" s="686"/>
      <c r="H540" s="686"/>
      <c r="I540" s="686"/>
      <c r="J540" s="686"/>
      <c r="K540" s="686"/>
      <c r="L540" s="686"/>
      <c r="M540" s="686"/>
      <c r="N540" s="686"/>
      <c r="O540" s="686"/>
      <c r="P540" s="686"/>
      <c r="Q540" s="686"/>
      <c r="R540" s="70"/>
      <c r="S540" s="70"/>
      <c r="T540" s="70"/>
      <c r="U540" s="70"/>
      <c r="V540" s="70"/>
      <c r="W540" s="70"/>
      <c r="X540" s="70"/>
      <c r="Y540" s="70"/>
      <c r="Z540" s="70"/>
    </row>
    <row r="541" customFormat="false" ht="12.75" hidden="true" customHeight="false" outlineLevel="2" collapsed="false">
      <c r="A541" s="685"/>
      <c r="B541" s="70"/>
      <c r="C541" s="70"/>
      <c r="D541" s="70"/>
      <c r="E541" s="70"/>
      <c r="F541" s="686"/>
      <c r="G541" s="686"/>
      <c r="H541" s="686"/>
      <c r="I541" s="686"/>
      <c r="J541" s="686"/>
      <c r="K541" s="686"/>
      <c r="L541" s="686"/>
      <c r="M541" s="686"/>
      <c r="N541" s="686"/>
      <c r="O541" s="686"/>
      <c r="P541" s="686"/>
      <c r="Q541" s="686"/>
      <c r="R541" s="70"/>
      <c r="S541" s="70"/>
      <c r="T541" s="70"/>
      <c r="U541" s="70"/>
      <c r="V541" s="70"/>
      <c r="W541" s="70"/>
      <c r="X541" s="70"/>
      <c r="Y541" s="70"/>
      <c r="Z541" s="70"/>
    </row>
    <row r="542" customFormat="false" ht="12.75" hidden="true" customHeight="false" outlineLevel="2" collapsed="false">
      <c r="A542" s="685"/>
      <c r="B542" s="70"/>
      <c r="C542" s="70"/>
      <c r="D542" s="70"/>
      <c r="E542" s="70"/>
      <c r="F542" s="686"/>
      <c r="G542" s="686"/>
      <c r="H542" s="686"/>
      <c r="I542" s="686"/>
      <c r="J542" s="686"/>
      <c r="K542" s="686"/>
      <c r="L542" s="686"/>
      <c r="M542" s="686"/>
      <c r="N542" s="686"/>
      <c r="O542" s="686"/>
      <c r="P542" s="686"/>
      <c r="Q542" s="686"/>
      <c r="R542" s="70"/>
      <c r="S542" s="70"/>
      <c r="T542" s="70"/>
      <c r="U542" s="70"/>
      <c r="V542" s="70"/>
      <c r="W542" s="70"/>
      <c r="X542" s="70"/>
      <c r="Y542" s="70"/>
      <c r="Z542" s="70"/>
    </row>
    <row r="543" customFormat="false" ht="12.75" hidden="true" customHeight="false" outlineLevel="2" collapsed="false">
      <c r="A543" s="685"/>
      <c r="B543" s="70"/>
      <c r="C543" s="70"/>
      <c r="D543" s="70"/>
      <c r="E543" s="70"/>
      <c r="F543" s="686"/>
      <c r="G543" s="686"/>
      <c r="H543" s="686"/>
      <c r="I543" s="686"/>
      <c r="J543" s="686"/>
      <c r="K543" s="686"/>
      <c r="L543" s="686"/>
      <c r="M543" s="686"/>
      <c r="N543" s="686"/>
      <c r="O543" s="686"/>
      <c r="P543" s="686"/>
      <c r="Q543" s="686"/>
      <c r="R543" s="70"/>
      <c r="S543" s="70"/>
      <c r="T543" s="70"/>
      <c r="U543" s="70"/>
      <c r="V543" s="70"/>
      <c r="W543" s="70"/>
      <c r="X543" s="70"/>
      <c r="Y543" s="70"/>
      <c r="Z543" s="70"/>
    </row>
    <row r="544" customFormat="false" ht="12.75" hidden="true" customHeight="false" outlineLevel="2" collapsed="false">
      <c r="A544" s="685"/>
      <c r="B544" s="70"/>
      <c r="C544" s="70"/>
      <c r="D544" s="70"/>
      <c r="E544" s="70"/>
      <c r="F544" s="686"/>
      <c r="G544" s="686"/>
      <c r="H544" s="686"/>
      <c r="I544" s="686"/>
      <c r="J544" s="686"/>
      <c r="K544" s="686"/>
      <c r="L544" s="686"/>
      <c r="M544" s="686"/>
      <c r="N544" s="686"/>
      <c r="O544" s="686"/>
      <c r="P544" s="686"/>
      <c r="Q544" s="686"/>
      <c r="R544" s="70"/>
      <c r="S544" s="70"/>
      <c r="T544" s="70"/>
      <c r="U544" s="70"/>
      <c r="V544" s="70"/>
      <c r="W544" s="70"/>
      <c r="X544" s="70"/>
      <c r="Y544" s="70"/>
      <c r="Z544" s="70"/>
    </row>
    <row r="545" customFormat="false" ht="12.75" hidden="true" customHeight="false" outlineLevel="2" collapsed="false">
      <c r="A545" s="685"/>
      <c r="B545" s="70"/>
      <c r="C545" s="70"/>
      <c r="D545" s="70"/>
      <c r="E545" s="70"/>
      <c r="F545" s="686"/>
      <c r="G545" s="686"/>
      <c r="H545" s="686"/>
      <c r="I545" s="686"/>
      <c r="J545" s="686"/>
      <c r="K545" s="686"/>
      <c r="L545" s="686"/>
      <c r="M545" s="686"/>
      <c r="N545" s="686"/>
      <c r="O545" s="686"/>
      <c r="P545" s="686"/>
      <c r="Q545" s="686"/>
      <c r="R545" s="70"/>
      <c r="S545" s="70"/>
      <c r="T545" s="70"/>
      <c r="U545" s="70"/>
      <c r="V545" s="70"/>
      <c r="W545" s="70"/>
      <c r="X545" s="70"/>
      <c r="Y545" s="70"/>
      <c r="Z545" s="70"/>
    </row>
    <row r="546" customFormat="false" ht="12.75" hidden="true" customHeight="false" outlineLevel="2" collapsed="false">
      <c r="A546" s="685"/>
      <c r="B546" s="70"/>
      <c r="C546" s="70"/>
      <c r="D546" s="70"/>
      <c r="E546" s="70"/>
      <c r="F546" s="686"/>
      <c r="G546" s="686"/>
      <c r="H546" s="686"/>
      <c r="I546" s="686"/>
      <c r="J546" s="686"/>
      <c r="K546" s="686"/>
      <c r="L546" s="686"/>
      <c r="M546" s="686"/>
      <c r="N546" s="686"/>
      <c r="O546" s="686"/>
      <c r="P546" s="686"/>
      <c r="Q546" s="686"/>
      <c r="R546" s="70"/>
      <c r="S546" s="70"/>
      <c r="T546" s="70"/>
      <c r="U546" s="70"/>
      <c r="V546" s="70"/>
      <c r="W546" s="70"/>
      <c r="X546" s="70"/>
      <c r="Y546" s="70"/>
      <c r="Z546" s="70"/>
    </row>
    <row r="547" customFormat="false" ht="12.75" hidden="true" customHeight="false" outlineLevel="2" collapsed="false">
      <c r="A547" s="70"/>
      <c r="B547" s="70"/>
      <c r="C547" s="70"/>
      <c r="D547" s="70"/>
      <c r="E547" s="70"/>
      <c r="F547" s="686"/>
      <c r="G547" s="686"/>
      <c r="H547" s="686"/>
      <c r="I547" s="686"/>
      <c r="J547" s="686"/>
      <c r="K547" s="686"/>
      <c r="L547" s="686"/>
      <c r="M547" s="686"/>
      <c r="N547" s="686"/>
      <c r="O547" s="686"/>
      <c r="P547" s="686"/>
      <c r="Q547" s="686"/>
      <c r="R547" s="70"/>
      <c r="S547" s="70"/>
      <c r="T547" s="70"/>
      <c r="U547" s="70"/>
      <c r="V547" s="70"/>
      <c r="W547" s="70"/>
      <c r="X547" s="70"/>
      <c r="Y547" s="70"/>
      <c r="Z547" s="70"/>
    </row>
    <row r="548" customFormat="false" ht="12.75" hidden="true" customHeight="false" outlineLevel="2" collapsed="false">
      <c r="A548" s="70"/>
      <c r="B548" s="70"/>
      <c r="C548" s="70"/>
      <c r="D548" s="70"/>
      <c r="E548" s="70"/>
      <c r="F548" s="686"/>
      <c r="G548" s="686"/>
      <c r="H548" s="686"/>
      <c r="I548" s="686"/>
      <c r="J548" s="686"/>
      <c r="K548" s="686"/>
      <c r="L548" s="686"/>
      <c r="M548" s="686"/>
      <c r="N548" s="686"/>
      <c r="O548" s="686"/>
      <c r="P548" s="686"/>
      <c r="Q548" s="686"/>
      <c r="R548" s="70"/>
      <c r="S548" s="70"/>
      <c r="T548" s="70"/>
      <c r="U548" s="70"/>
      <c r="V548" s="70"/>
      <c r="W548" s="70"/>
      <c r="X548" s="70"/>
      <c r="Y548" s="70"/>
      <c r="Z548" s="70"/>
    </row>
    <row r="549" customFormat="false" ht="12.75" hidden="true" customHeight="false" outlineLevel="2" collapsed="false">
      <c r="A549" s="70"/>
      <c r="B549" s="70"/>
      <c r="C549" s="70"/>
      <c r="D549" s="70"/>
      <c r="E549" s="70"/>
      <c r="F549" s="686"/>
      <c r="G549" s="686"/>
      <c r="H549" s="686"/>
      <c r="I549" s="686"/>
      <c r="J549" s="686"/>
      <c r="K549" s="686"/>
      <c r="L549" s="686"/>
      <c r="M549" s="686"/>
      <c r="N549" s="686"/>
      <c r="O549" s="686"/>
      <c r="P549" s="686"/>
      <c r="Q549" s="686"/>
      <c r="R549" s="70"/>
      <c r="S549" s="70"/>
      <c r="T549" s="70"/>
      <c r="U549" s="70"/>
      <c r="V549" s="70"/>
      <c r="W549" s="70"/>
      <c r="X549" s="70"/>
      <c r="Y549" s="70"/>
      <c r="Z549" s="70"/>
    </row>
    <row r="550" customFormat="false" ht="12.75" hidden="true" customHeight="false" outlineLevel="2" collapsed="false">
      <c r="A550" s="685"/>
      <c r="B550" s="70"/>
      <c r="C550" s="70"/>
      <c r="D550" s="70"/>
      <c r="E550" s="70"/>
      <c r="F550" s="686"/>
      <c r="G550" s="686"/>
      <c r="H550" s="686"/>
      <c r="I550" s="686"/>
      <c r="J550" s="686"/>
      <c r="K550" s="686"/>
      <c r="L550" s="686"/>
      <c r="M550" s="686"/>
      <c r="N550" s="686"/>
      <c r="O550" s="686"/>
      <c r="P550" s="686"/>
      <c r="Q550" s="686"/>
      <c r="R550" s="70"/>
      <c r="S550" s="70"/>
      <c r="T550" s="70"/>
      <c r="U550" s="70"/>
      <c r="V550" s="70"/>
      <c r="W550" s="70"/>
      <c r="X550" s="70"/>
      <c r="Y550" s="70"/>
      <c r="Z550" s="70"/>
    </row>
    <row r="551" customFormat="false" ht="12.75" hidden="true" customHeight="false" outlineLevel="2" collapsed="false">
      <c r="A551" s="70"/>
      <c r="B551" s="70"/>
      <c r="C551" s="70"/>
      <c r="D551" s="70"/>
      <c r="E551" s="70"/>
      <c r="F551" s="686"/>
      <c r="G551" s="686"/>
      <c r="H551" s="686"/>
      <c r="I551" s="686"/>
      <c r="J551" s="686"/>
      <c r="K551" s="686"/>
      <c r="L551" s="686"/>
      <c r="M551" s="686"/>
      <c r="N551" s="686"/>
      <c r="O551" s="686"/>
      <c r="P551" s="686"/>
      <c r="Q551" s="686"/>
      <c r="R551" s="70"/>
      <c r="S551" s="70"/>
      <c r="T551" s="70"/>
      <c r="U551" s="70"/>
      <c r="V551" s="70"/>
      <c r="W551" s="70"/>
      <c r="X551" s="70"/>
      <c r="Y551" s="70"/>
      <c r="Z551" s="70"/>
    </row>
    <row r="552" customFormat="false" ht="12.75" hidden="true" customHeight="false" outlineLevel="2" collapsed="false">
      <c r="A552" s="70"/>
      <c r="B552" s="70"/>
      <c r="C552" s="70"/>
      <c r="D552" s="70"/>
      <c r="E552" s="70"/>
      <c r="F552" s="686"/>
      <c r="G552" s="686"/>
      <c r="H552" s="686"/>
      <c r="I552" s="686"/>
      <c r="J552" s="686"/>
      <c r="K552" s="686"/>
      <c r="L552" s="686"/>
      <c r="M552" s="686"/>
      <c r="N552" s="686"/>
      <c r="O552" s="686"/>
      <c r="P552" s="686"/>
      <c r="Q552" s="686"/>
      <c r="R552" s="70"/>
      <c r="S552" s="70"/>
      <c r="T552" s="70"/>
      <c r="U552" s="70"/>
      <c r="V552" s="70"/>
      <c r="W552" s="70"/>
      <c r="X552" s="70"/>
      <c r="Y552" s="70"/>
      <c r="Z552" s="70"/>
    </row>
    <row r="553" customFormat="false" ht="12.75" hidden="true" customHeight="false" outlineLevel="2" collapsed="false">
      <c r="A553" s="395"/>
      <c r="B553" s="70"/>
      <c r="C553" s="70"/>
      <c r="D553" s="70"/>
      <c r="E553" s="70"/>
      <c r="F553" s="686"/>
      <c r="G553" s="686"/>
      <c r="H553" s="686"/>
      <c r="I553" s="686"/>
      <c r="J553" s="686"/>
      <c r="K553" s="686"/>
      <c r="L553" s="686"/>
      <c r="M553" s="686"/>
      <c r="N553" s="686"/>
      <c r="O553" s="686"/>
      <c r="P553" s="686"/>
      <c r="Q553" s="686"/>
      <c r="R553" s="70"/>
      <c r="S553" s="70"/>
      <c r="T553" s="70"/>
      <c r="U553" s="70"/>
      <c r="V553" s="70"/>
      <c r="W553" s="70"/>
      <c r="X553" s="70"/>
      <c r="Y553" s="70"/>
      <c r="Z553" s="70"/>
    </row>
    <row r="554" customFormat="false" ht="12.75" hidden="true" customHeight="false" outlineLevel="2" collapsed="false">
      <c r="A554" s="685"/>
      <c r="B554" s="70"/>
      <c r="C554" s="70"/>
      <c r="D554" s="70"/>
      <c r="E554" s="70"/>
      <c r="F554" s="686"/>
      <c r="G554" s="686"/>
      <c r="H554" s="686"/>
      <c r="I554" s="686"/>
      <c r="J554" s="686"/>
      <c r="K554" s="686"/>
      <c r="L554" s="686"/>
      <c r="M554" s="686"/>
      <c r="N554" s="686"/>
      <c r="O554" s="686"/>
      <c r="P554" s="686"/>
      <c r="Q554" s="686"/>
      <c r="R554" s="70"/>
      <c r="S554" s="70"/>
      <c r="T554" s="70"/>
      <c r="U554" s="70"/>
      <c r="V554" s="70"/>
      <c r="W554" s="70"/>
      <c r="X554" s="70"/>
      <c r="Y554" s="70"/>
      <c r="Z554" s="70"/>
    </row>
    <row r="555" customFormat="false" ht="12.75" hidden="false" customHeight="false" outlineLevel="1" collapsed="true">
      <c r="A555" s="395"/>
      <c r="B555" s="70"/>
      <c r="C555" s="70"/>
      <c r="D555" s="70"/>
      <c r="E555" s="70"/>
      <c r="F555" s="686"/>
      <c r="G555" s="686"/>
      <c r="H555" s="686"/>
      <c r="I555" s="686"/>
      <c r="J555" s="686"/>
      <c r="K555" s="686"/>
      <c r="L555" s="686"/>
      <c r="M555" s="686"/>
      <c r="N555" s="686"/>
      <c r="O555" s="686"/>
      <c r="P555" s="686"/>
      <c r="Q555" s="686"/>
      <c r="R555" s="70"/>
      <c r="S555" s="70"/>
      <c r="T555" s="70"/>
      <c r="U555" s="70"/>
      <c r="V555" s="70"/>
      <c r="W555" s="70"/>
      <c r="X555" s="70"/>
      <c r="Y555" s="70"/>
      <c r="Z555" s="70"/>
    </row>
    <row r="556" customFormat="false" ht="12.75" hidden="false" customHeight="false" outlineLevel="1" collapsed="false">
      <c r="A556" s="395"/>
      <c r="B556" s="70"/>
      <c r="C556" s="70"/>
      <c r="D556" s="70"/>
      <c r="E556" s="70"/>
      <c r="F556" s="686"/>
      <c r="G556" s="686"/>
      <c r="H556" s="686"/>
      <c r="I556" s="686"/>
      <c r="J556" s="686"/>
      <c r="K556" s="686"/>
      <c r="L556" s="686"/>
      <c r="M556" s="686"/>
      <c r="N556" s="686"/>
      <c r="O556" s="686"/>
      <c r="P556" s="686"/>
      <c r="Q556" s="686"/>
      <c r="R556" s="70"/>
      <c r="S556" s="70"/>
      <c r="T556" s="70"/>
      <c r="U556" s="70"/>
      <c r="V556" s="70"/>
      <c r="W556" s="70"/>
      <c r="X556" s="70"/>
      <c r="Y556" s="70"/>
      <c r="Z556" s="70"/>
    </row>
    <row r="557" customFormat="false" ht="12.75" hidden="false" customHeight="false" outlineLevel="1" collapsed="false">
      <c r="A557" s="395"/>
      <c r="B557" s="70"/>
      <c r="C557" s="70"/>
      <c r="D557" s="70"/>
      <c r="E557" s="70"/>
      <c r="F557" s="686"/>
      <c r="G557" s="686"/>
      <c r="H557" s="686"/>
      <c r="I557" s="686"/>
      <c r="J557" s="686"/>
      <c r="K557" s="686"/>
      <c r="L557" s="686"/>
      <c r="M557" s="686"/>
      <c r="N557" s="686"/>
      <c r="O557" s="686"/>
      <c r="P557" s="686"/>
      <c r="Q557" s="686"/>
      <c r="R557" s="70"/>
      <c r="S557" s="70"/>
      <c r="T557" s="70"/>
      <c r="U557" s="70"/>
      <c r="V557" s="70"/>
      <c r="W557" s="70"/>
      <c r="X557" s="70"/>
      <c r="Y557" s="70"/>
      <c r="Z557" s="70"/>
    </row>
    <row r="558" customFormat="false" ht="12.75" hidden="false" customHeight="false" outlineLevel="1" collapsed="false">
      <c r="A558" s="70"/>
      <c r="B558" s="70"/>
      <c r="C558" s="70"/>
      <c r="D558" s="70"/>
      <c r="E558" s="70"/>
      <c r="F558" s="686"/>
      <c r="G558" s="686"/>
      <c r="H558" s="686"/>
      <c r="I558" s="686"/>
      <c r="J558" s="686"/>
      <c r="K558" s="686"/>
      <c r="L558" s="686"/>
      <c r="M558" s="686"/>
      <c r="N558" s="686"/>
      <c r="O558" s="686"/>
      <c r="P558" s="686"/>
      <c r="Q558" s="686"/>
      <c r="R558" s="70"/>
      <c r="S558" s="70"/>
      <c r="T558" s="70"/>
      <c r="U558" s="70"/>
      <c r="V558" s="70"/>
      <c r="W558" s="70"/>
      <c r="X558" s="70"/>
      <c r="Y558" s="70"/>
      <c r="Z558" s="70"/>
    </row>
    <row r="559" customFormat="false" ht="12.75" hidden="false" customHeight="false" outlineLevel="1" collapsed="false">
      <c r="A559" s="70"/>
      <c r="B559" s="70"/>
      <c r="C559" s="70"/>
      <c r="D559" s="70"/>
      <c r="E559" s="70"/>
      <c r="F559" s="686"/>
      <c r="G559" s="686"/>
      <c r="H559" s="686"/>
      <c r="I559" s="686"/>
      <c r="J559" s="686"/>
      <c r="K559" s="686"/>
      <c r="L559" s="686"/>
      <c r="M559" s="686"/>
      <c r="N559" s="686"/>
      <c r="O559" s="686"/>
      <c r="P559" s="686"/>
      <c r="Q559" s="686"/>
      <c r="R559" s="70"/>
      <c r="S559" s="70"/>
      <c r="T559" s="70"/>
      <c r="U559" s="70"/>
      <c r="V559" s="70"/>
      <c r="W559" s="70"/>
      <c r="X559" s="70"/>
      <c r="Y559" s="70"/>
      <c r="Z559" s="70"/>
    </row>
    <row r="560" customFormat="false" ht="12.75" hidden="false" customHeight="false" outlineLevel="1" collapsed="false">
      <c r="A560" s="395"/>
      <c r="B560" s="70"/>
      <c r="C560" s="70"/>
      <c r="D560" s="70"/>
      <c r="E560" s="70"/>
      <c r="F560" s="686"/>
      <c r="G560" s="686"/>
      <c r="H560" s="686"/>
      <c r="I560" s="686"/>
      <c r="J560" s="686"/>
      <c r="K560" s="686"/>
      <c r="L560" s="686"/>
      <c r="M560" s="686"/>
      <c r="N560" s="686"/>
      <c r="O560" s="686"/>
      <c r="P560" s="686"/>
      <c r="Q560" s="686"/>
      <c r="R560" s="70"/>
      <c r="S560" s="70"/>
      <c r="T560" s="70"/>
      <c r="U560" s="70"/>
      <c r="V560" s="70"/>
      <c r="W560" s="70"/>
      <c r="X560" s="70"/>
      <c r="Y560" s="70"/>
      <c r="Z560" s="70"/>
    </row>
    <row r="561" customFormat="false" ht="12.75" hidden="false" customHeight="false" outlineLevel="1" collapsed="false">
      <c r="A561" s="395"/>
      <c r="B561" s="70"/>
      <c r="C561" s="70"/>
      <c r="D561" s="70"/>
      <c r="E561" s="70"/>
      <c r="F561" s="686"/>
      <c r="G561" s="686"/>
      <c r="H561" s="686"/>
      <c r="I561" s="686"/>
      <c r="J561" s="686"/>
      <c r="K561" s="686"/>
      <c r="L561" s="686"/>
      <c r="M561" s="686"/>
      <c r="N561" s="686"/>
      <c r="O561" s="686"/>
      <c r="P561" s="686"/>
      <c r="Q561" s="686"/>
      <c r="R561" s="70"/>
      <c r="S561" s="70"/>
      <c r="T561" s="70"/>
      <c r="U561" s="70"/>
      <c r="V561" s="70"/>
      <c r="W561" s="70"/>
      <c r="X561" s="70"/>
      <c r="Y561" s="70"/>
      <c r="Z561" s="70"/>
    </row>
    <row r="562" customFormat="false" ht="12.75" hidden="false" customHeight="false" outlineLevel="1" collapsed="false">
      <c r="A562" s="395"/>
      <c r="B562" s="70"/>
      <c r="C562" s="70"/>
      <c r="D562" s="70"/>
      <c r="E562" s="70"/>
      <c r="F562" s="686"/>
      <c r="G562" s="686"/>
      <c r="H562" s="686"/>
      <c r="I562" s="686"/>
      <c r="J562" s="686"/>
      <c r="K562" s="686"/>
      <c r="L562" s="686"/>
      <c r="M562" s="686"/>
      <c r="N562" s="686"/>
      <c r="O562" s="686"/>
      <c r="P562" s="686"/>
      <c r="Q562" s="686"/>
      <c r="R562" s="70"/>
      <c r="S562" s="70"/>
      <c r="T562" s="70"/>
      <c r="U562" s="70"/>
      <c r="V562" s="70"/>
      <c r="W562" s="70"/>
      <c r="X562" s="70"/>
      <c r="Y562" s="70"/>
      <c r="Z562" s="70"/>
    </row>
    <row r="563" customFormat="false" ht="12.75" hidden="false" customHeight="false" outlineLevel="1" collapsed="false">
      <c r="A563" s="395"/>
      <c r="B563" s="70"/>
      <c r="C563" s="70"/>
      <c r="D563" s="70"/>
      <c r="E563" s="70"/>
      <c r="F563" s="686"/>
      <c r="G563" s="686"/>
      <c r="H563" s="686"/>
      <c r="I563" s="686"/>
      <c r="J563" s="686"/>
      <c r="K563" s="686"/>
      <c r="L563" s="686"/>
      <c r="M563" s="686"/>
      <c r="N563" s="686"/>
      <c r="O563" s="686"/>
      <c r="P563" s="686"/>
      <c r="Q563" s="686"/>
      <c r="R563" s="70"/>
      <c r="S563" s="70"/>
      <c r="T563" s="70"/>
      <c r="U563" s="70"/>
      <c r="V563" s="70"/>
      <c r="W563" s="70"/>
      <c r="X563" s="70"/>
      <c r="Y563" s="70"/>
      <c r="Z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  <c r="F564" s="70"/>
      <c r="G564" s="70"/>
      <c r="H564" s="70"/>
      <c r="I564" s="686"/>
      <c r="J564" s="686"/>
      <c r="K564" s="686"/>
      <c r="L564" s="686"/>
      <c r="M564" s="686"/>
      <c r="N564" s="686"/>
      <c r="O564" s="686"/>
      <c r="P564" s="686"/>
      <c r="Q564" s="686"/>
      <c r="R564" s="70"/>
      <c r="S564" s="70"/>
      <c r="T564" s="70"/>
      <c r="U564" s="70"/>
      <c r="V564" s="70"/>
      <c r="W564" s="70"/>
      <c r="X564" s="70"/>
      <c r="Y564" s="70"/>
      <c r="Z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  <c r="F565" s="70"/>
      <c r="G565" s="70"/>
      <c r="H565" s="70"/>
      <c r="I565" s="686"/>
      <c r="J565" s="686"/>
      <c r="K565" s="686"/>
      <c r="L565" s="686"/>
      <c r="M565" s="686"/>
      <c r="N565" s="686"/>
      <c r="O565" s="686"/>
      <c r="P565" s="686"/>
      <c r="Q565" s="686"/>
      <c r="R565" s="70"/>
      <c r="S565" s="70"/>
      <c r="T565" s="70"/>
      <c r="U565" s="70"/>
      <c r="V565" s="70"/>
      <c r="W565" s="70"/>
      <c r="X565" s="70"/>
      <c r="Y565" s="70"/>
      <c r="Z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  <c r="F566" s="70"/>
      <c r="G566" s="70"/>
      <c r="H566" s="70"/>
      <c r="I566" s="686"/>
      <c r="J566" s="686"/>
      <c r="K566" s="686"/>
      <c r="L566" s="686"/>
      <c r="M566" s="686"/>
      <c r="N566" s="686"/>
      <c r="O566" s="686"/>
      <c r="P566" s="686"/>
      <c r="Q566" s="686"/>
      <c r="R566" s="70"/>
      <c r="S566" s="70"/>
      <c r="T566" s="70"/>
      <c r="U566" s="70"/>
      <c r="V566" s="70"/>
      <c r="W566" s="70"/>
      <c r="X566" s="70"/>
      <c r="Y566" s="70"/>
      <c r="Z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  <c r="F567" s="70"/>
      <c r="G567" s="70"/>
      <c r="H567" s="70"/>
      <c r="I567" s="686"/>
      <c r="J567" s="686"/>
      <c r="K567" s="686"/>
      <c r="L567" s="686"/>
      <c r="M567" s="686"/>
      <c r="N567" s="686"/>
      <c r="O567" s="686"/>
      <c r="P567" s="686"/>
      <c r="Q567" s="686"/>
      <c r="R567" s="70"/>
      <c r="S567" s="70"/>
      <c r="T567" s="70"/>
      <c r="U567" s="70"/>
      <c r="V567" s="70"/>
      <c r="W567" s="70"/>
      <c r="X567" s="70"/>
      <c r="Y567" s="70"/>
      <c r="Z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  <c r="F568" s="70"/>
      <c r="G568" s="70"/>
      <c r="H568" s="70"/>
      <c r="I568" s="686"/>
      <c r="J568" s="686"/>
      <c r="K568" s="686"/>
      <c r="L568" s="686"/>
      <c r="M568" s="686"/>
      <c r="N568" s="686"/>
      <c r="O568" s="686"/>
      <c r="P568" s="686"/>
      <c r="Q568" s="686"/>
      <c r="R568" s="70"/>
      <c r="S568" s="70"/>
      <c r="T568" s="70"/>
      <c r="U568" s="70"/>
      <c r="V568" s="70"/>
      <c r="W568" s="70"/>
      <c r="X568" s="70"/>
      <c r="Y568" s="70"/>
      <c r="Z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  <c r="F569" s="70"/>
      <c r="G569" s="70"/>
      <c r="H569" s="70"/>
      <c r="I569" s="70"/>
      <c r="J569" s="70"/>
      <c r="K569" s="70"/>
      <c r="L569" s="70"/>
      <c r="M569" s="70"/>
      <c r="N569" s="70"/>
      <c r="O569" s="70"/>
      <c r="P569" s="70"/>
      <c r="Q569" s="70"/>
      <c r="R569" s="70"/>
      <c r="S569" s="70"/>
      <c r="T569" s="70"/>
      <c r="U569" s="70"/>
      <c r="V569" s="70"/>
      <c r="W569" s="70"/>
      <c r="X569" s="70"/>
      <c r="Y569" s="70"/>
      <c r="Z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  <c r="F570" s="70"/>
      <c r="G570" s="70"/>
      <c r="H570" s="70"/>
      <c r="I570" s="70"/>
      <c r="J570" s="70"/>
      <c r="K570" s="70"/>
      <c r="L570" s="70"/>
      <c r="M570" s="70"/>
      <c r="N570" s="70"/>
      <c r="O570" s="70"/>
      <c r="P570" s="70"/>
      <c r="Q570" s="70"/>
      <c r="R570" s="70"/>
      <c r="S570" s="70"/>
      <c r="T570" s="70"/>
      <c r="U570" s="70"/>
      <c r="V570" s="70"/>
      <c r="W570" s="70"/>
      <c r="X570" s="70"/>
      <c r="Y570" s="70"/>
      <c r="Z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  <c r="F571" s="70"/>
      <c r="G571" s="70"/>
      <c r="H571" s="70"/>
      <c r="I571" s="70"/>
      <c r="J571" s="70"/>
      <c r="K571" s="70"/>
      <c r="L571" s="70"/>
      <c r="M571" s="70"/>
      <c r="N571" s="70"/>
      <c r="O571" s="70"/>
      <c r="P571" s="70"/>
      <c r="Q571" s="70"/>
      <c r="R571" s="70"/>
      <c r="S571" s="70"/>
      <c r="T571" s="70"/>
      <c r="U571" s="70"/>
      <c r="V571" s="70"/>
      <c r="W571" s="70"/>
      <c r="X571" s="70"/>
      <c r="Y571" s="70"/>
      <c r="Z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  <c r="F572" s="70"/>
      <c r="G572" s="70"/>
      <c r="H572" s="70"/>
      <c r="I572" s="70"/>
      <c r="J572" s="70"/>
      <c r="K572" s="70"/>
      <c r="L572" s="70"/>
      <c r="M572" s="70"/>
      <c r="N572" s="70"/>
      <c r="O572" s="70"/>
      <c r="P572" s="70"/>
      <c r="Q572" s="70"/>
      <c r="R572" s="70"/>
      <c r="S572" s="70"/>
      <c r="T572" s="70"/>
      <c r="U572" s="70"/>
      <c r="V572" s="70"/>
      <c r="W572" s="70"/>
      <c r="X572" s="70"/>
      <c r="Y572" s="70"/>
      <c r="Z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  <c r="F573" s="70"/>
      <c r="G573" s="70"/>
      <c r="H573" s="70"/>
      <c r="I573" s="70"/>
      <c r="J573" s="70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  <c r="Z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  <c r="F574" s="70"/>
      <c r="G574" s="70"/>
      <c r="H574" s="70"/>
      <c r="I574" s="70"/>
      <c r="J574" s="70"/>
      <c r="K574" s="70"/>
      <c r="L574" s="70"/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70"/>
      <c r="X574" s="70"/>
      <c r="Y574" s="70"/>
      <c r="Z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  <c r="F575" s="70"/>
      <c r="G575" s="70"/>
      <c r="H575" s="70"/>
      <c r="I575" s="70"/>
      <c r="J575" s="70"/>
      <c r="K575" s="70"/>
      <c r="L575" s="70"/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70"/>
      <c r="X575" s="70"/>
      <c r="Y575" s="70"/>
      <c r="Z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  <c r="F576" s="70"/>
      <c r="G576" s="70"/>
      <c r="H576" s="70"/>
      <c r="I576" s="70"/>
      <c r="J576" s="70"/>
      <c r="K576" s="70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  <c r="Y576" s="70"/>
      <c r="Z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  <c r="F577" s="70"/>
      <c r="G577" s="70"/>
      <c r="H577" s="70"/>
      <c r="I577" s="70"/>
      <c r="J577" s="70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  <c r="Y577" s="70"/>
      <c r="Z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  <c r="F578" s="70"/>
      <c r="G578" s="70"/>
      <c r="H578" s="70"/>
      <c r="I578" s="70"/>
      <c r="J578" s="70"/>
      <c r="K578" s="70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  <c r="Y578" s="70"/>
      <c r="Z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  <c r="F579" s="70"/>
      <c r="G579" s="70"/>
      <c r="H579" s="70"/>
      <c r="I579" s="70"/>
      <c r="J579" s="70"/>
      <c r="K579" s="70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  <c r="Y579" s="70"/>
      <c r="Z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  <c r="F580" s="70"/>
      <c r="G580" s="70"/>
      <c r="H580" s="70"/>
      <c r="I580" s="70"/>
      <c r="J580" s="70"/>
      <c r="K580" s="70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  <c r="Y580" s="70"/>
      <c r="Z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  <c r="F581" s="70"/>
      <c r="G581" s="70"/>
      <c r="H581" s="70"/>
      <c r="I581" s="70"/>
      <c r="J581" s="70"/>
      <c r="K581" s="70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  <c r="Y581" s="70"/>
      <c r="Z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  <c r="F582" s="70"/>
      <c r="G582" s="70"/>
      <c r="H582" s="70"/>
      <c r="I582" s="70"/>
      <c r="J582" s="70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  <c r="Z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  <c r="F583" s="70"/>
      <c r="G583" s="70"/>
      <c r="H583" s="70"/>
      <c r="I583" s="70"/>
      <c r="J583" s="70"/>
      <c r="K583" s="70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  <c r="Y583" s="70"/>
      <c r="Z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  <c r="F584" s="70"/>
      <c r="G584" s="70"/>
      <c r="H584" s="70"/>
      <c r="I584" s="70"/>
      <c r="J584" s="70"/>
      <c r="K584" s="70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  <c r="Y584" s="70"/>
      <c r="Z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  <c r="F585" s="70"/>
      <c r="G585" s="70"/>
      <c r="H585" s="70"/>
      <c r="I585" s="70"/>
      <c r="J585" s="70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  <c r="Y585" s="70"/>
      <c r="Z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  <c r="F586" s="70"/>
      <c r="G586" s="70"/>
      <c r="H586" s="70"/>
      <c r="I586" s="70"/>
      <c r="J586" s="70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  <c r="Y586" s="70"/>
      <c r="Z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  <c r="F587" s="70"/>
      <c r="G587" s="70"/>
      <c r="H587" s="70"/>
      <c r="I587" s="70"/>
      <c r="J587" s="70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  <c r="Y587" s="70"/>
      <c r="Z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  <c r="F588" s="70"/>
      <c r="G588" s="70"/>
      <c r="H588" s="70"/>
      <c r="I588" s="70"/>
      <c r="J588" s="70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  <c r="Z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  <c r="F589" s="70"/>
      <c r="G589" s="70"/>
      <c r="H589" s="70"/>
      <c r="I589" s="70"/>
      <c r="J589" s="70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  <c r="Z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  <c r="F590" s="70"/>
      <c r="G590" s="70"/>
      <c r="H590" s="70"/>
      <c r="I590" s="70"/>
      <c r="J590" s="70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  <c r="Z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  <c r="F591" s="70"/>
      <c r="G591" s="70"/>
      <c r="H591" s="70"/>
      <c r="I591" s="70"/>
      <c r="J591" s="70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  <c r="Z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  <c r="F592" s="70"/>
      <c r="G592" s="70"/>
      <c r="H592" s="70"/>
      <c r="I592" s="70"/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  <c r="Y592" s="70"/>
      <c r="Z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  <c r="F593" s="70"/>
      <c r="G593" s="70"/>
      <c r="H593" s="70"/>
      <c r="I593" s="70"/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70"/>
      <c r="Y593" s="70"/>
      <c r="Z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  <c r="F594" s="70"/>
      <c r="G594" s="70"/>
      <c r="H594" s="70"/>
      <c r="I594" s="70"/>
      <c r="J594" s="70"/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70"/>
      <c r="Y594" s="70"/>
      <c r="Z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  <c r="F595" s="70"/>
      <c r="G595" s="70"/>
      <c r="H595" s="70"/>
      <c r="I595" s="70"/>
      <c r="J595" s="70"/>
      <c r="K595" s="70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  <c r="Y595" s="70"/>
      <c r="Z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  <c r="F596" s="70"/>
      <c r="G596" s="70"/>
      <c r="H596" s="70"/>
      <c r="I596" s="70"/>
      <c r="J596" s="70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  <c r="Z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  <c r="F597" s="70"/>
      <c r="G597" s="70"/>
      <c r="H597" s="70"/>
      <c r="I597" s="70"/>
      <c r="J597" s="70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  <c r="Z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  <c r="F598" s="70"/>
      <c r="G598" s="70"/>
      <c r="H598" s="70"/>
      <c r="I598" s="70"/>
      <c r="J598" s="70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  <c r="Z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  <c r="F599" s="70"/>
      <c r="G599" s="70"/>
      <c r="H599" s="70"/>
      <c r="I599" s="70"/>
      <c r="J599" s="70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  <c r="Z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  <c r="F600" s="70"/>
      <c r="G600" s="70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  <c r="Z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  <c r="F601" s="70"/>
      <c r="G601" s="70"/>
      <c r="H601" s="70"/>
      <c r="I601" s="70"/>
      <c r="J601" s="70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  <c r="Z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  <c r="F602" s="70"/>
      <c r="G602" s="70"/>
      <c r="H602" s="70"/>
      <c r="I602" s="70"/>
      <c r="J602" s="70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  <c r="Z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  <c r="F603" s="70"/>
      <c r="G603" s="70"/>
      <c r="H603" s="70"/>
      <c r="I603" s="70"/>
      <c r="J603" s="70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  <c r="Z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  <c r="F604" s="70"/>
      <c r="G604" s="70"/>
      <c r="H604" s="70"/>
      <c r="I604" s="70"/>
      <c r="J604" s="70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  <c r="Z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  <c r="F605" s="70"/>
      <c r="G605" s="70"/>
      <c r="H605" s="70"/>
      <c r="I605" s="70"/>
      <c r="J605" s="70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  <c r="Z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  <c r="F606" s="70"/>
      <c r="G606" s="70"/>
      <c r="H606" s="70"/>
      <c r="I606" s="70"/>
      <c r="J606" s="70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  <c r="Z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  <c r="F607" s="70"/>
      <c r="G607" s="70"/>
      <c r="H607" s="70"/>
      <c r="I607" s="70"/>
      <c r="J607" s="70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  <c r="Z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  <c r="F608" s="70"/>
      <c r="G608" s="70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  <c r="Z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  <c r="F609" s="70"/>
      <c r="G609" s="70"/>
      <c r="H609" s="70"/>
      <c r="I609" s="70"/>
      <c r="J609" s="70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  <c r="Z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  <c r="F610" s="70"/>
      <c r="G610" s="70"/>
      <c r="H610" s="70"/>
      <c r="I610" s="70"/>
      <c r="J610" s="70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  <c r="Z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  <c r="F611" s="70"/>
      <c r="G611" s="70"/>
      <c r="H611" s="70"/>
      <c r="I611" s="70"/>
      <c r="J611" s="70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  <c r="Z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  <c r="F612" s="70"/>
      <c r="G612" s="70"/>
      <c r="H612" s="70"/>
      <c r="I612" s="70"/>
      <c r="J612" s="70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  <c r="Z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  <c r="F613" s="70"/>
      <c r="G613" s="70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  <c r="Z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  <c r="F614" s="70"/>
      <c r="G614" s="70"/>
      <c r="H614" s="70"/>
      <c r="I614" s="70"/>
      <c r="J614" s="70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  <c r="Z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  <c r="F615" s="70"/>
      <c r="G615" s="70"/>
      <c r="H615" s="70"/>
      <c r="I615" s="70"/>
      <c r="J615" s="70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  <c r="Z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  <c r="F616" s="70"/>
      <c r="G616" s="70"/>
      <c r="H616" s="70"/>
      <c r="I616" s="70"/>
      <c r="J616" s="70"/>
      <c r="K616" s="70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  <c r="Y616" s="70"/>
      <c r="Z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  <c r="F617" s="70"/>
      <c r="G617" s="70"/>
      <c r="H617" s="70"/>
      <c r="I617" s="70"/>
      <c r="J617" s="70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  <c r="Z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  <c r="F618" s="70"/>
      <c r="G618" s="70"/>
      <c r="H618" s="70"/>
      <c r="I618" s="70"/>
      <c r="J618" s="70"/>
      <c r="K618" s="70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  <c r="Y618" s="70"/>
      <c r="Z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  <c r="F619" s="70"/>
      <c r="G619" s="70"/>
      <c r="H619" s="70"/>
      <c r="I619" s="70"/>
      <c r="J619" s="70"/>
      <c r="K619" s="70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  <c r="Y619" s="70"/>
      <c r="Z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  <c r="F620" s="70"/>
      <c r="G620" s="70"/>
      <c r="H620" s="70"/>
      <c r="I620" s="70"/>
      <c r="J620" s="70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  <c r="Y620" s="70"/>
      <c r="Z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  <c r="F621" s="70"/>
      <c r="G621" s="70"/>
      <c r="H621" s="70"/>
      <c r="I621" s="70"/>
      <c r="J621" s="70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  <c r="Z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  <c r="F622" s="70"/>
      <c r="G622" s="70"/>
      <c r="H622" s="70"/>
      <c r="I622" s="70"/>
      <c r="J622" s="70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  <c r="Z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  <c r="F623" s="70"/>
      <c r="G623" s="70"/>
      <c r="H623" s="70"/>
      <c r="I623" s="70"/>
      <c r="J623" s="70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  <c r="Z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  <c r="F624" s="70"/>
      <c r="G624" s="70"/>
      <c r="H624" s="70"/>
      <c r="I624" s="70"/>
      <c r="J624" s="70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  <c r="Z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  <c r="F625" s="70"/>
      <c r="G625" s="70"/>
      <c r="H625" s="70"/>
      <c r="I625" s="70"/>
      <c r="J625" s="70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  <c r="Z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  <c r="F626" s="70"/>
      <c r="G626" s="70"/>
      <c r="H626" s="70"/>
      <c r="I626" s="70"/>
      <c r="J626" s="70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  <c r="Z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  <c r="F627" s="70"/>
      <c r="G627" s="70"/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  <c r="Z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  <c r="F628" s="70"/>
      <c r="G628" s="70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  <c r="Z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  <c r="F629" s="70"/>
      <c r="G629" s="70"/>
      <c r="H629" s="70"/>
      <c r="I629" s="70"/>
      <c r="J629" s="70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  <c r="Z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  <c r="F630" s="70"/>
      <c r="G630" s="70"/>
      <c r="H630" s="70"/>
      <c r="I630" s="70"/>
      <c r="J630" s="70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  <c r="Z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  <c r="F631" s="70"/>
      <c r="G631" s="70"/>
      <c r="H631" s="70"/>
      <c r="I631" s="70"/>
      <c r="J631" s="70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  <c r="Z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  <c r="F632" s="70"/>
      <c r="G632" s="70"/>
      <c r="H632" s="70"/>
      <c r="I632" s="70"/>
      <c r="J632" s="70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  <c r="Z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  <c r="F633" s="70"/>
      <c r="G633" s="70"/>
      <c r="H633" s="70"/>
      <c r="I633" s="70"/>
      <c r="J633" s="70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  <c r="Z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  <c r="F634" s="70"/>
      <c r="G634" s="70"/>
      <c r="H634" s="70"/>
      <c r="I634" s="70"/>
      <c r="J634" s="70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  <c r="Z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  <c r="F635" s="70"/>
      <c r="G635" s="70"/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  <c r="Z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  <c r="F636" s="70"/>
      <c r="G636" s="70"/>
      <c r="H636" s="70"/>
      <c r="I636" s="70"/>
      <c r="J636" s="70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  <c r="Z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  <c r="F637" s="70"/>
      <c r="G637" s="70"/>
      <c r="H637" s="70"/>
      <c r="I637" s="70"/>
      <c r="J637" s="70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  <c r="Z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  <c r="F638" s="70"/>
      <c r="G638" s="70"/>
      <c r="H638" s="70"/>
      <c r="I638" s="70"/>
      <c r="J638" s="70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  <c r="Z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  <c r="F639" s="70"/>
      <c r="G639" s="70"/>
      <c r="H639" s="70"/>
      <c r="I639" s="70"/>
      <c r="J639" s="70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  <c r="Z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  <c r="F640" s="70"/>
      <c r="G640" s="70"/>
      <c r="H640" s="70"/>
      <c r="I640" s="70"/>
      <c r="J640" s="70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  <c r="Z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  <c r="F641" s="70"/>
      <c r="G641" s="70"/>
      <c r="H641" s="70"/>
      <c r="I641" s="70"/>
      <c r="J641" s="70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  <c r="Y641" s="70"/>
      <c r="Z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  <c r="F642" s="70"/>
      <c r="G642" s="70"/>
      <c r="H642" s="70"/>
      <c r="I642" s="70"/>
      <c r="J642" s="70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  <c r="Y642" s="70"/>
      <c r="Z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  <c r="F643" s="70"/>
      <c r="G643" s="70"/>
      <c r="H643" s="70"/>
      <c r="I643" s="70"/>
      <c r="J643" s="70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  <c r="Y643" s="70"/>
      <c r="Z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  <c r="F644" s="70"/>
      <c r="G644" s="70"/>
      <c r="H644" s="70"/>
      <c r="I644" s="70"/>
      <c r="J644" s="70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  <c r="Y644" s="70"/>
      <c r="Z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  <c r="F645" s="70"/>
      <c r="G645" s="70"/>
      <c r="H645" s="70"/>
      <c r="I645" s="70"/>
      <c r="J645" s="70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  <c r="Y645" s="70"/>
      <c r="Z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  <c r="F646" s="70"/>
      <c r="G646" s="70"/>
      <c r="H646" s="70"/>
      <c r="I646" s="70"/>
      <c r="J646" s="70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  <c r="Y646" s="70"/>
      <c r="Z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  <c r="F647" s="70"/>
      <c r="G647" s="70"/>
      <c r="H647" s="70"/>
      <c r="I647" s="70"/>
      <c r="J647" s="70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  <c r="Y647" s="70"/>
      <c r="Z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  <c r="F648" s="70"/>
      <c r="G648" s="70"/>
      <c r="H648" s="70"/>
      <c r="I648" s="70"/>
      <c r="J648" s="70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  <c r="Y648" s="70"/>
      <c r="Z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  <c r="F649" s="70"/>
      <c r="G649" s="70"/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  <c r="Y649" s="70"/>
      <c r="Z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  <c r="F650" s="70"/>
      <c r="G650" s="70"/>
      <c r="H650" s="70"/>
      <c r="I650" s="70"/>
      <c r="J650" s="70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  <c r="Y650" s="70"/>
      <c r="Z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  <c r="F651" s="70"/>
      <c r="G651" s="70"/>
      <c r="H651" s="70"/>
      <c r="I651" s="70"/>
      <c r="J651" s="70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  <c r="Y651" s="70"/>
      <c r="Z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  <c r="Z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  <c r="Z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  <c r="Z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  <c r="F655" s="70"/>
      <c r="G655" s="70"/>
      <c r="H655" s="70"/>
      <c r="I655" s="70"/>
      <c r="J655" s="70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  <c r="Z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  <c r="Z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  <c r="Z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  <c r="Z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  <c r="Z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  <c r="F660" s="70"/>
      <c r="G660" s="70"/>
      <c r="H660" s="70"/>
      <c r="I660" s="70"/>
      <c r="J660" s="70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  <c r="Y660" s="70"/>
      <c r="Z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  <c r="F661" s="70"/>
      <c r="G661" s="70"/>
      <c r="H661" s="70"/>
      <c r="I661" s="70"/>
      <c r="J661" s="70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  <c r="Y661" s="70"/>
      <c r="Z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  <c r="F662" s="70"/>
      <c r="G662" s="70"/>
      <c r="H662" s="70"/>
      <c r="I662" s="70"/>
      <c r="J662" s="70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  <c r="Y662" s="70"/>
      <c r="Z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  <c r="F663" s="70"/>
      <c r="G663" s="70"/>
      <c r="H663" s="70"/>
      <c r="I663" s="70"/>
      <c r="J663" s="70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  <c r="Z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  <c r="F664" s="70"/>
      <c r="G664" s="70"/>
      <c r="H664" s="70"/>
      <c r="I664" s="70"/>
      <c r="J664" s="70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  <c r="Y664" s="70"/>
      <c r="Z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  <c r="F665" s="70"/>
      <c r="G665" s="70"/>
      <c r="H665" s="70"/>
      <c r="I665" s="70"/>
      <c r="J665" s="70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  <c r="Y665" s="70"/>
      <c r="Z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  <c r="F666" s="70"/>
      <c r="G666" s="70"/>
      <c r="H666" s="70"/>
      <c r="I666" s="70"/>
      <c r="J666" s="70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  <c r="Y666" s="70"/>
      <c r="Z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  <c r="F667" s="70"/>
      <c r="G667" s="70"/>
      <c r="H667" s="70"/>
      <c r="I667" s="70"/>
      <c r="J667" s="70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  <c r="Y667" s="70"/>
      <c r="Z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  <c r="F668" s="70"/>
      <c r="G668" s="70"/>
      <c r="H668" s="70"/>
      <c r="I668" s="70"/>
      <c r="J668" s="70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  <c r="Y668" s="70"/>
      <c r="Z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  <c r="F669" s="70"/>
      <c r="G669" s="70"/>
      <c r="H669" s="70"/>
      <c r="I669" s="70"/>
      <c r="J669" s="70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  <c r="Y669" s="70"/>
      <c r="Z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  <c r="F670" s="70"/>
      <c r="G670" s="70"/>
      <c r="H670" s="70"/>
      <c r="I670" s="70"/>
      <c r="J670" s="70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  <c r="Y670" s="70"/>
      <c r="Z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  <c r="F671" s="70"/>
      <c r="G671" s="70"/>
      <c r="H671" s="70"/>
      <c r="I671" s="70"/>
      <c r="J671" s="70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  <c r="Y671" s="70"/>
      <c r="Z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  <c r="F672" s="70"/>
      <c r="G672" s="70"/>
      <c r="H672" s="70"/>
      <c r="I672" s="70"/>
      <c r="J672" s="70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  <c r="Y672" s="70"/>
      <c r="Z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  <c r="F673" s="70"/>
      <c r="G673" s="70"/>
      <c r="H673" s="70"/>
      <c r="I673" s="70"/>
      <c r="J673" s="70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  <c r="Y673" s="70"/>
      <c r="Z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  <c r="F674" s="70"/>
      <c r="G674" s="70"/>
      <c r="H674" s="70"/>
      <c r="I674" s="70"/>
      <c r="J674" s="70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  <c r="Y674" s="70"/>
      <c r="Z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  <c r="F675" s="70"/>
      <c r="G675" s="70"/>
      <c r="H675" s="70"/>
      <c r="I675" s="70"/>
      <c r="J675" s="70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  <c r="Y675" s="70"/>
      <c r="Z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  <c r="F676" s="70"/>
      <c r="G676" s="70"/>
      <c r="H676" s="70"/>
      <c r="I676" s="70"/>
      <c r="J676" s="70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  <c r="Y676" s="70"/>
      <c r="Z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  <c r="F677" s="70"/>
      <c r="G677" s="70"/>
      <c r="H677" s="70"/>
      <c r="I677" s="70"/>
      <c r="J677" s="70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  <c r="Y677" s="70"/>
      <c r="Z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  <c r="F678" s="70"/>
      <c r="G678" s="70"/>
      <c r="H678" s="70"/>
      <c r="I678" s="70"/>
      <c r="J678" s="70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  <c r="Y678" s="70"/>
      <c r="Z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  <c r="F679" s="70"/>
      <c r="G679" s="70"/>
      <c r="H679" s="70"/>
      <c r="I679" s="70"/>
      <c r="J679" s="70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  <c r="Y679" s="70"/>
      <c r="Z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  <c r="F680" s="70"/>
      <c r="G680" s="70"/>
      <c r="H680" s="70"/>
      <c r="I680" s="70"/>
      <c r="J680" s="70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  <c r="Y680" s="70"/>
      <c r="Z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  <c r="F681" s="70"/>
      <c r="G681" s="70"/>
      <c r="H681" s="70"/>
      <c r="I681" s="70"/>
      <c r="J681" s="70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  <c r="Y681" s="70"/>
      <c r="Z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  <c r="F682" s="70"/>
      <c r="G682" s="70"/>
      <c r="H682" s="70"/>
      <c r="I682" s="70"/>
      <c r="J682" s="70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  <c r="Y682" s="70"/>
      <c r="Z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  <c r="F683" s="70"/>
      <c r="G683" s="70"/>
      <c r="H683" s="70"/>
      <c r="I683" s="70"/>
      <c r="J683" s="70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  <c r="Y683" s="70"/>
      <c r="Z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  <c r="F684" s="70"/>
      <c r="G684" s="70"/>
      <c r="H684" s="70"/>
      <c r="I684" s="70"/>
      <c r="J684" s="70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  <c r="Y684" s="70"/>
      <c r="Z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  <c r="F685" s="70"/>
      <c r="G685" s="70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  <c r="Z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  <c r="F686" s="70"/>
      <c r="G686" s="70"/>
      <c r="H686" s="70"/>
      <c r="I686" s="70"/>
      <c r="J686" s="70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  <c r="Y686" s="70"/>
      <c r="Z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  <c r="F687" s="70"/>
      <c r="G687" s="70"/>
      <c r="H687" s="70"/>
      <c r="I687" s="70"/>
      <c r="J687" s="70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  <c r="Y687" s="70"/>
      <c r="Z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  <c r="F688" s="70"/>
      <c r="G688" s="70"/>
      <c r="H688" s="70"/>
      <c r="I688" s="70"/>
      <c r="J688" s="70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  <c r="Y688" s="70"/>
      <c r="Z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  <c r="F689" s="70"/>
      <c r="G689" s="70"/>
      <c r="H689" s="70"/>
      <c r="I689" s="70"/>
      <c r="J689" s="70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  <c r="Y689" s="70"/>
      <c r="Z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  <c r="F690" s="70"/>
      <c r="G690" s="70"/>
      <c r="H690" s="70"/>
      <c r="I690" s="70"/>
      <c r="J690" s="70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  <c r="Y690" s="70"/>
      <c r="Z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  <c r="F691" s="70"/>
      <c r="G691" s="70"/>
      <c r="H691" s="70"/>
      <c r="I691" s="70"/>
      <c r="J691" s="70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  <c r="Y691" s="70"/>
      <c r="Z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  <c r="F692" s="70"/>
      <c r="G692" s="70"/>
      <c r="H692" s="70"/>
      <c r="I692" s="70"/>
      <c r="J692" s="70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  <c r="Y692" s="70"/>
      <c r="Z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  <c r="F693" s="70"/>
      <c r="G693" s="70"/>
      <c r="H693" s="70"/>
      <c r="I693" s="70"/>
      <c r="J693" s="70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  <c r="Y693" s="70"/>
      <c r="Z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  <c r="F694" s="70"/>
      <c r="G694" s="70"/>
      <c r="H694" s="70"/>
      <c r="I694" s="70"/>
      <c r="J694" s="70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  <c r="Y694" s="70"/>
      <c r="Z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  <c r="F695" s="70"/>
      <c r="G695" s="70"/>
      <c r="H695" s="70"/>
      <c r="I695" s="70"/>
      <c r="J695" s="70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  <c r="Y695" s="70"/>
      <c r="Z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  <c r="F696" s="70"/>
      <c r="G696" s="70"/>
      <c r="H696" s="70"/>
      <c r="I696" s="70"/>
      <c r="J696" s="70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  <c r="Y696" s="70"/>
      <c r="Z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  <c r="F697" s="70"/>
      <c r="G697" s="70"/>
      <c r="H697" s="70"/>
      <c r="I697" s="70"/>
      <c r="J697" s="70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  <c r="Y697" s="70"/>
      <c r="Z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  <c r="F698" s="70"/>
      <c r="G698" s="70"/>
      <c r="H698" s="70"/>
      <c r="I698" s="70"/>
      <c r="J698" s="70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  <c r="Y698" s="70"/>
      <c r="Z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  <c r="F699" s="70"/>
      <c r="G699" s="70"/>
      <c r="H699" s="70"/>
      <c r="I699" s="70"/>
      <c r="J699" s="70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  <c r="Y699" s="70"/>
      <c r="Z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  <c r="F700" s="70"/>
      <c r="G700" s="70"/>
      <c r="H700" s="70"/>
      <c r="I700" s="70"/>
      <c r="J700" s="70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  <c r="Y700" s="70"/>
      <c r="Z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  <c r="F701" s="70"/>
      <c r="G701" s="70"/>
      <c r="H701" s="70"/>
      <c r="I701" s="70"/>
      <c r="J701" s="70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  <c r="Y701" s="70"/>
      <c r="Z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  <c r="F702" s="70"/>
      <c r="G702" s="70"/>
      <c r="H702" s="70"/>
      <c r="I702" s="70"/>
      <c r="J702" s="70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  <c r="Y702" s="70"/>
      <c r="Z702" s="70"/>
    </row>
    <row r="703" customFormat="false" ht="12.75" hidden="false" customHeight="false" outlineLevel="0" collapsed="false">
      <c r="A703" s="70"/>
      <c r="B703" s="70"/>
      <c r="C703" s="70"/>
      <c r="D703" s="70"/>
      <c r="E703" s="70"/>
      <c r="F703" s="70"/>
      <c r="G703" s="70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  <c r="Y703" s="70"/>
      <c r="Z703" s="70"/>
    </row>
    <row r="704" customFormat="false" ht="12.75" hidden="false" customHeight="false" outlineLevel="0" collapsed="false">
      <c r="A704" s="70"/>
      <c r="B704" s="70"/>
      <c r="C704" s="70"/>
      <c r="D704" s="70"/>
      <c r="E704" s="70"/>
      <c r="F704" s="70"/>
      <c r="G704" s="70"/>
      <c r="H704" s="70"/>
      <c r="I704" s="70"/>
      <c r="J704" s="70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  <c r="Y704" s="70"/>
      <c r="Z704" s="70"/>
    </row>
    <row r="705" customFormat="false" ht="12.75" hidden="false" customHeight="false" outlineLevel="0" collapsed="false">
      <c r="A705" s="70"/>
      <c r="B705" s="70"/>
      <c r="C705" s="70"/>
      <c r="D705" s="70"/>
      <c r="E705" s="70"/>
      <c r="F705" s="70"/>
      <c r="G705" s="70"/>
      <c r="H705" s="70"/>
      <c r="I705" s="70"/>
      <c r="J705" s="70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  <c r="Y705" s="70"/>
      <c r="Z705" s="70"/>
    </row>
    <row r="706" customFormat="false" ht="12.75" hidden="false" customHeight="false" outlineLevel="0" collapsed="false">
      <c r="A706" s="70"/>
      <c r="B706" s="70"/>
      <c r="C706" s="70"/>
      <c r="D706" s="70"/>
      <c r="E706" s="70"/>
      <c r="F706" s="70"/>
      <c r="G706" s="70"/>
      <c r="H706" s="70"/>
      <c r="I706" s="70"/>
      <c r="J706" s="70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  <c r="Y706" s="70"/>
      <c r="Z706" s="70"/>
    </row>
    <row r="707" customFormat="false" ht="12.75" hidden="false" customHeight="false" outlineLevel="0" collapsed="false">
      <c r="A707" s="70"/>
      <c r="B707" s="70"/>
      <c r="C707" s="70"/>
      <c r="D707" s="70"/>
      <c r="E707" s="70"/>
      <c r="F707" s="70"/>
      <c r="G707" s="70"/>
      <c r="H707" s="70"/>
      <c r="I707" s="70"/>
      <c r="J707" s="70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  <c r="Z707" s="70"/>
    </row>
    <row r="708" customFormat="false" ht="12.75" hidden="false" customHeight="false" outlineLevel="0" collapsed="false">
      <c r="A708" s="70"/>
      <c r="B708" s="70"/>
      <c r="C708" s="70"/>
      <c r="D708" s="70"/>
      <c r="E708" s="70"/>
      <c r="F708" s="70"/>
      <c r="G708" s="70"/>
      <c r="H708" s="70"/>
      <c r="I708" s="70"/>
      <c r="J708" s="70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  <c r="Y708" s="70"/>
      <c r="Z708" s="70"/>
    </row>
    <row r="709" customFormat="false" ht="12.75" hidden="false" customHeight="false" outlineLevel="0" collapsed="false">
      <c r="A709" s="70"/>
      <c r="B709" s="70"/>
      <c r="C709" s="70"/>
      <c r="D709" s="70"/>
      <c r="E709" s="70"/>
      <c r="F709" s="70"/>
      <c r="G709" s="70"/>
      <c r="H709" s="70"/>
      <c r="I709" s="70"/>
      <c r="J709" s="70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  <c r="Y709" s="70"/>
      <c r="Z709" s="70"/>
    </row>
    <row r="710" customFormat="false" ht="12.75" hidden="false" customHeight="false" outlineLevel="0" collapsed="false">
      <c r="A710" s="70"/>
      <c r="B710" s="70"/>
      <c r="C710" s="70"/>
      <c r="D710" s="70"/>
      <c r="E710" s="70"/>
      <c r="F710" s="70"/>
      <c r="G710" s="70"/>
      <c r="H710" s="70"/>
      <c r="I710" s="70"/>
      <c r="J710" s="70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  <c r="Y710" s="70"/>
      <c r="Z710" s="70"/>
    </row>
    <row r="711" customFormat="false" ht="12.75" hidden="false" customHeight="false" outlineLevel="0" collapsed="false">
      <c r="A711" s="70"/>
      <c r="B711" s="70"/>
      <c r="C711" s="70"/>
      <c r="D711" s="70"/>
      <c r="E711" s="70"/>
      <c r="F711" s="70"/>
      <c r="G711" s="70"/>
      <c r="H711" s="70"/>
      <c r="I711" s="70"/>
      <c r="J711" s="70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  <c r="Y711" s="70"/>
      <c r="Z711" s="70"/>
    </row>
    <row r="712" customFormat="false" ht="12.75" hidden="false" customHeight="false" outlineLevel="0" collapsed="false">
      <c r="A712" s="70"/>
      <c r="B712" s="70"/>
      <c r="C712" s="70"/>
      <c r="D712" s="70"/>
      <c r="E712" s="70"/>
      <c r="F712" s="70"/>
      <c r="G712" s="70"/>
      <c r="H712" s="70"/>
      <c r="I712" s="70"/>
      <c r="J712" s="70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  <c r="Y712" s="70"/>
      <c r="Z712" s="70"/>
    </row>
    <row r="713" customFormat="false" ht="12.75" hidden="false" customHeight="false" outlineLevel="0" collapsed="false">
      <c r="A713" s="70"/>
      <c r="B713" s="70"/>
      <c r="C713" s="70"/>
      <c r="D713" s="70"/>
      <c r="E713" s="70"/>
      <c r="F713" s="70"/>
      <c r="G713" s="70"/>
      <c r="H713" s="70"/>
      <c r="I713" s="70"/>
      <c r="J713" s="70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  <c r="Y713" s="70"/>
      <c r="Z713" s="70"/>
    </row>
    <row r="714" customFormat="false" ht="12.75" hidden="false" customHeight="false" outlineLevel="0" collapsed="false">
      <c r="A714" s="70"/>
      <c r="B714" s="70"/>
      <c r="C714" s="70"/>
      <c r="D714" s="70"/>
      <c r="E714" s="70"/>
      <c r="F714" s="70"/>
      <c r="G714" s="70"/>
      <c r="H714" s="70"/>
      <c r="I714" s="70"/>
      <c r="J714" s="70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  <c r="Y714" s="70"/>
      <c r="Z714" s="70"/>
    </row>
    <row r="715" customFormat="false" ht="12.75" hidden="false" customHeight="false" outlineLevel="0" collapsed="false">
      <c r="A715" s="70"/>
      <c r="B715" s="70"/>
      <c r="C715" s="70"/>
      <c r="D715" s="70"/>
      <c r="E715" s="70"/>
      <c r="F715" s="70"/>
      <c r="G715" s="70"/>
      <c r="H715" s="70"/>
      <c r="I715" s="70"/>
      <c r="J715" s="70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  <c r="Y715" s="70"/>
      <c r="Z715" s="70"/>
    </row>
    <row r="716" customFormat="false" ht="12.75" hidden="false" customHeight="false" outlineLevel="0" collapsed="false">
      <c r="A716" s="70"/>
      <c r="B716" s="70"/>
      <c r="C716" s="70"/>
      <c r="D716" s="70"/>
      <c r="E716" s="70"/>
      <c r="F716" s="70"/>
      <c r="G716" s="70"/>
      <c r="H716" s="70"/>
      <c r="I716" s="70"/>
      <c r="J716" s="70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  <c r="Y716" s="70"/>
      <c r="Z716" s="70"/>
    </row>
    <row r="717" customFormat="false" ht="12.75" hidden="false" customHeight="false" outlineLevel="0" collapsed="false">
      <c r="A717" s="70"/>
      <c r="B717" s="70"/>
      <c r="C717" s="70"/>
      <c r="D717" s="70"/>
      <c r="E717" s="70"/>
      <c r="F717" s="70"/>
      <c r="G717" s="70"/>
      <c r="H717" s="70"/>
      <c r="I717" s="70"/>
      <c r="J717" s="70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  <c r="Y717" s="70"/>
      <c r="Z717" s="70"/>
    </row>
    <row r="718" customFormat="false" ht="12.75" hidden="false" customHeight="false" outlineLevel="0" collapsed="false">
      <c r="A718" s="70"/>
      <c r="B718" s="70"/>
      <c r="C718" s="70"/>
      <c r="D718" s="70"/>
      <c r="E718" s="70"/>
      <c r="F718" s="70"/>
      <c r="G718" s="70"/>
      <c r="H718" s="70"/>
      <c r="I718" s="70"/>
      <c r="J718" s="70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  <c r="Y718" s="70"/>
      <c r="Z718" s="70"/>
    </row>
    <row r="719" customFormat="false" ht="12.75" hidden="false" customHeight="false" outlineLevel="0" collapsed="false">
      <c r="A719" s="70"/>
      <c r="B719" s="70"/>
      <c r="C719" s="70"/>
      <c r="D719" s="70"/>
      <c r="E719" s="70"/>
      <c r="F719" s="70"/>
      <c r="G719" s="70"/>
      <c r="H719" s="70"/>
      <c r="I719" s="70"/>
      <c r="J719" s="70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  <c r="Y719" s="70"/>
      <c r="Z719" s="70"/>
    </row>
    <row r="720" customFormat="false" ht="12.75" hidden="false" customHeight="false" outlineLevel="0" collapsed="false">
      <c r="A720" s="70"/>
      <c r="B720" s="70"/>
      <c r="C720" s="70"/>
      <c r="D720" s="70"/>
      <c r="E720" s="70"/>
      <c r="F720" s="70"/>
      <c r="G720" s="70"/>
      <c r="H720" s="70"/>
      <c r="I720" s="70"/>
      <c r="J720" s="70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  <c r="Y720" s="70"/>
      <c r="Z720" s="70"/>
    </row>
    <row r="721" customFormat="false" ht="12.75" hidden="false" customHeight="false" outlineLevel="0" collapsed="false">
      <c r="A721" s="70"/>
      <c r="B721" s="70"/>
      <c r="C721" s="70"/>
      <c r="D721" s="70"/>
      <c r="E721" s="70"/>
      <c r="F721" s="70"/>
      <c r="G721" s="70"/>
      <c r="H721" s="70"/>
      <c r="I721" s="70"/>
      <c r="J721" s="70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  <c r="Y721" s="70"/>
      <c r="Z721" s="70"/>
    </row>
    <row r="722" customFormat="false" ht="12.75" hidden="false" customHeight="false" outlineLevel="0" collapsed="false">
      <c r="A722" s="70"/>
      <c r="B722" s="70"/>
      <c r="C722" s="70"/>
      <c r="D722" s="70"/>
      <c r="E722" s="70"/>
      <c r="F722" s="70"/>
      <c r="G722" s="70"/>
      <c r="H722" s="70"/>
      <c r="I722" s="70"/>
      <c r="J722" s="70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  <c r="Y722" s="70"/>
      <c r="Z722" s="70"/>
    </row>
    <row r="723" customFormat="false" ht="12.75" hidden="false" customHeight="false" outlineLevel="0" collapsed="false">
      <c r="A723" s="70"/>
      <c r="B723" s="70"/>
      <c r="C723" s="70"/>
      <c r="D723" s="70"/>
      <c r="E723" s="70"/>
      <c r="F723" s="70"/>
      <c r="G723" s="70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  <c r="Y723" s="70"/>
      <c r="Z723" s="70"/>
    </row>
    <row r="724" customFormat="false" ht="12.75" hidden="false" customHeight="false" outlineLevel="0" collapsed="false">
      <c r="A724" s="70"/>
      <c r="B724" s="70"/>
      <c r="C724" s="70"/>
      <c r="D724" s="70"/>
      <c r="E724" s="70"/>
      <c r="F724" s="70"/>
      <c r="G724" s="70"/>
      <c r="H724" s="70"/>
      <c r="I724" s="70"/>
      <c r="J724" s="70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  <c r="Y724" s="70"/>
      <c r="Z724" s="70"/>
    </row>
    <row r="725" customFormat="false" ht="12.75" hidden="false" customHeight="false" outlineLevel="0" collapsed="false">
      <c r="A725" s="70"/>
      <c r="B725" s="70"/>
      <c r="C725" s="70"/>
      <c r="D725" s="70"/>
      <c r="E725" s="70"/>
      <c r="F725" s="70"/>
      <c r="G725" s="70"/>
      <c r="H725" s="70"/>
      <c r="I725" s="70"/>
      <c r="J725" s="70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  <c r="Y725" s="70"/>
      <c r="Z725" s="70"/>
    </row>
    <row r="726" customFormat="false" ht="12.75" hidden="false" customHeight="false" outlineLevel="0" collapsed="false">
      <c r="A726" s="70"/>
      <c r="B726" s="70"/>
      <c r="C726" s="70"/>
      <c r="D726" s="70"/>
      <c r="E726" s="70"/>
      <c r="F726" s="70"/>
      <c r="G726" s="70"/>
      <c r="H726" s="70"/>
      <c r="I726" s="70"/>
      <c r="J726" s="70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  <c r="Y726" s="70"/>
      <c r="Z726" s="70"/>
    </row>
    <row r="727" customFormat="false" ht="12.75" hidden="false" customHeight="false" outlineLevel="0" collapsed="false">
      <c r="A727" s="70"/>
      <c r="B727" s="70"/>
      <c r="C727" s="70"/>
      <c r="D727" s="70"/>
      <c r="E727" s="70"/>
      <c r="F727" s="70"/>
      <c r="G727" s="70"/>
      <c r="H727" s="70"/>
      <c r="I727" s="70"/>
      <c r="J727" s="70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  <c r="Y727" s="70"/>
      <c r="Z727" s="70"/>
    </row>
    <row r="728" customFormat="false" ht="12.75" hidden="false" customHeight="false" outlineLevel="0" collapsed="false">
      <c r="A728" s="70"/>
      <c r="B728" s="70"/>
      <c r="C728" s="70"/>
      <c r="D728" s="70"/>
      <c r="E728" s="70"/>
      <c r="F728" s="70"/>
      <c r="G728" s="70"/>
      <c r="H728" s="70"/>
      <c r="I728" s="70"/>
      <c r="J728" s="70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  <c r="Y728" s="70"/>
      <c r="Z728" s="70"/>
    </row>
    <row r="729" customFormat="false" ht="12.75" hidden="false" customHeight="false" outlineLevel="0" collapsed="false">
      <c r="A729" s="70"/>
      <c r="B729" s="70"/>
      <c r="C729" s="70"/>
      <c r="D729" s="70"/>
      <c r="E729" s="70"/>
      <c r="F729" s="70"/>
      <c r="G729" s="70"/>
      <c r="H729" s="70"/>
      <c r="I729" s="70"/>
      <c r="J729" s="70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  <c r="Z729" s="70"/>
    </row>
    <row r="730" customFormat="false" ht="12.75" hidden="false" customHeight="false" outlineLevel="0" collapsed="false">
      <c r="A730" s="70"/>
      <c r="B730" s="70"/>
      <c r="C730" s="70"/>
      <c r="D730" s="70"/>
      <c r="E730" s="70"/>
      <c r="F730" s="70"/>
      <c r="G730" s="70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  <c r="Y730" s="70"/>
      <c r="Z730" s="70"/>
    </row>
    <row r="731" customFormat="false" ht="12.75" hidden="false" customHeight="false" outlineLevel="0" collapsed="false">
      <c r="A731" s="70"/>
      <c r="B731" s="70"/>
      <c r="C731" s="70"/>
      <c r="D731" s="70"/>
      <c r="E731" s="70"/>
      <c r="F731" s="70"/>
      <c r="G731" s="70"/>
      <c r="H731" s="70"/>
      <c r="I731" s="70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  <c r="Z731" s="70"/>
    </row>
    <row r="732" customFormat="false" ht="12.75" hidden="false" customHeight="false" outlineLevel="0" collapsed="false">
      <c r="A732" s="70"/>
      <c r="B732" s="70"/>
      <c r="C732" s="70"/>
      <c r="D732" s="70"/>
      <c r="E732" s="70"/>
      <c r="F732" s="70"/>
      <c r="G732" s="70"/>
      <c r="H732" s="70"/>
      <c r="I732" s="70"/>
      <c r="J732" s="70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  <c r="Y732" s="70"/>
      <c r="Z732" s="70"/>
    </row>
    <row r="733" customFormat="false" ht="12.75" hidden="false" customHeight="false" outlineLevel="0" collapsed="false">
      <c r="A733" s="70"/>
      <c r="B733" s="70"/>
      <c r="C733" s="70"/>
      <c r="D733" s="70"/>
      <c r="E733" s="70"/>
      <c r="F733" s="70"/>
      <c r="G733" s="70"/>
      <c r="H733" s="70"/>
      <c r="I733" s="70"/>
      <c r="J733" s="70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  <c r="Y733" s="70"/>
      <c r="Z733" s="70"/>
    </row>
    <row r="734" customFormat="false" ht="12.75" hidden="false" customHeight="false" outlineLevel="0" collapsed="false">
      <c r="A734" s="70"/>
      <c r="B734" s="70"/>
      <c r="C734" s="70"/>
      <c r="D734" s="70"/>
      <c r="E734" s="70"/>
      <c r="F734" s="70"/>
      <c r="G734" s="70"/>
      <c r="H734" s="70"/>
      <c r="I734" s="70"/>
      <c r="J734" s="70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  <c r="Y734" s="70"/>
      <c r="Z734" s="70"/>
    </row>
    <row r="735" customFormat="false" ht="12.75" hidden="false" customHeight="false" outlineLevel="0" collapsed="false">
      <c r="A735" s="70"/>
      <c r="B735" s="70"/>
      <c r="C735" s="70"/>
      <c r="D735" s="70"/>
      <c r="E735" s="70"/>
      <c r="F735" s="70"/>
      <c r="G735" s="70"/>
      <c r="H735" s="70"/>
      <c r="I735" s="70"/>
      <c r="J735" s="70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  <c r="Y735" s="70"/>
      <c r="Z735" s="70"/>
    </row>
    <row r="736" customFormat="false" ht="12.75" hidden="false" customHeight="false" outlineLevel="0" collapsed="false">
      <c r="A736" s="70"/>
      <c r="B736" s="70"/>
      <c r="C736" s="70"/>
      <c r="D736" s="70"/>
      <c r="E736" s="70"/>
      <c r="F736" s="70"/>
      <c r="G736" s="70"/>
      <c r="H736" s="70"/>
      <c r="I736" s="70"/>
      <c r="J736" s="70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  <c r="Y736" s="70"/>
      <c r="Z736" s="70"/>
    </row>
    <row r="737" customFormat="false" ht="12.75" hidden="false" customHeight="false" outlineLevel="0" collapsed="false">
      <c r="A737" s="70"/>
      <c r="B737" s="70"/>
      <c r="C737" s="70"/>
      <c r="D737" s="70"/>
      <c r="E737" s="70"/>
      <c r="F737" s="70"/>
      <c r="G737" s="70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  <c r="Y737" s="70"/>
      <c r="Z737" s="70"/>
    </row>
    <row r="738" customFormat="false" ht="12.75" hidden="false" customHeight="false" outlineLevel="0" collapsed="false">
      <c r="A738" s="70"/>
      <c r="B738" s="70"/>
      <c r="C738" s="70"/>
      <c r="D738" s="70"/>
      <c r="E738" s="70"/>
      <c r="F738" s="70"/>
      <c r="G738" s="70"/>
      <c r="H738" s="70"/>
      <c r="I738" s="70"/>
      <c r="J738" s="70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  <c r="Y738" s="70"/>
      <c r="Z738" s="70"/>
    </row>
    <row r="739" customFormat="false" ht="12.75" hidden="false" customHeight="false" outlineLevel="0" collapsed="false">
      <c r="A739" s="70"/>
      <c r="B739" s="70"/>
      <c r="C739" s="70"/>
      <c r="D739" s="70"/>
      <c r="E739" s="70"/>
      <c r="F739" s="70"/>
      <c r="G739" s="70"/>
      <c r="H739" s="70"/>
      <c r="I739" s="70"/>
      <c r="J739" s="70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  <c r="Y739" s="70"/>
      <c r="Z739" s="70"/>
    </row>
    <row r="740" customFormat="false" ht="12.75" hidden="false" customHeight="false" outlineLevel="0" collapsed="false">
      <c r="A740" s="70"/>
      <c r="B740" s="70"/>
      <c r="C740" s="70"/>
      <c r="D740" s="70"/>
      <c r="E740" s="70"/>
      <c r="F740" s="70"/>
      <c r="G740" s="70"/>
      <c r="H740" s="70"/>
      <c r="I740" s="70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  <c r="Z740" s="70"/>
    </row>
    <row r="741" customFormat="false" ht="12.75" hidden="false" customHeight="false" outlineLevel="0" collapsed="false">
      <c r="A741" s="70"/>
      <c r="B741" s="70"/>
      <c r="C741" s="70"/>
      <c r="D741" s="70"/>
      <c r="E741" s="70"/>
      <c r="F741" s="70"/>
      <c r="G741" s="70"/>
      <c r="H741" s="70"/>
      <c r="I741" s="70"/>
      <c r="J741" s="70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  <c r="Y741" s="70"/>
      <c r="Z741" s="70"/>
    </row>
    <row r="742" customFormat="false" ht="12.75" hidden="false" customHeight="false" outlineLevel="0" collapsed="false">
      <c r="A742" s="70"/>
      <c r="B742" s="70"/>
      <c r="C742" s="70"/>
      <c r="D742" s="70"/>
      <c r="E742" s="70"/>
      <c r="F742" s="70"/>
      <c r="G742" s="70"/>
      <c r="H742" s="70"/>
      <c r="I742" s="70"/>
      <c r="J742" s="70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  <c r="Y742" s="70"/>
      <c r="Z742" s="70"/>
    </row>
    <row r="743" customFormat="false" ht="12.75" hidden="false" customHeight="false" outlineLevel="0" collapsed="false">
      <c r="A743" s="70"/>
      <c r="B743" s="70"/>
      <c r="C743" s="70"/>
      <c r="D743" s="70"/>
      <c r="E743" s="70"/>
      <c r="F743" s="70"/>
      <c r="G743" s="70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  <c r="Y743" s="70"/>
      <c r="Z743" s="70"/>
    </row>
    <row r="744" customFormat="false" ht="12.75" hidden="false" customHeight="false" outlineLevel="0" collapsed="false">
      <c r="A744" s="70"/>
      <c r="B744" s="70"/>
      <c r="C744" s="70"/>
      <c r="D744" s="70"/>
      <c r="E744" s="70"/>
      <c r="F744" s="70"/>
      <c r="G744" s="70"/>
      <c r="H744" s="70"/>
      <c r="I744" s="70"/>
      <c r="J744" s="70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  <c r="Y744" s="70"/>
      <c r="Z744" s="70"/>
    </row>
    <row r="745" customFormat="false" ht="12.75" hidden="false" customHeight="false" outlineLevel="0" collapsed="false">
      <c r="A745" s="70"/>
      <c r="B745" s="70"/>
      <c r="C745" s="70"/>
      <c r="D745" s="70"/>
      <c r="E745" s="70"/>
      <c r="F745" s="70"/>
      <c r="G745" s="70"/>
      <c r="H745" s="70"/>
      <c r="I745" s="70"/>
      <c r="J745" s="70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  <c r="Y745" s="70"/>
      <c r="Z745" s="70"/>
    </row>
    <row r="746" customFormat="false" ht="12.75" hidden="false" customHeight="false" outlineLevel="0" collapsed="false">
      <c r="A746" s="70"/>
      <c r="B746" s="70"/>
      <c r="C746" s="70"/>
      <c r="D746" s="70"/>
      <c r="E746" s="70"/>
      <c r="F746" s="70"/>
      <c r="G746" s="70"/>
      <c r="H746" s="70"/>
      <c r="I746" s="70"/>
      <c r="J746" s="70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  <c r="Y746" s="70"/>
      <c r="Z746" s="70"/>
    </row>
    <row r="747" customFormat="false" ht="12.75" hidden="false" customHeight="false" outlineLevel="0" collapsed="false">
      <c r="A747" s="70"/>
      <c r="B747" s="70"/>
      <c r="C747" s="70"/>
      <c r="D747" s="70"/>
      <c r="E747" s="70"/>
      <c r="F747" s="70"/>
      <c r="G747" s="70"/>
      <c r="H747" s="70"/>
      <c r="I747" s="70"/>
      <c r="J747" s="70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  <c r="Y747" s="70"/>
      <c r="Z747" s="70"/>
    </row>
    <row r="748" customFormat="false" ht="12.75" hidden="false" customHeight="false" outlineLevel="0" collapsed="false">
      <c r="A748" s="70"/>
      <c r="B748" s="70"/>
      <c r="C748" s="70"/>
      <c r="D748" s="70"/>
      <c r="E748" s="70"/>
      <c r="F748" s="70"/>
      <c r="G748" s="70"/>
      <c r="H748" s="70"/>
      <c r="I748" s="70"/>
      <c r="J748" s="70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  <c r="Y748" s="70"/>
      <c r="Z748" s="70"/>
    </row>
    <row r="749" customFormat="false" ht="12.75" hidden="false" customHeight="false" outlineLevel="0" collapsed="false">
      <c r="A749" s="70"/>
      <c r="B749" s="70"/>
      <c r="C749" s="70"/>
      <c r="D749" s="70"/>
      <c r="E749" s="70"/>
      <c r="F749" s="70"/>
      <c r="G749" s="70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  <c r="Y749" s="70"/>
      <c r="Z749" s="70"/>
    </row>
    <row r="750" customFormat="false" ht="12.75" hidden="false" customHeight="false" outlineLevel="0" collapsed="false">
      <c r="A750" s="70"/>
      <c r="B750" s="70"/>
      <c r="C750" s="70"/>
      <c r="D750" s="70"/>
      <c r="E750" s="70"/>
      <c r="F750" s="70"/>
      <c r="G750" s="70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  <c r="Y750" s="70"/>
      <c r="Z750" s="70"/>
    </row>
    <row r="751" customFormat="false" ht="12.75" hidden="false" customHeight="false" outlineLevel="0" collapsed="false">
      <c r="A751" s="70"/>
      <c r="B751" s="70"/>
      <c r="C751" s="70"/>
      <c r="D751" s="70"/>
      <c r="E751" s="70"/>
      <c r="F751" s="70"/>
      <c r="G751" s="70"/>
      <c r="H751" s="70"/>
      <c r="I751" s="70"/>
      <c r="J751" s="70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  <c r="Z751" s="70"/>
    </row>
    <row r="752" customFormat="false" ht="12.75" hidden="false" customHeight="false" outlineLevel="0" collapsed="false">
      <c r="A752" s="70"/>
      <c r="B752" s="70"/>
      <c r="C752" s="70"/>
      <c r="D752" s="70"/>
      <c r="E752" s="70"/>
      <c r="F752" s="70"/>
      <c r="G752" s="70"/>
      <c r="H752" s="70"/>
      <c r="I752" s="70"/>
      <c r="J752" s="70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  <c r="Y752" s="70"/>
      <c r="Z752" s="70"/>
    </row>
    <row r="753" customFormat="false" ht="12.75" hidden="false" customHeight="false" outlineLevel="0" collapsed="false">
      <c r="A753" s="70"/>
      <c r="B753" s="70"/>
      <c r="C753" s="70"/>
      <c r="D753" s="70"/>
      <c r="E753" s="70"/>
      <c r="F753" s="70"/>
      <c r="G753" s="70"/>
      <c r="H753" s="70"/>
      <c r="I753" s="70"/>
      <c r="J753" s="70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  <c r="Y753" s="70"/>
      <c r="Z753" s="70"/>
    </row>
    <row r="754" customFormat="false" ht="12.75" hidden="false" customHeight="false" outlineLevel="0" collapsed="false">
      <c r="A754" s="70"/>
      <c r="B754" s="70"/>
      <c r="C754" s="70"/>
      <c r="D754" s="70"/>
      <c r="E754" s="70"/>
      <c r="F754" s="70"/>
      <c r="G754" s="70"/>
      <c r="H754" s="70"/>
      <c r="I754" s="70"/>
      <c r="J754" s="70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  <c r="Y754" s="70"/>
      <c r="Z754" s="70"/>
    </row>
    <row r="755" customFormat="false" ht="12.75" hidden="false" customHeight="false" outlineLevel="0" collapsed="false">
      <c r="A755" s="70"/>
      <c r="B755" s="70"/>
      <c r="C755" s="70"/>
      <c r="D755" s="70"/>
      <c r="E755" s="70"/>
      <c r="F755" s="70"/>
      <c r="G755" s="70"/>
      <c r="H755" s="70"/>
      <c r="I755" s="70"/>
      <c r="J755" s="70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  <c r="Y755" s="70"/>
      <c r="Z755" s="70"/>
    </row>
    <row r="756" customFormat="false" ht="12.75" hidden="false" customHeight="false" outlineLevel="0" collapsed="false">
      <c r="A756" s="70"/>
      <c r="B756" s="70"/>
      <c r="C756" s="70"/>
      <c r="D756" s="70"/>
      <c r="E756" s="70"/>
      <c r="F756" s="70"/>
      <c r="G756" s="70"/>
      <c r="H756" s="70"/>
      <c r="I756" s="70"/>
      <c r="J756" s="70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  <c r="Y756" s="70"/>
      <c r="Z756" s="70"/>
    </row>
    <row r="757" customFormat="false" ht="12.75" hidden="false" customHeight="false" outlineLevel="0" collapsed="false">
      <c r="A757" s="70"/>
      <c r="B757" s="70"/>
      <c r="C757" s="70"/>
      <c r="D757" s="70"/>
      <c r="E757" s="70"/>
      <c r="F757" s="70"/>
      <c r="G757" s="70"/>
      <c r="H757" s="70"/>
      <c r="I757" s="70"/>
      <c r="J757" s="70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  <c r="Y757" s="70"/>
      <c r="Z757" s="70"/>
    </row>
    <row r="758" customFormat="false" ht="12.75" hidden="false" customHeight="false" outlineLevel="0" collapsed="false">
      <c r="A758" s="70"/>
      <c r="B758" s="70"/>
      <c r="C758" s="70"/>
      <c r="D758" s="70"/>
      <c r="E758" s="70"/>
      <c r="F758" s="70"/>
      <c r="G758" s="70"/>
      <c r="H758" s="70"/>
      <c r="I758" s="70"/>
      <c r="J758" s="70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  <c r="Y758" s="70"/>
      <c r="Z758" s="70"/>
    </row>
    <row r="759" customFormat="false" ht="12.75" hidden="false" customHeight="false" outlineLevel="0" collapsed="false">
      <c r="A759" s="70"/>
      <c r="B759" s="70"/>
      <c r="C759" s="70"/>
      <c r="D759" s="70"/>
      <c r="E759" s="70"/>
      <c r="F759" s="70"/>
      <c r="G759" s="70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  <c r="Y759" s="70"/>
      <c r="Z759" s="70"/>
    </row>
    <row r="760" customFormat="false" ht="12.75" hidden="false" customHeight="false" outlineLevel="0" collapsed="false">
      <c r="A760" s="70"/>
      <c r="B760" s="70"/>
      <c r="C760" s="70"/>
      <c r="D760" s="70"/>
      <c r="E760" s="70"/>
      <c r="F760" s="70"/>
      <c r="G760" s="70"/>
      <c r="H760" s="70"/>
      <c r="I760" s="70"/>
      <c r="J760" s="70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  <c r="Y760" s="70"/>
      <c r="Z760" s="70"/>
    </row>
    <row r="761" customFormat="false" ht="12.75" hidden="false" customHeight="false" outlineLevel="0" collapsed="false">
      <c r="A761" s="70"/>
      <c r="B761" s="70"/>
      <c r="C761" s="70"/>
      <c r="D761" s="70"/>
      <c r="E761" s="70"/>
      <c r="F761" s="70"/>
      <c r="G761" s="70"/>
      <c r="H761" s="70"/>
      <c r="I761" s="70"/>
      <c r="J761" s="70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  <c r="Y761" s="70"/>
      <c r="Z761" s="70"/>
    </row>
    <row r="762" customFormat="false" ht="12.75" hidden="false" customHeight="false" outlineLevel="0" collapsed="false">
      <c r="A762" s="70"/>
      <c r="B762" s="70"/>
      <c r="C762" s="70"/>
      <c r="D762" s="70"/>
      <c r="E762" s="70"/>
      <c r="F762" s="70"/>
      <c r="G762" s="70"/>
      <c r="H762" s="70"/>
      <c r="I762" s="70"/>
      <c r="J762" s="70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  <c r="Y762" s="70"/>
      <c r="Z762" s="70"/>
    </row>
    <row r="763" customFormat="false" ht="12.75" hidden="false" customHeight="false" outlineLevel="0" collapsed="false">
      <c r="A763" s="70"/>
      <c r="B763" s="70"/>
      <c r="C763" s="70"/>
      <c r="D763" s="70"/>
      <c r="E763" s="70"/>
      <c r="F763" s="70"/>
      <c r="G763" s="70"/>
      <c r="H763" s="70"/>
      <c r="I763" s="70"/>
      <c r="J763" s="70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  <c r="Y763" s="70"/>
      <c r="Z763" s="70"/>
    </row>
    <row r="764" customFormat="false" ht="12.75" hidden="false" customHeight="false" outlineLevel="0" collapsed="false">
      <c r="A764" s="70"/>
      <c r="B764" s="70"/>
      <c r="C764" s="70"/>
      <c r="D764" s="70"/>
      <c r="E764" s="70"/>
      <c r="F764" s="70"/>
      <c r="G764" s="70"/>
      <c r="H764" s="70"/>
      <c r="I764" s="70"/>
      <c r="J764" s="70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  <c r="Y764" s="70"/>
      <c r="Z764" s="70"/>
    </row>
    <row r="765" customFormat="false" ht="12.75" hidden="false" customHeight="false" outlineLevel="0" collapsed="false">
      <c r="A765" s="70"/>
      <c r="B765" s="70"/>
      <c r="C765" s="70"/>
      <c r="D765" s="70"/>
      <c r="E765" s="70"/>
      <c r="F765" s="70"/>
      <c r="G765" s="70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  <c r="Y765" s="70"/>
      <c r="Z765" s="70"/>
    </row>
    <row r="766" customFormat="false" ht="12.75" hidden="false" customHeight="false" outlineLevel="0" collapsed="false">
      <c r="A766" s="70"/>
      <c r="B766" s="70"/>
      <c r="C766" s="70"/>
      <c r="D766" s="70"/>
      <c r="E766" s="70"/>
      <c r="F766" s="70"/>
      <c r="G766" s="70"/>
      <c r="H766" s="70"/>
      <c r="I766" s="70"/>
      <c r="J766" s="70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  <c r="Y766" s="70"/>
      <c r="Z766" s="70"/>
    </row>
    <row r="767" customFormat="false" ht="12.75" hidden="false" customHeight="false" outlineLevel="0" collapsed="false">
      <c r="A767" s="70"/>
      <c r="B767" s="70"/>
      <c r="C767" s="70"/>
      <c r="D767" s="70"/>
      <c r="E767" s="70"/>
      <c r="F767" s="70"/>
      <c r="G767" s="70"/>
      <c r="H767" s="70"/>
      <c r="I767" s="70"/>
      <c r="J767" s="70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  <c r="Y767" s="70"/>
      <c r="Z767" s="70"/>
    </row>
    <row r="768" customFormat="false" ht="12.75" hidden="false" customHeight="false" outlineLevel="0" collapsed="false">
      <c r="A768" s="70"/>
      <c r="B768" s="70"/>
      <c r="C768" s="70"/>
      <c r="D768" s="70"/>
      <c r="E768" s="70"/>
      <c r="F768" s="70"/>
      <c r="G768" s="70"/>
      <c r="H768" s="70"/>
      <c r="I768" s="70"/>
      <c r="J768" s="70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  <c r="Y768" s="70"/>
      <c r="Z768" s="70"/>
    </row>
    <row r="769" customFormat="false" ht="12.75" hidden="false" customHeight="false" outlineLevel="0" collapsed="false">
      <c r="A769" s="70"/>
      <c r="B769" s="70"/>
      <c r="C769" s="70"/>
      <c r="D769" s="70"/>
      <c r="E769" s="70"/>
      <c r="F769" s="70"/>
      <c r="G769" s="70"/>
      <c r="H769" s="70"/>
      <c r="I769" s="70"/>
      <c r="J769" s="70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  <c r="Y769" s="70"/>
      <c r="Z769" s="70"/>
    </row>
    <row r="770" customFormat="false" ht="12.75" hidden="false" customHeight="false" outlineLevel="0" collapsed="false">
      <c r="A770" s="70"/>
      <c r="B770" s="70"/>
      <c r="C770" s="70"/>
      <c r="D770" s="70"/>
      <c r="E770" s="70"/>
      <c r="F770" s="70"/>
      <c r="G770" s="70"/>
      <c r="H770" s="70"/>
      <c r="I770" s="70"/>
      <c r="J770" s="70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  <c r="Y770" s="70"/>
      <c r="Z770" s="70"/>
    </row>
    <row r="771" customFormat="false" ht="12.75" hidden="false" customHeight="false" outlineLevel="0" collapsed="false">
      <c r="A771" s="70"/>
      <c r="B771" s="70"/>
      <c r="C771" s="70"/>
      <c r="D771" s="70"/>
      <c r="E771" s="70"/>
      <c r="F771" s="70"/>
      <c r="G771" s="70"/>
      <c r="H771" s="70"/>
      <c r="I771" s="70"/>
      <c r="J771" s="70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  <c r="Y771" s="70"/>
      <c r="Z771" s="70"/>
    </row>
    <row r="772" customFormat="false" ht="12.75" hidden="false" customHeight="false" outlineLevel="0" collapsed="false">
      <c r="A772" s="70"/>
      <c r="B772" s="70"/>
      <c r="C772" s="70"/>
      <c r="D772" s="70"/>
      <c r="E772" s="70"/>
      <c r="F772" s="70"/>
      <c r="G772" s="70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  <c r="Y772" s="70"/>
      <c r="Z772" s="70"/>
    </row>
    <row r="773" customFormat="false" ht="12.75" hidden="false" customHeight="false" outlineLevel="0" collapsed="false">
      <c r="A773" s="70"/>
      <c r="B773" s="70"/>
      <c r="C773" s="70"/>
      <c r="D773" s="70"/>
      <c r="E773" s="70"/>
      <c r="F773" s="70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  <c r="Z773" s="70"/>
    </row>
    <row r="774" customFormat="false" ht="12.75" hidden="false" customHeight="false" outlineLevel="0" collapsed="false">
      <c r="A774" s="70"/>
      <c r="B774" s="70"/>
      <c r="C774" s="70"/>
      <c r="D774" s="70"/>
      <c r="E774" s="70"/>
      <c r="F774" s="70"/>
      <c r="G774" s="70"/>
      <c r="H774" s="70"/>
      <c r="I774" s="70"/>
      <c r="J774" s="70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  <c r="Y774" s="70"/>
      <c r="Z774" s="70"/>
    </row>
    <row r="775" customFormat="false" ht="12.75" hidden="false" customHeight="false" outlineLevel="0" collapsed="false">
      <c r="A775" s="70"/>
      <c r="B775" s="70"/>
      <c r="C775" s="70"/>
      <c r="D775" s="70"/>
      <c r="E775" s="70"/>
      <c r="F775" s="70"/>
      <c r="G775" s="70"/>
      <c r="H775" s="70"/>
      <c r="I775" s="70"/>
      <c r="J775" s="70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  <c r="Y775" s="70"/>
      <c r="Z775" s="70"/>
    </row>
    <row r="776" customFormat="false" ht="12.75" hidden="false" customHeight="false" outlineLevel="0" collapsed="false">
      <c r="A776" s="70"/>
      <c r="B776" s="70"/>
      <c r="C776" s="70"/>
      <c r="D776" s="70"/>
      <c r="E776" s="70"/>
      <c r="F776" s="70"/>
      <c r="G776" s="70"/>
      <c r="H776" s="70"/>
      <c r="I776" s="70"/>
      <c r="J776" s="70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  <c r="Y776" s="70"/>
      <c r="Z776" s="70"/>
    </row>
    <row r="777" customFormat="false" ht="12.75" hidden="false" customHeight="false" outlineLevel="0" collapsed="false">
      <c r="A777" s="70"/>
      <c r="B777" s="70"/>
      <c r="C777" s="70"/>
      <c r="D777" s="70"/>
      <c r="E777" s="70"/>
      <c r="F777" s="70"/>
      <c r="G777" s="70"/>
      <c r="H777" s="70"/>
      <c r="I777" s="70"/>
      <c r="J777" s="70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  <c r="Y777" s="70"/>
      <c r="Z777" s="70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43" fitToWidth="1" fitToHeight="1" pageOrder="downThenOver" orientation="landscape" blackAndWhite="false" draft="false" cellComments="none" horizontalDpi="300" verticalDpi="300" copies="1"/>
  <headerFooter differentFirst="false" differentOddEven="false">
    <oddHeader>&amp;LEnron Generation Company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7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21" activeCellId="0" sqref="I2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78" width="53.41"/>
    <col collapsed="false" customWidth="true" hidden="false" outlineLevel="0" max="4" min="2" style="78" width="8.41"/>
    <col collapsed="false" customWidth="true" hidden="false" outlineLevel="1" max="6" min="5" style="78" width="10.13"/>
    <col collapsed="false" customWidth="true" hidden="false" outlineLevel="1" max="8" min="7" style="78" width="10.71"/>
    <col collapsed="false" customWidth="true" hidden="false" outlineLevel="0" max="26" min="9" style="78" width="10.71"/>
    <col collapsed="false" customWidth="false" hidden="false" outlineLevel="0" max="257" min="27" style="70" width="9.14"/>
  </cols>
  <sheetData>
    <row r="2" customFormat="false" ht="18.75" hidden="false" customHeight="false" outlineLevel="0" collapsed="false">
      <c r="A2" s="317" t="s">
        <v>476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</row>
    <row r="3" customFormat="false" ht="12.75" hidden="false" customHeight="false" outlineLevel="0" collapsed="false">
      <c r="A3" s="323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</row>
    <row r="4" customFormat="false" ht="12.75" hidden="false" customHeight="false" outlineLevel="0" collapsed="false">
      <c r="A4" s="323"/>
      <c r="J4" s="70"/>
      <c r="K4" s="70"/>
      <c r="L4" s="70"/>
      <c r="M4" s="70"/>
      <c r="N4" s="70"/>
      <c r="O4" s="70"/>
    </row>
    <row r="5" customFormat="false" ht="13.5" hidden="false" customHeight="false" outlineLevel="0" collapsed="false">
      <c r="A5" s="319" t="s">
        <v>269</v>
      </c>
      <c r="B5" s="320"/>
      <c r="C5" s="320"/>
      <c r="D5" s="320"/>
      <c r="E5" s="320" t="n">
        <v>1999</v>
      </c>
      <c r="F5" s="320" t="n">
        <f aca="false">E5+1</f>
        <v>2000</v>
      </c>
      <c r="G5" s="320" t="n">
        <f aca="false">F5+1</f>
        <v>2001</v>
      </c>
      <c r="H5" s="320" t="n">
        <f aca="false">G5+1</f>
        <v>2002</v>
      </c>
      <c r="I5" s="320" t="n">
        <f aca="false">H5+1</f>
        <v>2003</v>
      </c>
      <c r="J5" s="320" t="n">
        <f aca="false">I5+1</f>
        <v>2004</v>
      </c>
      <c r="K5" s="320" t="n">
        <f aca="false">J5+1</f>
        <v>2005</v>
      </c>
      <c r="L5" s="320" t="n">
        <f aca="false">K5+1</f>
        <v>2006</v>
      </c>
      <c r="M5" s="320" t="n">
        <f aca="false">L5+1</f>
        <v>2007</v>
      </c>
      <c r="N5" s="320" t="n">
        <f aca="false">M5+1</f>
        <v>2008</v>
      </c>
      <c r="O5" s="320" t="n">
        <f aca="false">N5+1</f>
        <v>2009</v>
      </c>
      <c r="P5" s="320" t="n">
        <f aca="false">O5+1</f>
        <v>2010</v>
      </c>
      <c r="Q5" s="320" t="n">
        <f aca="false">P5+1</f>
        <v>2011</v>
      </c>
      <c r="R5" s="320" t="n">
        <f aca="false">Q5+1</f>
        <v>2012</v>
      </c>
      <c r="S5" s="320" t="n">
        <f aca="false">R5+1</f>
        <v>2013</v>
      </c>
      <c r="T5" s="320" t="n">
        <f aca="false">S5+1</f>
        <v>2014</v>
      </c>
      <c r="U5" s="320" t="n">
        <f aca="false">T5+1</f>
        <v>2015</v>
      </c>
      <c r="V5" s="320" t="n">
        <f aca="false">U5+1</f>
        <v>2016</v>
      </c>
      <c r="W5" s="320" t="n">
        <f aca="false">V5+1</f>
        <v>2017</v>
      </c>
      <c r="X5" s="320" t="n">
        <f aca="false">W5+1</f>
        <v>2018</v>
      </c>
      <c r="Y5" s="320" t="n">
        <f aca="false">X5+1</f>
        <v>2019</v>
      </c>
      <c r="Z5" s="320" t="n">
        <f aca="false">Y5+1</f>
        <v>2020</v>
      </c>
    </row>
    <row r="6" customFormat="false" ht="12.75" hidden="false" customHeight="false" outlineLevel="0" collapsed="false">
      <c r="A6" s="322"/>
      <c r="B6" s="318"/>
      <c r="C6" s="318"/>
      <c r="D6" s="318"/>
      <c r="E6" s="318"/>
      <c r="F6" s="318"/>
      <c r="G6" s="321"/>
      <c r="H6" s="321"/>
      <c r="I6" s="321"/>
      <c r="J6" s="474"/>
      <c r="K6" s="474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</row>
    <row r="7" customFormat="false" ht="12.75" hidden="false" customHeight="false" outlineLevel="0" collapsed="false">
      <c r="A7" s="322"/>
      <c r="B7" s="318"/>
      <c r="C7" s="318"/>
      <c r="D7" s="318"/>
      <c r="E7" s="318"/>
      <c r="F7" s="318"/>
      <c r="G7" s="321"/>
      <c r="H7" s="321"/>
      <c r="I7" s="321"/>
      <c r="J7" s="321"/>
      <c r="K7" s="321"/>
      <c r="L7" s="321"/>
      <c r="M7" s="321"/>
      <c r="N7" s="321"/>
      <c r="O7" s="321"/>
      <c r="P7" s="321"/>
      <c r="Q7" s="321"/>
      <c r="R7" s="321"/>
      <c r="S7" s="321"/>
      <c r="T7" s="321"/>
      <c r="U7" s="321"/>
      <c r="V7" s="321"/>
      <c r="W7" s="321"/>
      <c r="X7" s="321"/>
      <c r="Y7" s="321"/>
      <c r="Z7" s="321"/>
    </row>
    <row r="8" customFormat="false" ht="12.75" hidden="false" customHeight="false" outlineLevel="0" collapsed="false">
      <c r="A8" s="323" t="s">
        <v>270</v>
      </c>
      <c r="B8" s="321"/>
      <c r="C8" s="321"/>
      <c r="D8" s="321"/>
      <c r="E8" s="650"/>
      <c r="F8" s="650"/>
      <c r="G8" s="650"/>
      <c r="H8" s="650"/>
      <c r="I8" s="650"/>
      <c r="J8" s="650"/>
      <c r="K8" s="650"/>
      <c r="L8" s="650"/>
      <c r="M8" s="650"/>
      <c r="N8" s="650"/>
      <c r="O8" s="650"/>
      <c r="P8" s="650"/>
      <c r="Q8" s="650"/>
      <c r="R8" s="650"/>
      <c r="S8" s="650"/>
      <c r="T8" s="650"/>
      <c r="U8" s="650"/>
      <c r="V8" s="650"/>
      <c r="W8" s="650"/>
      <c r="X8" s="650"/>
      <c r="Y8" s="650"/>
      <c r="Z8" s="650"/>
      <c r="AA8" s="651"/>
      <c r="AB8" s="651"/>
      <c r="AC8" s="651"/>
    </row>
    <row r="9" customFormat="false" ht="12.75" hidden="false" customHeight="false" outlineLevel="0" collapsed="false">
      <c r="A9" s="326" t="s">
        <v>271</v>
      </c>
      <c r="B9" s="321"/>
      <c r="C9" s="321"/>
      <c r="D9" s="321"/>
      <c r="E9" s="321"/>
      <c r="F9" s="321"/>
      <c r="H9" s="70"/>
      <c r="AA9" s="651"/>
      <c r="AB9" s="651"/>
      <c r="AC9" s="651"/>
    </row>
    <row r="10" customFormat="false" ht="12.75" hidden="false" customHeight="false" outlineLevel="0" collapsed="false">
      <c r="A10" s="327" t="s">
        <v>272</v>
      </c>
      <c r="B10" s="321"/>
      <c r="C10" s="321"/>
      <c r="D10" s="321"/>
      <c r="E10" s="115" t="n">
        <v>0</v>
      </c>
      <c r="F10" s="115" t="n">
        <f aca="false">Assumptions!$Q$30*Assumptions!$Q$53*'Power Price Assumption'!F61</f>
        <v>11280</v>
      </c>
      <c r="G10" s="115" t="n">
        <f aca="false">Assumptions!$Q$30*12*'Power Price Assumption'!G61</f>
        <v>22560</v>
      </c>
      <c r="H10" s="115" t="n">
        <f aca="false">Assumptions!$Q$30*12*'Power Price Assumption'!H61</f>
        <v>22560</v>
      </c>
      <c r="I10" s="115" t="n">
        <v>0</v>
      </c>
      <c r="J10" s="115" t="n">
        <f aca="false">Assumptions!$P$30*12*'Power Price Assumption'!J23</f>
        <v>0</v>
      </c>
      <c r="K10" s="115" t="n">
        <f aca="false">Assumptions!$P$30*12*'Power Price Assumption'!K23</f>
        <v>0</v>
      </c>
      <c r="L10" s="115" t="n">
        <f aca="false">Assumptions!$P$30*12*'Power Price Assumption'!L23</f>
        <v>0</v>
      </c>
      <c r="M10" s="115" t="n">
        <f aca="false">Assumptions!$P$30*12*'Power Price Assumption'!M23</f>
        <v>0</v>
      </c>
      <c r="N10" s="115" t="n">
        <f aca="false">Assumptions!$P$30*12*'Power Price Assumption'!N23</f>
        <v>0</v>
      </c>
      <c r="O10" s="115" t="n">
        <f aca="false">Assumptions!$P$30*12*'Power Price Assumption'!O23</f>
        <v>0</v>
      </c>
      <c r="P10" s="115" t="n">
        <f aca="false">Assumptions!$P$30*12*'Power Price Assumption'!P23</f>
        <v>0</v>
      </c>
      <c r="Q10" s="115" t="n">
        <f aca="false">Assumptions!$P$30*12*'Power Price Assumption'!Q23</f>
        <v>0</v>
      </c>
      <c r="R10" s="115" t="n">
        <f aca="false">Assumptions!$P$30*12*'Power Price Assumption'!R23</f>
        <v>0</v>
      </c>
      <c r="S10" s="115" t="n">
        <f aca="false">Assumptions!$P$30*12*'Power Price Assumption'!S23</f>
        <v>0</v>
      </c>
      <c r="T10" s="115" t="n">
        <f aca="false">Assumptions!$P$30*12*'Power Price Assumption'!T23</f>
        <v>0</v>
      </c>
      <c r="U10" s="115" t="n">
        <f aca="false">Assumptions!$P$30*12*'Power Price Assumption'!U23</f>
        <v>0</v>
      </c>
      <c r="V10" s="115" t="n">
        <f aca="false">Assumptions!$P$30*12*'Power Price Assumption'!V23</f>
        <v>0</v>
      </c>
      <c r="W10" s="115" t="n">
        <f aca="false">Assumptions!$P$30*12*'Power Price Assumption'!W23</f>
        <v>0</v>
      </c>
      <c r="X10" s="115" t="n">
        <f aca="false">Assumptions!$P$30*12*'Power Price Assumption'!X23</f>
        <v>0</v>
      </c>
      <c r="Y10" s="115" t="n">
        <f aca="false">Assumptions!$P$30*12*'Power Price Assumption'!Y23</f>
        <v>0</v>
      </c>
      <c r="Z10" s="115" t="n">
        <f aca="false">Assumptions!$P$30*12*'Power Price Assumption'!Z23</f>
        <v>0</v>
      </c>
      <c r="AA10" s="651"/>
      <c r="AB10" s="651"/>
      <c r="AC10" s="651"/>
    </row>
    <row r="11" customFormat="false" ht="12.75" hidden="false" customHeight="false" outlineLevel="0" collapsed="false">
      <c r="A11" s="327" t="s">
        <v>273</v>
      </c>
      <c r="B11" s="321"/>
      <c r="C11" s="321"/>
      <c r="D11" s="321"/>
      <c r="E11" s="115" t="n">
        <f aca="false">E26</f>
        <v>0</v>
      </c>
      <c r="F11" s="115" t="n">
        <f aca="false">Assumptions!Q$26*Assumptions!Q$30*Assumptions!Q$14/1000*(1+Assumptions!$Q$39)</f>
        <v>675.886</v>
      </c>
      <c r="G11" s="115" t="n">
        <f aca="false">F11*(1+Assumptions!$Q$39)</f>
        <v>696.16258</v>
      </c>
      <c r="H11" s="115" t="n">
        <f aca="false">G11*(1+Assumptions!$Q$39)</f>
        <v>717.0474574</v>
      </c>
      <c r="I11" s="115" t="n">
        <v>0</v>
      </c>
      <c r="J11" s="115" t="n">
        <f aca="false">Assumptions!$P$30*12*'Power Price Assumption'!J24</f>
        <v>0</v>
      </c>
      <c r="K11" s="115" t="n">
        <f aca="false">Assumptions!$P$30*12*'Power Price Assumption'!K24</f>
        <v>0</v>
      </c>
      <c r="L11" s="115" t="n">
        <f aca="false">Assumptions!$P$30*12*'Power Price Assumption'!L24</f>
        <v>0</v>
      </c>
      <c r="M11" s="115" t="n">
        <f aca="false">Assumptions!$P$30*12*'Power Price Assumption'!M24</f>
        <v>0</v>
      </c>
      <c r="N11" s="115" t="n">
        <f aca="false">Assumptions!$P$30*12*'Power Price Assumption'!N24</f>
        <v>0</v>
      </c>
      <c r="O11" s="115" t="n">
        <f aca="false">Assumptions!$P$30*12*'Power Price Assumption'!O24</f>
        <v>0</v>
      </c>
      <c r="P11" s="115" t="n">
        <f aca="false">Assumptions!$P$30*12*'Power Price Assumption'!P24</f>
        <v>0</v>
      </c>
      <c r="Q11" s="115" t="n">
        <f aca="false">Assumptions!$P$30*12*'Power Price Assumption'!Q24</f>
        <v>0</v>
      </c>
      <c r="R11" s="115" t="n">
        <f aca="false">Assumptions!$P$30*12*'Power Price Assumption'!R24</f>
        <v>0</v>
      </c>
      <c r="S11" s="115" t="n">
        <f aca="false">Assumptions!$P$30*12*'Power Price Assumption'!S24</f>
        <v>0</v>
      </c>
      <c r="T11" s="115" t="n">
        <f aca="false">Assumptions!$P$30*12*'Power Price Assumption'!T24</f>
        <v>0</v>
      </c>
      <c r="U11" s="115" t="n">
        <f aca="false">Assumptions!$P$30*12*'Power Price Assumption'!U24</f>
        <v>0</v>
      </c>
      <c r="V11" s="115" t="n">
        <f aca="false">Assumptions!$P$30*12*'Power Price Assumption'!V24</f>
        <v>0</v>
      </c>
      <c r="W11" s="115" t="n">
        <f aca="false">Assumptions!$P$30*12*'Power Price Assumption'!W24</f>
        <v>0</v>
      </c>
      <c r="X11" s="115" t="n">
        <f aca="false">Assumptions!$P$30*12*'Power Price Assumption'!X24</f>
        <v>0</v>
      </c>
      <c r="Y11" s="115" t="n">
        <f aca="false">Assumptions!$P$30*12*'Power Price Assumption'!Y24</f>
        <v>0</v>
      </c>
      <c r="Z11" s="115" t="n">
        <f aca="false">Assumptions!$P$30*12*'Power Price Assumption'!Z24</f>
        <v>0</v>
      </c>
      <c r="AA11" s="651"/>
      <c r="AB11" s="651"/>
      <c r="AC11" s="651"/>
    </row>
    <row r="12" customFormat="false" ht="12.75" hidden="false" customHeight="false" outlineLevel="0" collapsed="false">
      <c r="A12" s="327" t="s">
        <v>274</v>
      </c>
      <c r="B12" s="321"/>
      <c r="C12" s="321"/>
      <c r="D12" s="321"/>
      <c r="E12" s="115" t="n">
        <v>0</v>
      </c>
      <c r="F12" s="115" t="n">
        <f aca="false">VLOOKUP(Assumptions!$Q$19,'EGC Start Charge Matrix'!$A$10:$S$35,18)*(1+Assumptions!$Q$39)</f>
        <v>2140.752</v>
      </c>
      <c r="G12" s="115" t="n">
        <f aca="false">F12*(1+Assumptions!$Q$39)</f>
        <v>2204.97456</v>
      </c>
      <c r="H12" s="115" t="n">
        <f aca="false">G12*(1+Assumptions!$Q$39)</f>
        <v>2271.1237968</v>
      </c>
      <c r="I12" s="115" t="n">
        <v>0</v>
      </c>
      <c r="J12" s="115" t="n">
        <v>0</v>
      </c>
      <c r="K12" s="115" t="n">
        <v>0</v>
      </c>
      <c r="L12" s="115" t="n">
        <v>0</v>
      </c>
      <c r="M12" s="115" t="n">
        <v>0</v>
      </c>
      <c r="N12" s="115" t="n">
        <v>0</v>
      </c>
      <c r="O12" s="115" t="n">
        <v>0</v>
      </c>
      <c r="P12" s="115" t="n">
        <v>0</v>
      </c>
      <c r="Q12" s="115" t="n">
        <v>0</v>
      </c>
      <c r="R12" s="115" t="n">
        <v>0</v>
      </c>
      <c r="S12" s="115" t="n">
        <v>0</v>
      </c>
      <c r="T12" s="115" t="n">
        <v>0</v>
      </c>
      <c r="U12" s="115" t="n">
        <v>0</v>
      </c>
      <c r="V12" s="115" t="n">
        <v>0</v>
      </c>
      <c r="W12" s="115" t="n">
        <v>0</v>
      </c>
      <c r="X12" s="115" t="n">
        <v>0</v>
      </c>
      <c r="Y12" s="115" t="n">
        <v>0</v>
      </c>
      <c r="Z12" s="115" t="n">
        <v>0</v>
      </c>
      <c r="AA12" s="651"/>
      <c r="AB12" s="651"/>
      <c r="AC12" s="651"/>
    </row>
    <row r="13" customFormat="false" ht="12.75" hidden="false" customHeight="false" outlineLevel="0" collapsed="false">
      <c r="A13" s="70"/>
      <c r="B13" s="321"/>
      <c r="C13" s="321"/>
      <c r="D13" s="321"/>
      <c r="E13" s="321"/>
      <c r="F13" s="321"/>
      <c r="H13" s="70"/>
      <c r="AA13" s="651"/>
      <c r="AB13" s="651"/>
      <c r="AC13" s="651"/>
    </row>
    <row r="14" customFormat="false" ht="12.75" hidden="false" customHeight="false" outlineLevel="0" collapsed="false">
      <c r="A14" s="326" t="s">
        <v>275</v>
      </c>
      <c r="B14" s="321"/>
      <c r="C14" s="321"/>
      <c r="D14" s="321"/>
      <c r="E14" s="321"/>
      <c r="F14" s="321"/>
      <c r="H14" s="70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651"/>
      <c r="AB14" s="651"/>
      <c r="AC14" s="651"/>
    </row>
    <row r="15" customFormat="false" ht="12.75" hidden="false" customHeight="false" outlineLevel="0" collapsed="false">
      <c r="A15" s="327" t="s">
        <v>272</v>
      </c>
      <c r="B15" s="321"/>
      <c r="C15" s="321"/>
      <c r="D15" s="321"/>
      <c r="E15" s="115" t="n">
        <v>0</v>
      </c>
      <c r="F15" s="115" t="n">
        <v>0</v>
      </c>
      <c r="G15" s="115" t="n">
        <v>0</v>
      </c>
      <c r="H15" s="115" t="n">
        <v>0</v>
      </c>
      <c r="I15" s="115" t="n">
        <f aca="false">IF(Assumptions!$Q$19=120,Assumptions!$Q$33*(1-Assumptions!$Q$35)*'Power Price Assumption'!I63*12,Assumptions!$Q$33*(1-Assumptions!$Q$35)*'Power Price Assumption'!I63*12-2/3*VLOOKUP(120,'EGC Start Charge Matrix'!$U$10:$AM$35,18)*(1+Assumptions!$Q$52)^(I5-Brownsville!$E$5))</f>
        <v>37241.0067942148</v>
      </c>
      <c r="J15" s="115" t="n">
        <f aca="false">IF(Assumptions!$Q$19=120,Assumptions!$Q$33*(1-Assumptions!$Q$35)*'Power Price Assumption'!J63*12,Assumptions!$Q$33*(1-Assumptions!$Q$35)*'Power Price Assumption'!J63*12-2/3*VLOOKUP(120,'EGC Start Charge Matrix'!$U$10:$AM$35,18)*(1+Assumptions!$Q$52)^(J5-Brownsville!$E$5))</f>
        <v>38358.2369980412</v>
      </c>
      <c r="K15" s="115" t="n">
        <f aca="false">IF(Assumptions!$Q$19=120,Assumptions!$Q$33*(1-Assumptions!$Q$35)*'Power Price Assumption'!K63*12,Assumptions!$Q$33*(1-Assumptions!$Q$35)*'Power Price Assumption'!K63*12-2/3*VLOOKUP(120,'EGC Start Charge Matrix'!$U$10:$AM$35,18)*(1+Assumptions!$Q$52)^(K5-Brownsville!$E$5))</f>
        <v>39508.9841079825</v>
      </c>
      <c r="L15" s="115" t="n">
        <f aca="false">IF(Assumptions!$Q$19=120,Assumptions!$Q$33*(1-Assumptions!$Q$35)*'Power Price Assumption'!L63*12,Assumptions!$Q$33*(1-Assumptions!$Q$35)*'Power Price Assumption'!L63*12-2/3*VLOOKUP(120,'EGC Start Charge Matrix'!$U$10:$AM$35,18)*(1+Assumptions!$Q$52)^(L5-Brownsville!$E$5))</f>
        <v>40068.1881907416</v>
      </c>
      <c r="M15" s="115" t="n">
        <f aca="false">IF(Assumptions!$Q$19=120,Assumptions!$Q$33*(1-Assumptions!$Q$35)*'Power Price Assumption'!M63*12,Assumptions!$Q$33*(1-Assumptions!$Q$35)*'Power Price Assumption'!M63*12-2/3*VLOOKUP(120,'EGC Start Charge Matrix'!$U$10:$AM$35,18)*(1+Assumptions!$Q$52)^(M5-Brownsville!$E$5))</f>
        <v>40625.3864327691</v>
      </c>
      <c r="N15" s="115" t="n">
        <f aca="false">IF(Assumptions!$Q$19=120,Assumptions!$Q$33*(1-Assumptions!$Q$35)*'Power Price Assumption'!N63*12,Assumptions!$Q$33*(1-Assumptions!$Q$35)*'Power Price Assumption'!N63*12-2/3*VLOOKUP(120,'EGC Start Charge Matrix'!$U$10:$AM$35,18)*(1+Assumptions!$Q$52)^(N5-Brownsville!$E$5))</f>
        <v>41179.9551999466</v>
      </c>
      <c r="O15" s="115" t="n">
        <f aca="false">IF(Assumptions!$Q$19=120,Assumptions!$Q$33*(1-Assumptions!$Q$35)*'Power Price Assumption'!O63*12,Assumptions!$Q$33*(1-Assumptions!$Q$35)*'Power Price Assumption'!O63*12-2/3*VLOOKUP(120,'EGC Start Charge Matrix'!$U$10:$AM$35,18)*(1+Assumptions!$Q$52)^(O5-Brownsville!$E$5))</f>
        <v>41731.2352453652</v>
      </c>
      <c r="P15" s="115" t="n">
        <f aca="false">IF(Assumptions!$Q$19=120,Assumptions!$Q$33*(1-Assumptions!$Q$35)*'Power Price Assumption'!P63*12,Assumptions!$Q$33*(1-Assumptions!$Q$35)*'Power Price Assumption'!P63*12-2/3*VLOOKUP(120,'EGC Start Charge Matrix'!$U$10:$AM$35,18)*(1+Assumptions!$Q$52)^(P5-Brownsville!$E$5))</f>
        <v>42278.530133829</v>
      </c>
      <c r="Q15" s="115" t="n">
        <f aca="false">IF(Assumptions!$Q$19=120,Assumptions!$Q$33*(1-Assumptions!$Q$35)*'Power Price Assumption'!Q63*12,Assumptions!$Q$33*(1-Assumptions!$Q$35)*'Power Price Assumption'!Q63*12-2/3*VLOOKUP(120,'EGC Start Charge Matrix'!$U$10:$AM$35,18)*(1+Assumptions!$Q$52)^(Q5-Brownsville!$E$5))</f>
        <v>42821.1046038798</v>
      </c>
      <c r="R15" s="115" t="n">
        <f aca="false">IF(Assumptions!$Q$19=120,Assumptions!$Q$33*(1-Assumptions!$Q$35)*'Power Price Assumption'!R63*12,Assumptions!$Q$33*(1-Assumptions!$Q$35)*'Power Price Assumption'!R63*12-2/3*VLOOKUP(120,'EGC Start Charge Matrix'!$U$10:$AM$35,18)*(1+Assumptions!$Q$52)^(R5-Brownsville!$E$5))</f>
        <v>43358.1828650133</v>
      </c>
      <c r="S15" s="115" t="n">
        <f aca="false">IF(Assumptions!$Q$19=120,Assumptions!$Q$33*(1-Assumptions!$Q$35)*'Power Price Assumption'!S63*12,Assumptions!$Q$33*(1-Assumptions!$Q$35)*'Power Price Assumption'!S63*12-2/3*VLOOKUP(120,'EGC Start Charge Matrix'!$U$10:$AM$35,18)*(1+Assumptions!$Q$52)^(S5-Brownsville!$E$5))</f>
        <v>43118.9653043787</v>
      </c>
      <c r="T15" s="115" t="n">
        <f aca="false">IF(Assumptions!$Q$19=120,Assumptions!$Q$33*(1-Assumptions!$Q$35)*'Power Price Assumption'!T63*12,Assumptions!$Q$33*(1-Assumptions!$Q$35)*'Power Price Assumption'!T63*12-2/3*VLOOKUP(120,'EGC Start Charge Matrix'!$U$10:$AM$35,18)*(1+Assumptions!$Q$52)^(T5-Brownsville!$E$5))</f>
        <v>43619.4532945188</v>
      </c>
      <c r="U15" s="115" t="n">
        <f aca="false">IF(Assumptions!$Q$19=120,Assumptions!$Q$33*(1-Assumptions!$Q$35)*'Power Price Assumption'!U63*12,Assumptions!$Q$33*(1-Assumptions!$Q$35)*'Power Price Assumption'!U63*12-2/3*VLOOKUP(120,'EGC Start Charge Matrix'!$U$10:$AM$35,18)*(1+Assumptions!$Q$52)^(U5-Brownsville!$E$5))</f>
        <v>44111.1634952934</v>
      </c>
      <c r="V15" s="115" t="n">
        <f aca="false">IF(Assumptions!$Q$19=120,Assumptions!$Q$33*(1-Assumptions!$Q$35)*'Power Price Assumption'!V63*12,Assumptions!$Q$33*(1-Assumptions!$Q$35)*'Power Price Assumption'!V63*12-2/3*VLOOKUP(120,'EGC Start Charge Matrix'!$U$10:$AM$35,18)*(1+Assumptions!$Q$52)^(V5-Brownsville!$E$5))</f>
        <v>44593.1188001494</v>
      </c>
      <c r="W15" s="115" t="n">
        <f aca="false">IF(Assumptions!$Q$19=120,Assumptions!$Q$33*(1-Assumptions!$Q$35)*'Power Price Assumption'!W63*12,Assumptions!$Q$33*(1-Assumptions!$Q$35)*'Power Price Assumption'!W63*12-2/3*VLOOKUP(120,'EGC Start Charge Matrix'!$U$10:$AM$35,18)*(1+Assumptions!$Q$52)^(W5-Brownsville!$E$5))</f>
        <v>45064.291376151</v>
      </c>
      <c r="X15" s="115" t="n">
        <f aca="false">IF(Assumptions!$Q$19=120,Assumptions!$Q$33*(1-Assumptions!$Q$35)*'Power Price Assumption'!X63*12,Assumptions!$Q$33*(1-Assumptions!$Q$35)*'Power Price Assumption'!X63*12-2/3*VLOOKUP(120,'EGC Start Charge Matrix'!$U$10:$AM$35,18)*(1+Assumptions!$Q$52)^(X5-Brownsville!$E$5))</f>
        <v>45523.6004997925</v>
      </c>
      <c r="Y15" s="115" t="n">
        <f aca="false">IF(Assumptions!$Q$19=120,Assumptions!$Q$33*(1-Assumptions!$Q$35)*'Power Price Assumption'!Y63*12,Assumptions!$Q$33*(1-Assumptions!$Q$35)*'Power Price Assumption'!Y63*12-2/3*VLOOKUP(120,'EGC Start Charge Matrix'!$U$10:$AM$35,18)*(1+Assumptions!$Q$52)^(Y5-Brownsville!$E$5))</f>
        <v>45050.5121024417</v>
      </c>
      <c r="Z15" s="115" t="n">
        <f aca="false">IF(Assumptions!$Q$19=120,Assumptions!$Q$33*(1-Assumptions!$Q$35)*'Power Price Assumption'!Z63*12,Assumptions!$Q$33*(1-Assumptions!$Q$35)*'Power Price Assumption'!Z63*12-2/3*VLOOKUP(120,'EGC Start Charge Matrix'!$U$10:$AM$35,18)*(1+Assumptions!$Q$52)^(Z5-Brownsville!$E$5))</f>
        <v>45455.0473131575</v>
      </c>
      <c r="AA15" s="651"/>
      <c r="AB15" s="651"/>
      <c r="AC15" s="651"/>
    </row>
    <row r="16" customFormat="false" ht="12.75" hidden="false" customHeight="false" outlineLevel="0" collapsed="false">
      <c r="A16" s="327" t="s">
        <v>276</v>
      </c>
      <c r="B16" s="321"/>
      <c r="C16" s="321"/>
      <c r="D16" s="321"/>
      <c r="E16" s="115" t="n">
        <v>0</v>
      </c>
      <c r="F16" s="115" t="n">
        <v>0</v>
      </c>
      <c r="G16" s="115" t="n">
        <v>0</v>
      </c>
      <c r="H16" s="115" t="n">
        <v>0</v>
      </c>
      <c r="I16" s="115" t="n">
        <f aca="false">(Assumptions!$Q$26*Assumptions!$Q$34/1000)*(1+Assumptions!$Q$39)^(I5-$E$5)+$F$12*(1+Assumptions!$Q$39)^(I5-$F$5)*1/3</f>
        <v>1572.22304020816</v>
      </c>
      <c r="J16" s="115" t="n">
        <f aca="false">(Assumptions!$Q$26*Assumptions!$Q$34/1000)*(1+Assumptions!$Q$39)^(J5-$E$5)+$F$12*(1+Assumptions!$Q$39)^(J5-$F$5)*1/3</f>
        <v>1619.3897314144</v>
      </c>
      <c r="K16" s="115" t="n">
        <f aca="false">J16*(1+Assumptions!$Q$39)</f>
        <v>1667.97142335683</v>
      </c>
      <c r="L16" s="115" t="n">
        <f aca="false">K16*(1+Assumptions!$Q$39)</f>
        <v>1718.01056605754</v>
      </c>
      <c r="M16" s="115" t="n">
        <f aca="false">L16*(1+Assumptions!$Q$39)</f>
        <v>1769.55088303926</v>
      </c>
      <c r="N16" s="115" t="n">
        <f aca="false">M16*(1+Assumptions!$Q$39)</f>
        <v>1822.63740953044</v>
      </c>
      <c r="O16" s="115" t="n">
        <f aca="false">N16*(1+Assumptions!$Q$39)</f>
        <v>1877.31653181636</v>
      </c>
      <c r="P16" s="115" t="n">
        <f aca="false">O16*(1+Assumptions!$Q$39)</f>
        <v>1933.63602777085</v>
      </c>
      <c r="Q16" s="115" t="n">
        <f aca="false">P16*(1+Assumptions!$Q$39)</f>
        <v>1991.64510860397</v>
      </c>
      <c r="R16" s="115" t="n">
        <f aca="false">Q16*(1+Assumptions!$Q$39)</f>
        <v>2051.39446186209</v>
      </c>
      <c r="S16" s="115" t="n">
        <f aca="false">R16*(1+Assumptions!$Q$39)</f>
        <v>2112.93629571795</v>
      </c>
      <c r="T16" s="115" t="n">
        <f aca="false">S16*(1+Assumptions!$Q$39)</f>
        <v>2176.32438458949</v>
      </c>
      <c r="U16" s="115" t="n">
        <f aca="false">T16*(1+Assumptions!$Q$39)</f>
        <v>2241.61411612718</v>
      </c>
      <c r="V16" s="115" t="n">
        <f aca="false">U16*(1+Assumptions!$Q$39)</f>
        <v>2308.86253961099</v>
      </c>
      <c r="W16" s="115" t="n">
        <f aca="false">V16*(1+Assumptions!$Q$39)</f>
        <v>2378.12841579932</v>
      </c>
      <c r="X16" s="115" t="n">
        <f aca="false">W16*(1+Assumptions!$Q$39)</f>
        <v>2449.4722682733</v>
      </c>
      <c r="Y16" s="115" t="n">
        <f aca="false">X16*(1+Assumptions!$Q$39)</f>
        <v>2522.9564363215</v>
      </c>
      <c r="Z16" s="115" t="n">
        <f aca="false">Y16*(1+Assumptions!$Q$39)</f>
        <v>2598.64512941115</v>
      </c>
      <c r="AA16" s="651"/>
      <c r="AB16" s="651"/>
      <c r="AC16" s="651"/>
    </row>
    <row r="17" customFormat="false" ht="12.75" hidden="false" customHeight="false" outlineLevel="0" collapsed="false">
      <c r="A17" s="327" t="s">
        <v>277</v>
      </c>
      <c r="B17" s="321"/>
      <c r="C17" s="321"/>
      <c r="D17" s="321"/>
      <c r="E17" s="115" t="n">
        <v>0</v>
      </c>
      <c r="F17" s="115" t="n">
        <v>0</v>
      </c>
      <c r="G17" s="115" t="n">
        <v>0</v>
      </c>
      <c r="H17" s="115" t="n">
        <v>0</v>
      </c>
      <c r="I17" s="115" t="n">
        <f aca="false">Assumptions!$Q$33*Assumptions!$Q$35*Assumptions!$Q$36*Assumptions!$Q$14/1000</f>
        <v>12.103392</v>
      </c>
      <c r="J17" s="115" t="n">
        <f aca="false">Assumptions!$Q$33*Assumptions!$Q$35*Assumptions!$Q$36*Assumptions!$Q$14/1000</f>
        <v>12.103392</v>
      </c>
      <c r="K17" s="115" t="n">
        <f aca="false">Assumptions!$Q$33*Assumptions!$Q$35*Assumptions!$Q$36*Assumptions!$Q$14/1000</f>
        <v>12.103392</v>
      </c>
      <c r="L17" s="115" t="n">
        <f aca="false">Assumptions!$Q$33*Assumptions!$Q$35*Assumptions!$Q$36*Assumptions!$Q$14/1000</f>
        <v>12.103392</v>
      </c>
      <c r="M17" s="115" t="n">
        <f aca="false">Assumptions!$Q$33*Assumptions!$Q$35*Assumptions!$Q$36*Assumptions!$Q$14/1000</f>
        <v>12.103392</v>
      </c>
      <c r="N17" s="115" t="n">
        <f aca="false">Assumptions!$Q$33*Assumptions!$Q$35*Assumptions!$Q$36*Assumptions!$Q$14/1000</f>
        <v>12.103392</v>
      </c>
      <c r="O17" s="115" t="n">
        <f aca="false">Assumptions!$Q$33*Assumptions!$Q$35*Assumptions!$Q$36*Assumptions!$Q$14/1000</f>
        <v>12.103392</v>
      </c>
      <c r="P17" s="115" t="n">
        <f aca="false">Assumptions!$Q$33*Assumptions!$Q$35*Assumptions!$Q$36*Assumptions!$Q$14/1000</f>
        <v>12.103392</v>
      </c>
      <c r="Q17" s="115" t="n">
        <f aca="false">Assumptions!$Q$33*Assumptions!$Q$35*Assumptions!$Q$36*Assumptions!$Q$14/1000</f>
        <v>12.103392</v>
      </c>
      <c r="R17" s="115" t="n">
        <f aca="false">Assumptions!$Q$33*Assumptions!$Q$35*Assumptions!$Q$36*Assumptions!$Q$14/1000</f>
        <v>12.103392</v>
      </c>
      <c r="S17" s="115" t="n">
        <f aca="false">Assumptions!$Q$33*Assumptions!$Q$35*Assumptions!$Q$36*Assumptions!$Q$14/1000</f>
        <v>12.103392</v>
      </c>
      <c r="T17" s="115" t="n">
        <f aca="false">Assumptions!$Q$33*Assumptions!$Q$35*Assumptions!$Q$36*Assumptions!$Q$14/1000</f>
        <v>12.103392</v>
      </c>
      <c r="U17" s="115" t="n">
        <f aca="false">Assumptions!$Q$33*Assumptions!$Q$35*Assumptions!$Q$36*Assumptions!$Q$14/1000</f>
        <v>12.103392</v>
      </c>
      <c r="V17" s="115" t="n">
        <f aca="false">Assumptions!$Q$33*Assumptions!$Q$35*Assumptions!$Q$36*Assumptions!$Q$14/1000</f>
        <v>12.103392</v>
      </c>
      <c r="W17" s="115" t="n">
        <f aca="false">Assumptions!$Q$33*Assumptions!$Q$35*Assumptions!$Q$36*Assumptions!$Q$14/1000</f>
        <v>12.103392</v>
      </c>
      <c r="X17" s="115" t="n">
        <f aca="false">Assumptions!$Q$33*Assumptions!$Q$35*Assumptions!$Q$36*Assumptions!$Q$14/1000</f>
        <v>12.103392</v>
      </c>
      <c r="Y17" s="115" t="n">
        <f aca="false">Assumptions!$Q$33*Assumptions!$Q$35*Assumptions!$Q$36*Assumptions!$Q$14/1000</f>
        <v>12.103392</v>
      </c>
      <c r="Z17" s="115" t="n">
        <f aca="false">Assumptions!$Q$33*Assumptions!$Q$35*Assumptions!$Q$36*Assumptions!$Q$14/1000</f>
        <v>12.103392</v>
      </c>
      <c r="AA17" s="651"/>
      <c r="AB17" s="651"/>
      <c r="AC17" s="651"/>
    </row>
    <row r="18" customFormat="false" ht="12.75" hidden="false" customHeight="false" outlineLevel="0" collapsed="false">
      <c r="A18" s="70"/>
      <c r="B18" s="321"/>
      <c r="C18" s="321"/>
      <c r="D18" s="321"/>
      <c r="E18" s="321"/>
      <c r="F18" s="321"/>
      <c r="H18" s="70"/>
      <c r="AA18" s="651"/>
      <c r="AB18" s="651"/>
      <c r="AC18" s="651"/>
    </row>
    <row r="19" customFormat="false" ht="12.75" hidden="false" customHeight="false" outlineLevel="0" collapsed="false">
      <c r="A19" s="327" t="s">
        <v>453</v>
      </c>
      <c r="E19" s="375" t="n">
        <f aca="false">(SUM(E10:E17)-SUM(E25:E35))*Assumptions!$B$34/4</f>
        <v>0</v>
      </c>
      <c r="F19" s="375" t="n">
        <f aca="false">(SUM(F10:F17)-SUM(F25:F35))*Assumptions!$B$34/4</f>
        <v>119.351032785915</v>
      </c>
      <c r="G19" s="375" t="n">
        <f aca="false">(SUM(G10:G17)-SUM(G25:G35))*Assumptions!$B$34/4</f>
        <v>244.257833099191</v>
      </c>
      <c r="H19" s="375" t="n">
        <f aca="false">(SUM(H10:H17)-SUM(H25:H35))*Assumptions!$B$34/4</f>
        <v>242.274557180443</v>
      </c>
      <c r="I19" s="375" t="n">
        <f aca="false">(SUM(I10:I17)-SUM(I25:I35))*Assumptions!$B$34/4</f>
        <v>396.924389988233</v>
      </c>
      <c r="J19" s="375" t="n">
        <f aca="false">(SUM(J10:J17)-SUM(J25:J35))*Assumptions!$B$34/4</f>
        <v>405.52375025534</v>
      </c>
      <c r="K19" s="375" t="n">
        <f aca="false">(SUM(K10:K17)-SUM(K25:K35))*Assumptions!$B$34/4</f>
        <v>416.926917436434</v>
      </c>
      <c r="L19" s="375" t="n">
        <f aca="false">(SUM(L10:L17)-SUM(L25:L35))*Assumptions!$B$34/4</f>
        <v>420.676354552136</v>
      </c>
      <c r="M19" s="375" t="n">
        <f aca="false">(SUM(M10:M17)-SUM(M25:M35))*Assumptions!$B$34/4</f>
        <v>424.124772570671</v>
      </c>
      <c r="N19" s="375" t="n">
        <f aca="false">(SUM(N10:N17)-SUM(N25:N35))*Assumptions!$B$34/4</f>
        <v>427.966280085425</v>
      </c>
      <c r="O19" s="375" t="n">
        <f aca="false">(SUM(O10:O17)-SUM(O25:O35))*Assumptions!$B$34/4</f>
        <v>432.511269118136</v>
      </c>
      <c r="P19" s="375" t="n">
        <f aca="false">(SUM(P10:P17)-SUM(P25:P35))*Assumptions!$B$34/4</f>
        <v>437.333315350987</v>
      </c>
      <c r="Q19" s="375" t="n">
        <f aca="false">(SUM(Q10:Q17)-SUM(Q25:Q35))*Assumptions!$B$34/4</f>
        <v>439.918185348024</v>
      </c>
      <c r="R19" s="375" t="n">
        <f aca="false">(SUM(R10:R17)-SUM(R25:R35))*Assumptions!$B$34/4</f>
        <v>444.22248902002</v>
      </c>
      <c r="S19" s="375" t="n">
        <f aca="false">(SUM(S10:S17)-SUM(S25:S35))*Assumptions!$B$34/4</f>
        <v>439.151833911129</v>
      </c>
      <c r="T19" s="375" t="n">
        <f aca="false">(SUM(T10:T17)-SUM(T25:T35))*Assumptions!$B$34/4</f>
        <v>442.945458766732</v>
      </c>
      <c r="U19" s="375" t="n">
        <f aca="false">(SUM(U10:U17)-SUM(U25:U35))*Assumptions!$B$34/4</f>
        <v>446.532961166244</v>
      </c>
      <c r="V19" s="375" t="n">
        <f aca="false">(SUM(V10:V17)-SUM(V25:V35))*Assumptions!$B$34/4</f>
        <v>450.076733430102</v>
      </c>
      <c r="W19" s="375" t="n">
        <f aca="false">(SUM(W10:W17)-SUM(W25:W35))*Assumptions!$B$34/4</f>
        <v>453.402472941139</v>
      </c>
      <c r="X19" s="375" t="n">
        <f aca="false">(SUM(X10:X17)-SUM(X25:X35))*Assumptions!$B$34/4</f>
        <v>456.651430829625</v>
      </c>
      <c r="Y19" s="375" t="n">
        <f aca="false">(SUM(Y10:Y17)-SUM(Y25:Y35))*Assumptions!$B$34/4</f>
        <v>448.496147746225</v>
      </c>
      <c r="Z19" s="375" t="n">
        <f aca="false">(SUM(Z10:Z17)-SUM(Z25:Z35))*Assumptions!$B$34/4</f>
        <v>461.235369087784</v>
      </c>
      <c r="AC19" s="730"/>
    </row>
    <row r="20" customFormat="false" ht="12.75" hidden="false" customHeight="false" outlineLevel="0" collapsed="false">
      <c r="A20" s="327" t="s">
        <v>280</v>
      </c>
      <c r="E20" s="115" t="n">
        <f aca="false">SUM(E10:E19)</f>
        <v>0</v>
      </c>
      <c r="F20" s="115" t="n">
        <f aca="false">SUM(F10:F19)</f>
        <v>14215.9890327859</v>
      </c>
      <c r="G20" s="115" t="n">
        <f aca="false">SUM(G10:G19)</f>
        <v>25705.3949730992</v>
      </c>
      <c r="H20" s="115" t="n">
        <f aca="false">SUM(H10:H19)</f>
        <v>25790.4458113804</v>
      </c>
      <c r="I20" s="115" t="n">
        <f aca="false">SUM(I10:I19)</f>
        <v>39222.2576164112</v>
      </c>
      <c r="J20" s="115" t="n">
        <f aca="false">SUM(J10:J19)</f>
        <v>40395.253871711</v>
      </c>
      <c r="K20" s="115" t="n">
        <f aca="false">SUM(K10:K19)</f>
        <v>41605.9858407757</v>
      </c>
      <c r="L20" s="115" t="n">
        <f aca="false">SUM(L10:L19)</f>
        <v>42218.9785033513</v>
      </c>
      <c r="M20" s="115" t="n">
        <f aca="false">SUM(M10:M19)</f>
        <v>42831.165480379</v>
      </c>
      <c r="N20" s="115" t="n">
        <f aca="false">SUM(N10:N19)</f>
        <v>43442.6622815625</v>
      </c>
      <c r="O20" s="115" t="n">
        <f aca="false">SUM(O10:O19)</f>
        <v>44053.1664382997</v>
      </c>
      <c r="P20" s="115" t="n">
        <f aca="false">SUM(P10:P19)</f>
        <v>44661.6028689509</v>
      </c>
      <c r="Q20" s="115" t="n">
        <f aca="false">SUM(Q10:Q19)</f>
        <v>45264.7712898318</v>
      </c>
      <c r="R20" s="115" t="n">
        <f aca="false">SUM(R10:R19)</f>
        <v>45865.9032078954</v>
      </c>
      <c r="S20" s="115" t="n">
        <f aca="false">SUM(S10:S19)</f>
        <v>45683.1568260078</v>
      </c>
      <c r="T20" s="115" t="n">
        <f aca="false">SUM(T10:T19)</f>
        <v>46250.826529875</v>
      </c>
      <c r="U20" s="115" t="n">
        <f aca="false">SUM(U10:U19)</f>
        <v>46811.4139645868</v>
      </c>
      <c r="V20" s="115" t="n">
        <f aca="false">SUM(V10:V19)</f>
        <v>47364.1614651905</v>
      </c>
      <c r="W20" s="115" t="n">
        <f aca="false">SUM(W10:W19)</f>
        <v>47907.9256568914</v>
      </c>
      <c r="X20" s="115" t="n">
        <f aca="false">SUM(X10:X19)</f>
        <v>48441.8275908954</v>
      </c>
      <c r="Y20" s="115" t="n">
        <f aca="false">SUM(Y10:Y19)</f>
        <v>48034.0680785094</v>
      </c>
      <c r="Z20" s="115" t="n">
        <f aca="false">SUM(Z10:Z19)</f>
        <v>48527.0312036564</v>
      </c>
      <c r="AC20" s="730"/>
    </row>
    <row r="21" customFormat="false" ht="12.75" hidden="false" customHeight="false" outlineLevel="0" collapsed="false">
      <c r="A21" s="327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C21" s="730"/>
    </row>
    <row r="22" customFormat="false" ht="12" hidden="false" customHeight="true" outlineLevel="0" collapsed="false">
      <c r="A22" s="331"/>
      <c r="B22" s="331"/>
      <c r="C22" s="331"/>
      <c r="D22" s="331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653"/>
      <c r="AB22" s="653"/>
      <c r="AC22" s="653"/>
      <c r="AD22" s="653"/>
      <c r="AE22" s="653"/>
      <c r="AF22" s="653"/>
      <c r="AG22" s="653"/>
      <c r="AH22" s="653"/>
      <c r="AI22" s="653"/>
      <c r="AJ22" s="653"/>
      <c r="AK22" s="653"/>
      <c r="AL22" s="653"/>
      <c r="AM22" s="653"/>
      <c r="AN22" s="653"/>
      <c r="AO22" s="653"/>
      <c r="AP22" s="653"/>
      <c r="AQ22" s="653"/>
      <c r="AR22" s="653"/>
      <c r="AS22" s="653"/>
      <c r="AT22" s="653"/>
      <c r="AU22" s="653"/>
      <c r="AV22" s="653"/>
      <c r="AW22" s="653"/>
      <c r="AX22" s="653"/>
      <c r="AY22" s="653"/>
      <c r="AZ22" s="653"/>
      <c r="BA22" s="653"/>
      <c r="BB22" s="653"/>
      <c r="BC22" s="653"/>
      <c r="BD22" s="653"/>
      <c r="BE22" s="653"/>
      <c r="BF22" s="653"/>
      <c r="BG22" s="653"/>
      <c r="BH22" s="653"/>
      <c r="BI22" s="653"/>
      <c r="BJ22" s="653"/>
      <c r="BK22" s="653"/>
      <c r="BL22" s="653"/>
      <c r="BM22" s="653"/>
      <c r="BN22" s="653"/>
      <c r="BO22" s="653"/>
      <c r="BP22" s="653"/>
      <c r="BQ22" s="653"/>
      <c r="BR22" s="653"/>
      <c r="BS22" s="653"/>
      <c r="BT22" s="653"/>
      <c r="BU22" s="653"/>
      <c r="BV22" s="653"/>
      <c r="BW22" s="653"/>
      <c r="BX22" s="653"/>
      <c r="BY22" s="653"/>
      <c r="BZ22" s="653"/>
      <c r="CA22" s="653"/>
      <c r="CB22" s="653"/>
      <c r="CC22" s="653"/>
      <c r="CD22" s="653"/>
      <c r="CE22" s="653"/>
      <c r="CF22" s="653"/>
      <c r="CG22" s="653"/>
      <c r="CH22" s="653"/>
      <c r="CI22" s="653"/>
      <c r="CJ22" s="653"/>
      <c r="CK22" s="653"/>
      <c r="CL22" s="653"/>
      <c r="CM22" s="653"/>
      <c r="CN22" s="653"/>
      <c r="CO22" s="653"/>
      <c r="CP22" s="653"/>
      <c r="CQ22" s="653"/>
      <c r="CR22" s="653"/>
      <c r="CS22" s="653"/>
      <c r="CT22" s="653"/>
      <c r="CU22" s="653"/>
      <c r="CV22" s="653"/>
      <c r="CW22" s="653"/>
      <c r="CX22" s="653"/>
      <c r="CY22" s="653"/>
      <c r="CZ22" s="653"/>
      <c r="DA22" s="653"/>
      <c r="DB22" s="653"/>
      <c r="DC22" s="653"/>
      <c r="DD22" s="653"/>
      <c r="DE22" s="653"/>
      <c r="DF22" s="653"/>
      <c r="DG22" s="653"/>
      <c r="DH22" s="653"/>
      <c r="DI22" s="653"/>
      <c r="DJ22" s="653"/>
      <c r="DK22" s="653"/>
      <c r="DL22" s="653"/>
      <c r="DM22" s="653"/>
      <c r="DN22" s="653"/>
      <c r="DO22" s="653"/>
      <c r="DP22" s="653"/>
      <c r="DQ22" s="653"/>
      <c r="DR22" s="653"/>
      <c r="DS22" s="653"/>
      <c r="DT22" s="653"/>
      <c r="DU22" s="653"/>
      <c r="DV22" s="653"/>
      <c r="DW22" s="653"/>
      <c r="DX22" s="653"/>
      <c r="DY22" s="653"/>
      <c r="DZ22" s="653"/>
      <c r="EA22" s="653"/>
      <c r="EB22" s="653"/>
      <c r="EC22" s="653"/>
      <c r="ED22" s="653"/>
      <c r="EE22" s="653"/>
      <c r="EF22" s="653"/>
      <c r="EG22" s="653"/>
      <c r="EH22" s="653"/>
      <c r="EI22" s="653"/>
      <c r="EJ22" s="653"/>
      <c r="EK22" s="653"/>
      <c r="EL22" s="653"/>
      <c r="EM22" s="653"/>
      <c r="EN22" s="653"/>
      <c r="EO22" s="653"/>
      <c r="EP22" s="653"/>
      <c r="EQ22" s="653"/>
      <c r="ER22" s="653"/>
      <c r="ES22" s="653"/>
      <c r="ET22" s="653"/>
      <c r="EU22" s="653"/>
      <c r="EV22" s="653"/>
      <c r="EW22" s="653"/>
      <c r="EX22" s="653"/>
      <c r="EY22" s="653"/>
      <c r="EZ22" s="653"/>
      <c r="FA22" s="653"/>
      <c r="FB22" s="653"/>
      <c r="FC22" s="653"/>
      <c r="FD22" s="653"/>
      <c r="FE22" s="653"/>
      <c r="FF22" s="653"/>
      <c r="FG22" s="653"/>
      <c r="FH22" s="653"/>
      <c r="FI22" s="653"/>
      <c r="FJ22" s="653"/>
      <c r="FK22" s="653"/>
      <c r="FL22" s="653"/>
      <c r="FM22" s="653"/>
      <c r="FN22" s="653"/>
      <c r="FO22" s="653"/>
      <c r="FP22" s="653"/>
      <c r="FQ22" s="653"/>
      <c r="FR22" s="653"/>
      <c r="FS22" s="653"/>
      <c r="FT22" s="653"/>
      <c r="FU22" s="653"/>
      <c r="FV22" s="653"/>
      <c r="FW22" s="653"/>
      <c r="FX22" s="653"/>
      <c r="FY22" s="653"/>
      <c r="FZ22" s="653"/>
      <c r="GA22" s="653"/>
      <c r="GB22" s="653"/>
      <c r="GC22" s="653"/>
      <c r="GD22" s="653"/>
      <c r="GE22" s="653"/>
      <c r="GF22" s="653"/>
      <c r="GG22" s="653"/>
      <c r="GH22" s="653"/>
      <c r="GI22" s="653"/>
      <c r="GJ22" s="653"/>
      <c r="GK22" s="653"/>
      <c r="GL22" s="653"/>
      <c r="GM22" s="653"/>
      <c r="GN22" s="653"/>
      <c r="GO22" s="653"/>
      <c r="GP22" s="653"/>
      <c r="GQ22" s="653"/>
      <c r="GR22" s="653"/>
      <c r="GS22" s="653"/>
      <c r="GT22" s="653"/>
      <c r="GU22" s="653"/>
      <c r="GV22" s="653"/>
      <c r="GW22" s="653"/>
      <c r="GX22" s="653"/>
      <c r="GY22" s="653"/>
      <c r="GZ22" s="653"/>
      <c r="HA22" s="653"/>
      <c r="HB22" s="653"/>
      <c r="HC22" s="653"/>
      <c r="HD22" s="653"/>
      <c r="HE22" s="653"/>
      <c r="HF22" s="653"/>
      <c r="HG22" s="653"/>
      <c r="HH22" s="653"/>
      <c r="HI22" s="653"/>
      <c r="HJ22" s="653"/>
      <c r="HK22" s="653"/>
      <c r="HL22" s="653"/>
      <c r="HM22" s="653"/>
      <c r="HN22" s="653"/>
      <c r="HO22" s="653"/>
      <c r="HP22" s="653"/>
      <c r="HQ22" s="653"/>
      <c r="HR22" s="653"/>
      <c r="HS22" s="653"/>
      <c r="HT22" s="653"/>
      <c r="HU22" s="653"/>
      <c r="HV22" s="653"/>
      <c r="HW22" s="653"/>
      <c r="HX22" s="653"/>
      <c r="HY22" s="653"/>
      <c r="HZ22" s="653"/>
      <c r="IA22" s="653"/>
      <c r="IB22" s="653"/>
      <c r="IC22" s="653"/>
      <c r="ID22" s="653"/>
      <c r="IE22" s="653"/>
      <c r="IF22" s="653"/>
      <c r="IG22" s="653"/>
      <c r="IH22" s="653"/>
      <c r="II22" s="653"/>
      <c r="IJ22" s="653"/>
      <c r="IK22" s="653"/>
      <c r="IL22" s="653"/>
      <c r="IM22" s="653"/>
      <c r="IN22" s="653"/>
      <c r="IO22" s="653"/>
      <c r="IP22" s="653"/>
      <c r="IQ22" s="653"/>
      <c r="IR22" s="653"/>
      <c r="IS22" s="653"/>
      <c r="IT22" s="653"/>
      <c r="IU22" s="653"/>
      <c r="IV22" s="653"/>
      <c r="IW22" s="653"/>
    </row>
    <row r="23" customFormat="false" ht="12.75" hidden="false" customHeight="false" outlineLevel="0" collapsed="false">
      <c r="A23" s="323" t="s">
        <v>281</v>
      </c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</row>
    <row r="24" customFormat="false" ht="12.75" hidden="false" customHeight="false" outlineLevel="0" collapsed="false">
      <c r="A24" s="327" t="s">
        <v>282</v>
      </c>
      <c r="E24" s="115" t="n">
        <v>0</v>
      </c>
      <c r="F24" s="115" t="n">
        <v>0</v>
      </c>
      <c r="G24" s="115" t="n">
        <v>0</v>
      </c>
      <c r="H24" s="417" t="n">
        <v>0</v>
      </c>
      <c r="I24" s="115" t="n">
        <v>0</v>
      </c>
      <c r="J24" s="115" t="n">
        <v>0</v>
      </c>
      <c r="K24" s="115" t="n">
        <v>0</v>
      </c>
      <c r="L24" s="115" t="n">
        <v>0</v>
      </c>
      <c r="M24" s="115" t="n">
        <v>0</v>
      </c>
      <c r="N24" s="115" t="n">
        <v>0</v>
      </c>
      <c r="O24" s="115" t="n">
        <v>0</v>
      </c>
      <c r="P24" s="115" t="n">
        <v>0</v>
      </c>
      <c r="Q24" s="115" t="n">
        <v>0</v>
      </c>
      <c r="R24" s="115" t="n">
        <v>0</v>
      </c>
      <c r="S24" s="115" t="n">
        <v>0</v>
      </c>
      <c r="T24" s="115" t="n">
        <v>0</v>
      </c>
      <c r="U24" s="115" t="n">
        <v>0</v>
      </c>
      <c r="V24" s="115" t="n">
        <v>0</v>
      </c>
      <c r="W24" s="115" t="n">
        <v>0</v>
      </c>
      <c r="X24" s="115" t="n">
        <v>0</v>
      </c>
      <c r="Y24" s="115" t="n">
        <v>0</v>
      </c>
      <c r="Z24" s="115" t="n">
        <v>0</v>
      </c>
    </row>
    <row r="25" customFormat="false" ht="12.75" hidden="false" customHeight="false" outlineLevel="0" collapsed="false">
      <c r="A25" s="327" t="s">
        <v>217</v>
      </c>
      <c r="E25" s="115" t="n">
        <v>0</v>
      </c>
      <c r="F25" s="115" t="n">
        <f aca="false">Assumptions!$Q56*Assumptions!Q53/12*(1+Assumptions!$Q$52)</f>
        <v>599.975</v>
      </c>
      <c r="G25" s="115" t="n">
        <f aca="false">Assumptions!$Q56*(1+Assumptions!$Q$52)^2</f>
        <v>1235.9485</v>
      </c>
      <c r="H25" s="417" t="n">
        <f aca="false">G25*(1+Assumptions!$Q$52)</f>
        <v>1273.026955</v>
      </c>
      <c r="I25" s="115" t="n">
        <f aca="false">H25*(1+Assumptions!$Q$52)</f>
        <v>1311.21776365</v>
      </c>
      <c r="J25" s="115" t="n">
        <f aca="false">I25*(1+Assumptions!$Q$52)</f>
        <v>1350.5542965595</v>
      </c>
      <c r="K25" s="115" t="n">
        <f aca="false">J25*(1+Assumptions!$Q$52)</f>
        <v>1391.07092545629</v>
      </c>
      <c r="L25" s="115" t="n">
        <f aca="false">K25*(1+Assumptions!$Q$52)</f>
        <v>1432.80305321997</v>
      </c>
      <c r="M25" s="115" t="n">
        <f aca="false">L25*(1+Assumptions!$Q$52)</f>
        <v>1475.78714481657</v>
      </c>
      <c r="N25" s="115" t="n">
        <f aca="false">M25*(1+Assumptions!$Q$52)</f>
        <v>1520.06075916107</v>
      </c>
      <c r="O25" s="115" t="n">
        <f aca="false">N25*(1+Assumptions!$Q$52)</f>
        <v>1565.6625819359</v>
      </c>
      <c r="P25" s="115" t="n">
        <f aca="false">O25*(1+Assumptions!$Q$52)</f>
        <v>1612.63245939398</v>
      </c>
      <c r="Q25" s="115" t="n">
        <f aca="false">P25*(1+Assumptions!$Q$52)</f>
        <v>1661.0114331758</v>
      </c>
      <c r="R25" s="115" t="n">
        <f aca="false">Q25*(1+Assumptions!$Q$52)</f>
        <v>1710.84177617107</v>
      </c>
      <c r="S25" s="115" t="n">
        <f aca="false">R25*(1+Assumptions!$Q$52)</f>
        <v>1762.1670294562</v>
      </c>
      <c r="T25" s="115" t="n">
        <f aca="false">S25*(1+Assumptions!$Q$52)</f>
        <v>1815.03204033989</v>
      </c>
      <c r="U25" s="115" t="n">
        <f aca="false">T25*(1+Assumptions!$Q$52)</f>
        <v>1869.48300155009</v>
      </c>
      <c r="V25" s="115" t="n">
        <f aca="false">U25*(1+Assumptions!$Q$52)</f>
        <v>1925.56749159659</v>
      </c>
      <c r="W25" s="115" t="n">
        <f aca="false">V25*(1+Assumptions!$Q$52)</f>
        <v>1983.33451634449</v>
      </c>
      <c r="X25" s="115" t="n">
        <f aca="false">W25*(1+Assumptions!$Q$52)</f>
        <v>2042.83455183482</v>
      </c>
      <c r="Y25" s="115" t="n">
        <f aca="false">X25*(1+Assumptions!$Q$52)</f>
        <v>2104.11958838987</v>
      </c>
      <c r="Z25" s="115" t="n">
        <f aca="false">Y25*(1+Assumptions!$Q$52)</f>
        <v>2167.24317604156</v>
      </c>
    </row>
    <row r="26" customFormat="false" ht="12.75" hidden="false" customHeight="false" outlineLevel="0" collapsed="false">
      <c r="A26" s="327" t="s">
        <v>283</v>
      </c>
      <c r="E26" s="115" t="n">
        <v>0</v>
      </c>
      <c r="F26" s="115" t="n">
        <f aca="false">Assumptions!$Q59*(1+Assumptions!$Q$52)</f>
        <v>675.886</v>
      </c>
      <c r="G26" s="115" t="n">
        <f aca="false">F26*(1+Assumptions!$Q$52)</f>
        <v>696.16258</v>
      </c>
      <c r="H26" s="417" t="n">
        <f aca="false">G26*(1+Assumptions!$Q$52)</f>
        <v>717.0474574</v>
      </c>
      <c r="I26" s="115" t="n">
        <f aca="false">Assumptions!$Q$60*(1+Assumptions!$Q$52)^(I5-$E$5)</f>
        <v>792.470536640157</v>
      </c>
      <c r="J26" s="115" t="n">
        <f aca="false">Assumptions!$Q$60*(1+Assumptions!$Q$52)^(J5-$E$5)</f>
        <v>816.244652739361</v>
      </c>
      <c r="K26" s="115" t="n">
        <f aca="false">J26*(1+Assumptions!$Q$52)</f>
        <v>840.731992321542</v>
      </c>
      <c r="L26" s="115" t="n">
        <f aca="false">K26*(1+Assumptions!$Q$52)</f>
        <v>865.953952091189</v>
      </c>
      <c r="M26" s="115" t="n">
        <f aca="false">L26*(1+Assumptions!$Q$52)</f>
        <v>891.932570653924</v>
      </c>
      <c r="N26" s="115" t="n">
        <f aca="false">M26*(1+Assumptions!$Q$52)</f>
        <v>918.690547773542</v>
      </c>
      <c r="O26" s="115" t="n">
        <f aca="false">N26*(1+Assumptions!$Q$52)</f>
        <v>946.251264206748</v>
      </c>
      <c r="P26" s="115" t="n">
        <f aca="false">O26*(1+Assumptions!$Q$52)</f>
        <v>974.638802132951</v>
      </c>
      <c r="Q26" s="115" t="n">
        <f aca="false">P26*(1+Assumptions!$Q$52)</f>
        <v>1003.87796619694</v>
      </c>
      <c r="R26" s="115" t="n">
        <f aca="false">Q26*(1+Assumptions!$Q$52)</f>
        <v>1033.99430518285</v>
      </c>
      <c r="S26" s="115" t="n">
        <f aca="false">R26*(1+Assumptions!$Q$52)</f>
        <v>1065.01413433833</v>
      </c>
      <c r="T26" s="115" t="n">
        <f aca="false">S26*(1+Assumptions!$Q$52)</f>
        <v>1096.96455836848</v>
      </c>
      <c r="U26" s="115" t="n">
        <f aca="false">T26*(1+Assumptions!$Q$52)</f>
        <v>1129.87349511954</v>
      </c>
      <c r="V26" s="115" t="n">
        <f aca="false">U26*(1+Assumptions!$Q$52)</f>
        <v>1163.76969997312</v>
      </c>
      <c r="W26" s="115" t="n">
        <f aca="false">V26*(1+Assumptions!$Q$52)</f>
        <v>1198.68279097232</v>
      </c>
      <c r="X26" s="115" t="n">
        <f aca="false">W26*(1+Assumptions!$Q$52)</f>
        <v>1234.64327470149</v>
      </c>
      <c r="Y26" s="115" t="n">
        <f aca="false">X26*(1+Assumptions!$Q$52)</f>
        <v>1271.68257294253</v>
      </c>
      <c r="Z26" s="115" t="n">
        <f aca="false">Y26*(1+Assumptions!$Q$52)</f>
        <v>1309.83305013081</v>
      </c>
    </row>
    <row r="27" customFormat="false" ht="12.75" hidden="false" customHeight="false" outlineLevel="0" collapsed="false">
      <c r="A27" s="327" t="s">
        <v>222</v>
      </c>
      <c r="E27" s="115" t="n">
        <v>0</v>
      </c>
      <c r="F27" s="115" t="n">
        <f aca="false">VLOOKUP(Assumptions!Q19,'EGC Start Charge Matrix'!$U$10:$AM$35,18)*(1+Assumptions!$Q$52)</f>
        <v>2140.752</v>
      </c>
      <c r="G27" s="115" t="n">
        <f aca="false">F27*(1+Assumptions!$Q$52)</f>
        <v>2204.97456</v>
      </c>
      <c r="H27" s="115" t="n">
        <f aca="false">G27*(1+Assumptions!$Q$52)</f>
        <v>2271.1237968</v>
      </c>
      <c r="I27" s="115" t="n">
        <f aca="false">H27*(1+Assumptions!$Q$52)</f>
        <v>2339.257510704</v>
      </c>
      <c r="J27" s="115" t="n">
        <f aca="false">I27*(1+Assumptions!$Q$52)</f>
        <v>2409.43523602512</v>
      </c>
      <c r="K27" s="115" t="n">
        <f aca="false">J27*(1+Assumptions!$Q$52)</f>
        <v>2481.71829310587</v>
      </c>
      <c r="L27" s="115" t="n">
        <f aca="false">K27*(1+Assumptions!$Q$52)</f>
        <v>2556.16984189905</v>
      </c>
      <c r="M27" s="115" t="n">
        <f aca="false">L27*(1+Assumptions!$Q$52)</f>
        <v>2632.85493715602</v>
      </c>
      <c r="N27" s="115" t="n">
        <f aca="false">M27*(1+Assumptions!$Q$52)</f>
        <v>2711.8405852707</v>
      </c>
      <c r="O27" s="115" t="n">
        <f aca="false">N27*(1+Assumptions!$Q$52)</f>
        <v>2793.19580282882</v>
      </c>
      <c r="P27" s="115" t="n">
        <f aca="false">O27*(1+Assumptions!$Q$52)</f>
        <v>2876.99167691369</v>
      </c>
      <c r="Q27" s="115" t="n">
        <f aca="false">P27*(1+Assumptions!$Q$52)</f>
        <v>2963.3014272211</v>
      </c>
      <c r="R27" s="115" t="n">
        <f aca="false">Q27*(1+Assumptions!$Q$52)</f>
        <v>3052.20047003773</v>
      </c>
      <c r="S27" s="115" t="n">
        <f aca="false">R27*(1+Assumptions!$Q$52)</f>
        <v>3143.76648413886</v>
      </c>
      <c r="T27" s="115" t="n">
        <f aca="false">S27*(1+Assumptions!$Q$52)</f>
        <v>3238.07947866303</v>
      </c>
      <c r="U27" s="115" t="n">
        <f aca="false">T27*(1+Assumptions!$Q$52)</f>
        <v>3335.22186302292</v>
      </c>
      <c r="V27" s="115" t="n">
        <f aca="false">U27*(1+Assumptions!$Q$52)</f>
        <v>3435.27851891361</v>
      </c>
      <c r="W27" s="115" t="n">
        <f aca="false">V27*(1+Assumptions!$Q$52)</f>
        <v>3538.33687448102</v>
      </c>
      <c r="X27" s="115" t="n">
        <f aca="false">W27*(1+Assumptions!$Q$52)</f>
        <v>3644.48698071545</v>
      </c>
      <c r="Y27" s="115" t="n">
        <f aca="false">X27*(1+Assumptions!$Q$52)</f>
        <v>3753.82159013691</v>
      </c>
      <c r="Z27" s="115" t="n">
        <f aca="false">Y27*(1+Assumptions!$Q$52)</f>
        <v>3866.43623784102</v>
      </c>
    </row>
    <row r="28" customFormat="false" ht="12.75" hidden="false" customHeight="false" outlineLevel="0" collapsed="false">
      <c r="A28" s="327" t="s">
        <v>224</v>
      </c>
      <c r="E28" s="115" t="n">
        <v>0</v>
      </c>
      <c r="F28" s="115" t="n">
        <f aca="false">Assumptions!$Q62*Assumptions!Q53/12*(1+Assumptions!$Q$52)</f>
        <v>136.475</v>
      </c>
      <c r="G28" s="115" t="n">
        <f aca="false">Assumptions!$Q62*(1+Assumptions!$Q$52)^2</f>
        <v>281.1385</v>
      </c>
      <c r="H28" s="417" t="n">
        <f aca="false">G28*(1+Assumptions!$Q$52)</f>
        <v>289.572655</v>
      </c>
      <c r="I28" s="115" t="n">
        <f aca="false">H28*(1+Assumptions!$Q$52)</f>
        <v>298.25983465</v>
      </c>
      <c r="J28" s="115" t="n">
        <f aca="false">I28*(1+Assumptions!$Q$52)</f>
        <v>307.2076296895</v>
      </c>
      <c r="K28" s="115" t="n">
        <f aca="false">J28*(1+Assumptions!$Q$52)</f>
        <v>316.423858580185</v>
      </c>
      <c r="L28" s="115" t="n">
        <f aca="false">K28*(1+Assumptions!$Q$52)</f>
        <v>325.916574337591</v>
      </c>
      <c r="M28" s="115" t="n">
        <f aca="false">L28*(1+Assumptions!$Q$52)</f>
        <v>335.694071567718</v>
      </c>
      <c r="N28" s="115" t="n">
        <f aca="false">M28*(1+Assumptions!$Q$52)</f>
        <v>345.76489371475</v>
      </c>
      <c r="O28" s="115" t="n">
        <f aca="false">N28*(1+Assumptions!$Q$52)</f>
        <v>356.137840526192</v>
      </c>
      <c r="P28" s="115" t="n">
        <f aca="false">O28*(1+Assumptions!$Q$52)</f>
        <v>366.821975741978</v>
      </c>
      <c r="Q28" s="115" t="n">
        <f aca="false">P28*(1+Assumptions!$Q$52)</f>
        <v>377.826635014237</v>
      </c>
      <c r="R28" s="115" t="n">
        <f aca="false">Q28*(1+Assumptions!$Q$52)</f>
        <v>389.161434064665</v>
      </c>
      <c r="S28" s="115" t="n">
        <f aca="false">R28*(1+Assumptions!$Q$52)</f>
        <v>400.836277086605</v>
      </c>
      <c r="T28" s="115" t="n">
        <f aca="false">S28*(1+Assumptions!$Q$52)</f>
        <v>412.861365399203</v>
      </c>
      <c r="U28" s="115" t="n">
        <f aca="false">T28*(1+Assumptions!$Q$52)</f>
        <v>425.247206361179</v>
      </c>
      <c r="V28" s="115" t="n">
        <f aca="false">U28*(1+Assumptions!$Q$52)</f>
        <v>438.004622552014</v>
      </c>
      <c r="W28" s="115" t="n">
        <f aca="false">V28*(1+Assumptions!$Q$52)</f>
        <v>451.144761228575</v>
      </c>
      <c r="X28" s="115" t="n">
        <f aca="false">W28*(1+Assumptions!$Q$52)</f>
        <v>464.679104065432</v>
      </c>
      <c r="Y28" s="115" t="n">
        <f aca="false">X28*(1+Assumptions!$Q$52)</f>
        <v>478.619477187395</v>
      </c>
      <c r="Z28" s="115" t="n">
        <f aca="false">Y28*(1+Assumptions!$Q$52)</f>
        <v>492.978061503017</v>
      </c>
    </row>
    <row r="29" customFormat="false" ht="12.75" hidden="false" customHeight="false" outlineLevel="0" collapsed="false">
      <c r="A29" s="327" t="s">
        <v>226</v>
      </c>
      <c r="E29" s="115" t="n">
        <v>0</v>
      </c>
      <c r="F29" s="115" t="n">
        <f aca="false">Assumptions!$Q63*Assumptions!Q53/12*(1+Assumptions!$Q$52)</f>
        <v>168.405</v>
      </c>
      <c r="G29" s="115" t="n">
        <f aca="false">(Assumptions!$Q63)*(1+Assumptions!$Q$52)^2</f>
        <v>346.9143</v>
      </c>
      <c r="H29" s="417" t="n">
        <f aca="false">G29*(1+Assumptions!$Q$52)</f>
        <v>357.321729</v>
      </c>
      <c r="I29" s="115" t="n">
        <f aca="false">H29*(1+Assumptions!$Q$52)</f>
        <v>368.04138087</v>
      </c>
      <c r="J29" s="115" t="n">
        <f aca="false">I29*(1+Assumptions!$Q$52)</f>
        <v>379.0826222961</v>
      </c>
      <c r="K29" s="115" t="n">
        <f aca="false">J29*(1+Assumptions!$Q$52)</f>
        <v>390.455100964983</v>
      </c>
      <c r="L29" s="115" t="n">
        <f aca="false">K29*(1+Assumptions!$Q$52)</f>
        <v>402.168753993933</v>
      </c>
      <c r="M29" s="115" t="n">
        <f aca="false">L29*(1+Assumptions!$Q$52)</f>
        <v>414.233816613751</v>
      </c>
      <c r="N29" s="115" t="n">
        <f aca="false">M29*(1+Assumptions!$Q$52)</f>
        <v>426.660831112163</v>
      </c>
      <c r="O29" s="115" t="n">
        <f aca="false">N29*(1+Assumptions!$Q$52)</f>
        <v>439.460656045528</v>
      </c>
      <c r="P29" s="115" t="n">
        <f aca="false">O29*(1+Assumptions!$Q$52)</f>
        <v>452.644475726894</v>
      </c>
      <c r="Q29" s="115" t="n">
        <f aca="false">P29*(1+Assumptions!$Q$52)</f>
        <v>466.223809998701</v>
      </c>
      <c r="R29" s="115" t="n">
        <f aca="false">Q29*(1+Assumptions!$Q$52)</f>
        <v>480.210524298662</v>
      </c>
      <c r="S29" s="115" t="n">
        <f aca="false">R29*(1+Assumptions!$Q$52)</f>
        <v>494.616840027621</v>
      </c>
      <c r="T29" s="115" t="n">
        <f aca="false">S29*(1+Assumptions!$Q$52)</f>
        <v>509.45534522845</v>
      </c>
      <c r="U29" s="115" t="n">
        <f aca="false">T29*(1+Assumptions!$Q$52)</f>
        <v>524.739005585304</v>
      </c>
      <c r="V29" s="115" t="n">
        <f aca="false">U29*(1+Assumptions!$Q$52)</f>
        <v>540.481175752863</v>
      </c>
      <c r="W29" s="115" t="n">
        <f aca="false">V29*(1+Assumptions!$Q$52)</f>
        <v>556.695611025449</v>
      </c>
      <c r="X29" s="115" t="n">
        <f aca="false">W29*(1+Assumptions!$Q$52)</f>
        <v>573.396479356212</v>
      </c>
      <c r="Y29" s="115" t="n">
        <f aca="false">X29*(1+Assumptions!$Q$52)</f>
        <v>590.598373736899</v>
      </c>
      <c r="Z29" s="115" t="n">
        <f aca="false">Y29*(1+Assumptions!$Q$52)</f>
        <v>608.316324949005</v>
      </c>
    </row>
    <row r="30" customFormat="false" ht="12.75" hidden="false" customHeight="false" outlineLevel="0" collapsed="false">
      <c r="A30" s="327" t="s">
        <v>454</v>
      </c>
      <c r="E30" s="115" t="n">
        <v>0</v>
      </c>
      <c r="F30" s="115" t="n">
        <f aca="false">+Assumptions!Q64*(1+Assumptions!$Q$52)</f>
        <v>97.85</v>
      </c>
      <c r="G30" s="115" t="n">
        <f aca="false">(Assumptions!$Q64)*(1+Assumptions!$Q$52)^2</f>
        <v>100.7855</v>
      </c>
      <c r="H30" s="115" t="n">
        <f aca="false">G30*(1+Assumptions!$Q$52)</f>
        <v>103.809065</v>
      </c>
      <c r="I30" s="115" t="n">
        <f aca="false">H30*(1+Assumptions!$Q$52)</f>
        <v>106.92333695</v>
      </c>
      <c r="J30" s="115" t="n">
        <f aca="false">I30*(1+Assumptions!$Q$52)</f>
        <v>110.1310370585</v>
      </c>
      <c r="K30" s="115" t="n">
        <f aca="false">J30*(1+Assumptions!$Q$52)</f>
        <v>113.434968170255</v>
      </c>
      <c r="L30" s="115" t="n">
        <f aca="false">K30*(1+Assumptions!$Q$52)</f>
        <v>116.838017215363</v>
      </c>
      <c r="M30" s="115" t="n">
        <f aca="false">L30*(1+Assumptions!$Q$52)</f>
        <v>120.343157731824</v>
      </c>
      <c r="N30" s="115" t="n">
        <f aca="false">M30*(1+Assumptions!$Q$52)</f>
        <v>123.953452463778</v>
      </c>
      <c r="O30" s="115" t="n">
        <f aca="false">N30*(1+Assumptions!$Q$52)</f>
        <v>127.672056037692</v>
      </c>
      <c r="P30" s="115" t="n">
        <f aca="false">O30*(1+Assumptions!$Q$52)</f>
        <v>131.502217718822</v>
      </c>
      <c r="Q30" s="115" t="n">
        <f aca="false">P30*(1+Assumptions!$Q$52)</f>
        <v>135.447284250387</v>
      </c>
      <c r="R30" s="115" t="n">
        <f aca="false">Q30*(1+Assumptions!$Q$52)</f>
        <v>139.510702777899</v>
      </c>
      <c r="S30" s="115" t="n">
        <f aca="false">R30*(1+Assumptions!$Q$52)</f>
        <v>143.696023861236</v>
      </c>
      <c r="T30" s="115" t="n">
        <f aca="false">S30*(1+Assumptions!$Q$52)</f>
        <v>148.006904577073</v>
      </c>
      <c r="U30" s="115" t="n">
        <f aca="false">T30*(1+Assumptions!$Q$52)</f>
        <v>152.447111714385</v>
      </c>
      <c r="V30" s="115" t="n">
        <f aca="false">U30*(1+Assumptions!$Q$52)</f>
        <v>157.020525065816</v>
      </c>
      <c r="W30" s="115" t="n">
        <f aca="false">V30*(1+Assumptions!$Q$52)</f>
        <v>161.731140817791</v>
      </c>
      <c r="X30" s="115" t="n">
        <f aca="false">W30*(1+Assumptions!$Q$52)</f>
        <v>166.583075042325</v>
      </c>
      <c r="Y30" s="115" t="n">
        <f aca="false">X30*(1+Assumptions!$Q$52)</f>
        <v>171.580567293594</v>
      </c>
      <c r="Z30" s="115" t="n">
        <f aca="false">Y30*(1+Assumptions!$Q$52)</f>
        <v>176.727984312402</v>
      </c>
    </row>
    <row r="31" customFormat="false" ht="12.75" hidden="false" customHeight="false" outlineLevel="0" collapsed="false">
      <c r="A31" s="327" t="s">
        <v>455</v>
      </c>
      <c r="E31" s="115" t="n">
        <v>0</v>
      </c>
      <c r="F31" s="115" t="n">
        <v>335.11988732968</v>
      </c>
      <c r="G31" s="115" t="n">
        <v>305.53364568</v>
      </c>
      <c r="H31" s="417" t="n">
        <v>393.967241108452</v>
      </c>
      <c r="I31" s="115" t="n">
        <v>665.744779491378</v>
      </c>
      <c r="J31" s="115" t="n">
        <v>959.066627821929</v>
      </c>
      <c r="K31" s="115" t="n">
        <v>1057.52204312447</v>
      </c>
      <c r="L31" s="115" t="n">
        <v>1172.53168687171</v>
      </c>
      <c r="M31" s="115" t="n">
        <v>1305.28983356803</v>
      </c>
      <c r="N31" s="115" t="n">
        <v>1399.51434610136</v>
      </c>
      <c r="O31" s="115" t="n">
        <v>1429.58090583536</v>
      </c>
      <c r="P31" s="115" t="n">
        <v>1467.40535301564</v>
      </c>
      <c r="Q31" s="115" t="n">
        <v>1647.70555329995</v>
      </c>
      <c r="R31" s="115" t="n">
        <v>1668.8480706845</v>
      </c>
      <c r="S31" s="115" t="n">
        <v>1663.08839511204</v>
      </c>
      <c r="T31" s="115" t="n">
        <v>1682.60952755357</v>
      </c>
      <c r="U31" s="115" t="n">
        <v>1701.63942235763</v>
      </c>
      <c r="V31" s="115" t="n">
        <v>1720.13877076395</v>
      </c>
      <c r="W31" s="115" t="n">
        <v>1746.66025560056</v>
      </c>
      <c r="X31" s="115" t="n">
        <v>1776.00431087692</v>
      </c>
      <c r="Y31" s="115" t="n">
        <v>1778.19413507796</v>
      </c>
      <c r="Z31" s="115" t="n">
        <v>945.416498598</v>
      </c>
    </row>
    <row r="32" customFormat="false" ht="12.75" hidden="false" customHeight="false" outlineLevel="0" collapsed="false">
      <c r="A32" s="327" t="s">
        <v>456</v>
      </c>
      <c r="E32" s="115" t="n">
        <v>0</v>
      </c>
      <c r="F32" s="115" t="n">
        <f aca="false">Allocation!$I$14*IS!E31*7/12</f>
        <v>181.588164537585</v>
      </c>
      <c r="G32" s="115" t="n">
        <f aca="false">Allocation!$I$14*IS!F31</f>
        <v>311.293996350146</v>
      </c>
      <c r="H32" s="115" t="n">
        <f aca="false">Allocation!$I$14*IS!G31</f>
        <v>309.446103120435</v>
      </c>
      <c r="I32" s="115" t="n">
        <f aca="false">Allocation!$I$14*IS!H31</f>
        <v>301.42973675306</v>
      </c>
      <c r="J32" s="115" t="n">
        <f aca="false">Allocation!$I$14*IS!I31</f>
        <v>301.42973675306</v>
      </c>
      <c r="K32" s="115" t="n">
        <f aca="false">Allocation!$I$14*IS!J31</f>
        <v>301.42973675306</v>
      </c>
      <c r="L32" s="115" t="n">
        <f aca="false">Allocation!$I$14*IS!K31</f>
        <v>301.42973675306</v>
      </c>
      <c r="M32" s="115" t="n">
        <f aca="false">Allocation!$I$14*IS!L31</f>
        <v>301.42973675306</v>
      </c>
      <c r="N32" s="115" t="n">
        <f aca="false">Allocation!$I$14*IS!M31</f>
        <v>301.42973675306</v>
      </c>
      <c r="O32" s="115" t="n">
        <f aca="false">Allocation!$I$14*IS!N31</f>
        <v>301.42973675306</v>
      </c>
      <c r="P32" s="115" t="n">
        <f aca="false">Allocation!$I$14*IS!O31</f>
        <v>262.793685448751</v>
      </c>
      <c r="Q32" s="115" t="n">
        <f aca="false">Allocation!$I$14*IS!P31</f>
        <v>251.065277673738</v>
      </c>
      <c r="R32" s="115" t="n">
        <f aca="false">Allocation!$I$14*IS!Q31</f>
        <v>250.42725755098</v>
      </c>
      <c r="S32" s="115" t="n">
        <f aca="false">Allocation!$I$14*IS!R31</f>
        <v>245.225426984878</v>
      </c>
      <c r="T32" s="115" t="n">
        <f aca="false">Allocation!$I$14*IS!S31</f>
        <v>239.984051393461</v>
      </c>
      <c r="U32" s="115" t="n">
        <f aca="false">Allocation!$I$14*IS!T31</f>
        <v>237.464373216026</v>
      </c>
      <c r="V32" s="115" t="n">
        <f aca="false">Allocation!$I$14*IS!U31</f>
        <v>223.572762604494</v>
      </c>
      <c r="W32" s="115" t="n">
        <f aca="false">Allocation!$I$14*IS!V31</f>
        <v>202.503533355251</v>
      </c>
      <c r="X32" s="115" t="n">
        <f aca="false">Allocation!$I$14*IS!W31</f>
        <v>166.900976324438</v>
      </c>
      <c r="Y32" s="115" t="n">
        <f aca="false">Allocation!$I$14*IS!X31</f>
        <v>132.224877298025</v>
      </c>
      <c r="Z32" s="115" t="n">
        <f aca="false">Allocation!$I$14*IS!Y31</f>
        <v>132.224877298025</v>
      </c>
    </row>
    <row r="33" customFormat="false" ht="12.75" hidden="false" customHeight="false" outlineLevel="0" collapsed="false">
      <c r="A33" s="327" t="s">
        <v>114</v>
      </c>
      <c r="E33" s="115" t="n">
        <v>0</v>
      </c>
      <c r="F33" s="115" t="n">
        <v>0</v>
      </c>
      <c r="G33" s="115" t="n">
        <v>0</v>
      </c>
      <c r="H33" s="115" t="n">
        <v>0</v>
      </c>
      <c r="I33" s="102" t="n">
        <f aca="false">Assumptions!$Q$50*Assumptions!$Q$33*12</f>
        <v>423.61872</v>
      </c>
      <c r="J33" s="102" t="n">
        <f aca="false">Assumptions!$Q$50*Assumptions!$Q$33*12*(1+Assumptions!Q52)</f>
        <v>436.3272816</v>
      </c>
      <c r="K33" s="102" t="n">
        <f aca="false">J33*(1+Assumptions!$Q$52)</f>
        <v>449.417100048</v>
      </c>
      <c r="L33" s="102" t="n">
        <f aca="false">K33*(1+Assumptions!$Q$52)</f>
        <v>462.89961304944</v>
      </c>
      <c r="M33" s="102" t="n">
        <f aca="false">L33*(1+Assumptions!$Q$52)</f>
        <v>476.786601440923</v>
      </c>
      <c r="N33" s="102" t="n">
        <f aca="false">M33*(1+Assumptions!$Q$52)</f>
        <v>491.090199484151</v>
      </c>
      <c r="O33" s="102" t="n">
        <f aca="false">N33*(1+Assumptions!$Q$52)</f>
        <v>505.822905468676</v>
      </c>
      <c r="P33" s="102" t="n">
        <f aca="false">O33*(1+Assumptions!$Q$52)</f>
        <v>520.997592632736</v>
      </c>
      <c r="Q33" s="102" t="n">
        <f aca="false">P33*(1+Assumptions!$Q$52)</f>
        <v>536.627520411718</v>
      </c>
      <c r="R33" s="102" t="n">
        <f aca="false">Q33*(1+Assumptions!$Q$52)</f>
        <v>552.72634602407</v>
      </c>
      <c r="S33" s="102" t="n">
        <f aca="false">R33*(1+Assumptions!$Q$52)</f>
        <v>569.308136404792</v>
      </c>
      <c r="T33" s="102" t="n">
        <f aca="false">S33*(1+Assumptions!$Q$52)</f>
        <v>586.387380496935</v>
      </c>
      <c r="U33" s="102" t="n">
        <f aca="false">T33*(1+Assumptions!$Q$52)</f>
        <v>603.979001911843</v>
      </c>
      <c r="V33" s="102" t="n">
        <f aca="false">U33*(1+Assumptions!$Q$52)</f>
        <v>622.098371969199</v>
      </c>
      <c r="W33" s="102" t="n">
        <f aca="false">V33*(1+Assumptions!$Q$52)</f>
        <v>640.761323128275</v>
      </c>
      <c r="X33" s="102" t="n">
        <f aca="false">W33*(1+Assumptions!$Q$52)</f>
        <v>659.984162822123</v>
      </c>
      <c r="Y33" s="102" t="n">
        <f aca="false">X33*(1+Assumptions!$Q$52)</f>
        <v>679.783687706787</v>
      </c>
      <c r="Z33" s="102" t="n">
        <f aca="false">Y33*(1+Assumptions!$Q$52)</f>
        <v>700.17719833799</v>
      </c>
    </row>
    <row r="34" customFormat="false" ht="12.75" hidden="false" customHeight="false" outlineLevel="0" collapsed="false">
      <c r="A34" s="327" t="s">
        <v>286</v>
      </c>
      <c r="E34" s="115" t="n">
        <v>0</v>
      </c>
      <c r="F34" s="115" t="n">
        <f aca="false">Assumptions!$Q65*Assumptions!Q53/12*(1+Assumptions!$Q$52)</f>
        <v>83.7543252595156</v>
      </c>
      <c r="G34" s="368" t="n">
        <f aca="false">Assumptions!$Q65*(1+Assumptions!$Q$52)^2</f>
        <v>172.533910034602</v>
      </c>
      <c r="H34" s="368" t="n">
        <f aca="false">G34*(1+Assumptions!$Q$52)</f>
        <v>177.70992733564</v>
      </c>
      <c r="I34" s="368" t="n">
        <f aca="false">H34*(1+Assumptions!$Q$52)</f>
        <v>183.041225155709</v>
      </c>
      <c r="J34" s="368" t="n">
        <f aca="false">I34*(1+Assumptions!$Q$52)</f>
        <v>188.532461910381</v>
      </c>
      <c r="K34" s="368" t="n">
        <f aca="false">J34*(1+Assumptions!$Q$52)</f>
        <v>194.188435767692</v>
      </c>
      <c r="L34" s="368" t="n">
        <f aca="false">K34*(1+Assumptions!$Q$52)</f>
        <v>200.014088840723</v>
      </c>
      <c r="M34" s="368" t="n">
        <f aca="false">L34*(1+Assumptions!$Q$52)</f>
        <v>206.014511505945</v>
      </c>
      <c r="N34" s="368" t="n">
        <f aca="false">M34*(1+Assumptions!$Q$52)</f>
        <v>212.194946851123</v>
      </c>
      <c r="O34" s="368" t="n">
        <f aca="false">N34*(1+Assumptions!$Q$52)</f>
        <v>218.560795256657</v>
      </c>
      <c r="P34" s="368" t="n">
        <f aca="false">O34*(1+Assumptions!$Q$52)</f>
        <v>225.117619114356</v>
      </c>
      <c r="Q34" s="368" t="n">
        <f aca="false">P34*(1+Assumptions!$Q$52)</f>
        <v>231.871147687787</v>
      </c>
      <c r="R34" s="368" t="n">
        <f aca="false">Q34*(1+Assumptions!$Q$52)</f>
        <v>238.827282118421</v>
      </c>
      <c r="S34" s="368" t="n">
        <f aca="false">R34*(1+Assumptions!$Q$52)</f>
        <v>245.992100581973</v>
      </c>
      <c r="T34" s="368" t="n">
        <f aca="false">S34*(1+Assumptions!$Q$52)</f>
        <v>253.371863599432</v>
      </c>
      <c r="U34" s="368" t="n">
        <f aca="false">T34*(1+Assumptions!$Q$52)</f>
        <v>260.973019507415</v>
      </c>
      <c r="V34" s="368" t="n">
        <f aca="false">U34*(1+Assumptions!$Q$52)</f>
        <v>268.802210092638</v>
      </c>
      <c r="W34" s="368" t="n">
        <f aca="false">V34*(1+Assumptions!$Q$52)</f>
        <v>276.866276395417</v>
      </c>
      <c r="X34" s="368" t="n">
        <f aca="false">W34*(1+Assumptions!$Q$52)</f>
        <v>285.17226468728</v>
      </c>
      <c r="Y34" s="368" t="n">
        <f aca="false">X34*(1+Assumptions!$Q$52)</f>
        <v>293.727432627898</v>
      </c>
      <c r="Z34" s="368" t="n">
        <f aca="false">Y34*(1+Assumptions!$Q$52)</f>
        <v>302.539255606735</v>
      </c>
    </row>
    <row r="35" customFormat="false" ht="12.75" hidden="false" customHeight="false" outlineLevel="0" collapsed="false">
      <c r="A35" s="327" t="s">
        <v>287</v>
      </c>
      <c r="B35" s="70"/>
      <c r="C35" s="70"/>
      <c r="D35" s="70"/>
      <c r="E35" s="375" t="n">
        <v>0</v>
      </c>
      <c r="F35" s="375" t="n">
        <f aca="false">Assumptions!$Q66*Assumptions!Q53/12*(1+Assumptions!$Q$52)</f>
        <v>128.75</v>
      </c>
      <c r="G35" s="375" t="n">
        <f aca="false">Assumptions!$Q66*(1+Assumptions!$Q$52)^2</f>
        <v>265.225</v>
      </c>
      <c r="H35" s="375" t="n">
        <f aca="false">G35*(1+Assumptions!$Q$52)</f>
        <v>273.18175</v>
      </c>
      <c r="I35" s="375" t="n">
        <f aca="false">H35*(1+Assumptions!$Q$52)</f>
        <v>281.3772025</v>
      </c>
      <c r="J35" s="375" t="n">
        <f aca="false">I35*(1+Assumptions!$Q$52)</f>
        <v>289.818518575</v>
      </c>
      <c r="K35" s="375" t="n">
        <f aca="false">J35*(1+Assumptions!$Q$52)</f>
        <v>298.51307413225</v>
      </c>
      <c r="L35" s="375" t="n">
        <f aca="false">K35*(1+Assumptions!$Q$52)</f>
        <v>307.468466356218</v>
      </c>
      <c r="M35" s="375" t="n">
        <f aca="false">L35*(1+Assumptions!$Q$52)</f>
        <v>316.692520346904</v>
      </c>
      <c r="N35" s="375" t="n">
        <f aca="false">M35*(1+Assumptions!$Q$52)</f>
        <v>326.193295957311</v>
      </c>
      <c r="O35" s="375" t="n">
        <f aca="false">N35*(1+Assumptions!$Q$52)</f>
        <v>335.97909483603</v>
      </c>
      <c r="P35" s="375" t="n">
        <f aca="false">O35*(1+Assumptions!$Q$52)</f>
        <v>346.058467681111</v>
      </c>
      <c r="Q35" s="375" t="n">
        <f aca="false">P35*(1+Assumptions!$Q$52)</f>
        <v>356.440221711545</v>
      </c>
      <c r="R35" s="375" t="n">
        <f aca="false">Q35*(1+Assumptions!$Q$52)</f>
        <v>367.133428362891</v>
      </c>
      <c r="S35" s="375" t="n">
        <f aca="false">R35*(1+Assumptions!$Q$52)</f>
        <v>378.147431213778</v>
      </c>
      <c r="T35" s="375" t="n">
        <f aca="false">S35*(1+Assumptions!$Q$52)</f>
        <v>389.491854150191</v>
      </c>
      <c r="U35" s="375" t="n">
        <f aca="false">T35*(1+Assumptions!$Q$52)</f>
        <v>401.176609774697</v>
      </c>
      <c r="V35" s="375" t="n">
        <f aca="false">U35*(1+Assumptions!$Q$52)</f>
        <v>413.211908067938</v>
      </c>
      <c r="W35" s="375" t="n">
        <f aca="false">V35*(1+Assumptions!$Q$52)</f>
        <v>425.608265309976</v>
      </c>
      <c r="X35" s="375" t="n">
        <f aca="false">W35*(1+Assumptions!$Q$52)</f>
        <v>438.376513269275</v>
      </c>
      <c r="Y35" s="375" t="n">
        <f aca="false">X35*(1+Assumptions!$Q$52)</f>
        <v>451.527808667354</v>
      </c>
      <c r="Z35" s="375" t="n">
        <f aca="false">Y35*(1+Assumptions!$Q$52)</f>
        <v>465.073642927374</v>
      </c>
    </row>
    <row r="36" customFormat="false" ht="12.75" hidden="false" customHeight="false" outlineLevel="0" collapsed="false">
      <c r="A36" s="327" t="s">
        <v>288</v>
      </c>
      <c r="B36" s="70"/>
      <c r="C36" s="70"/>
      <c r="D36" s="70"/>
      <c r="E36" s="115" t="n">
        <f aca="false">SUM(E24:E35)</f>
        <v>0</v>
      </c>
      <c r="F36" s="115" t="n">
        <f aca="false">SUM(F24:F35)</f>
        <v>4548.55537712678</v>
      </c>
      <c r="G36" s="115" t="n">
        <f aca="false">SUM(G24:G35)</f>
        <v>5920.51049206475</v>
      </c>
      <c r="H36" s="417" t="n">
        <f aca="false">SUM(H24:H35)</f>
        <v>6166.20667976453</v>
      </c>
      <c r="I36" s="115" t="n">
        <f aca="false">SUM(I24:I35)</f>
        <v>7071.3820273643</v>
      </c>
      <c r="J36" s="115" t="n">
        <f aca="false">SUM(J24:J35)</f>
        <v>7547.83010102845</v>
      </c>
      <c r="K36" s="115" t="n">
        <f aca="false">SUM(K24:K35)</f>
        <v>7834.9055284246</v>
      </c>
      <c r="L36" s="115" t="n">
        <f aca="false">SUM(L24:L35)</f>
        <v>8144.19378462825</v>
      </c>
      <c r="M36" s="115" t="n">
        <f aca="false">SUM(M24:M35)</f>
        <v>8477.05890215467</v>
      </c>
      <c r="N36" s="115" t="n">
        <f aca="false">SUM(N24:N35)</f>
        <v>8777.39359464301</v>
      </c>
      <c r="O36" s="115" t="n">
        <f aca="false">SUM(O24:O35)</f>
        <v>9019.75363973067</v>
      </c>
      <c r="P36" s="115" t="n">
        <f aca="false">SUM(P24:P35)</f>
        <v>9237.60432552091</v>
      </c>
      <c r="Q36" s="115" t="n">
        <f aca="false">SUM(Q24:Q35)</f>
        <v>9631.3982766419</v>
      </c>
      <c r="R36" s="115" t="n">
        <f aca="false">SUM(R24:R35)</f>
        <v>9883.88159727374</v>
      </c>
      <c r="S36" s="115" t="n">
        <f aca="false">SUM(S24:S35)</f>
        <v>10111.8582792063</v>
      </c>
      <c r="T36" s="115" t="n">
        <f aca="false">SUM(T24:T35)</f>
        <v>10372.2443697697</v>
      </c>
      <c r="U36" s="115" t="n">
        <f aca="false">SUM(U24:U35)</f>
        <v>10642.244110121</v>
      </c>
      <c r="V36" s="115" t="n">
        <f aca="false">SUM(V24:V35)</f>
        <v>10907.9460573522</v>
      </c>
      <c r="W36" s="115" t="n">
        <f aca="false">SUM(W24:W35)</f>
        <v>11182.3253486591</v>
      </c>
      <c r="X36" s="115" t="n">
        <f aca="false">SUM(X24:X35)</f>
        <v>11453.0616936958</v>
      </c>
      <c r="Y36" s="115" t="n">
        <f aca="false">SUM(Y24:Y35)</f>
        <v>11705.8801110652</v>
      </c>
      <c r="Z36" s="115" t="n">
        <f aca="false">SUM(Z24:Z35)</f>
        <v>11166.9663075459</v>
      </c>
    </row>
    <row r="37" customFormat="false" ht="9" hidden="false" customHeight="false" outlineLevel="1" collapsed="false">
      <c r="A37" s="337"/>
      <c r="B37" s="654"/>
      <c r="C37" s="654"/>
      <c r="D37" s="654"/>
      <c r="E37" s="655"/>
      <c r="F37" s="656"/>
      <c r="G37" s="735"/>
      <c r="H37" s="656"/>
      <c r="I37" s="656"/>
      <c r="J37" s="656"/>
      <c r="K37" s="656"/>
      <c r="L37" s="656"/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3"/>
      <c r="AB37" s="653"/>
      <c r="AC37" s="653"/>
      <c r="AD37" s="653"/>
      <c r="AE37" s="653"/>
      <c r="AF37" s="653"/>
      <c r="AG37" s="653"/>
      <c r="AH37" s="653"/>
      <c r="AI37" s="653"/>
      <c r="AJ37" s="653"/>
      <c r="AK37" s="653"/>
      <c r="AL37" s="653"/>
      <c r="AM37" s="653"/>
      <c r="AN37" s="653"/>
      <c r="AO37" s="653"/>
      <c r="AP37" s="653"/>
      <c r="AQ37" s="653"/>
      <c r="AR37" s="653"/>
      <c r="AS37" s="653"/>
      <c r="AT37" s="653"/>
      <c r="AU37" s="653"/>
      <c r="AV37" s="653"/>
      <c r="AW37" s="653"/>
      <c r="AX37" s="653"/>
      <c r="AY37" s="653"/>
      <c r="AZ37" s="653"/>
      <c r="BA37" s="653"/>
      <c r="BB37" s="653"/>
      <c r="BC37" s="653"/>
      <c r="BD37" s="653"/>
      <c r="BE37" s="653"/>
      <c r="BF37" s="653"/>
      <c r="BG37" s="653"/>
      <c r="BH37" s="653"/>
      <c r="BI37" s="653"/>
      <c r="BJ37" s="653"/>
      <c r="BK37" s="653"/>
      <c r="BL37" s="653"/>
      <c r="BM37" s="653"/>
      <c r="BN37" s="653"/>
      <c r="BO37" s="653"/>
      <c r="BP37" s="653"/>
      <c r="BQ37" s="653"/>
      <c r="BR37" s="653"/>
      <c r="BS37" s="653"/>
      <c r="BT37" s="653"/>
      <c r="BU37" s="653"/>
      <c r="BV37" s="653"/>
      <c r="BW37" s="653"/>
      <c r="BX37" s="653"/>
      <c r="BY37" s="653"/>
      <c r="BZ37" s="653"/>
      <c r="CA37" s="653"/>
      <c r="CB37" s="653"/>
      <c r="CC37" s="653"/>
      <c r="CD37" s="653"/>
      <c r="CE37" s="653"/>
      <c r="CF37" s="653"/>
      <c r="CG37" s="653"/>
      <c r="CH37" s="653"/>
      <c r="CI37" s="653"/>
      <c r="CJ37" s="653"/>
      <c r="CK37" s="653"/>
      <c r="CL37" s="653"/>
      <c r="CM37" s="653"/>
      <c r="CN37" s="653"/>
      <c r="CO37" s="653"/>
      <c r="CP37" s="653"/>
      <c r="CQ37" s="653"/>
      <c r="CR37" s="653"/>
      <c r="CS37" s="653"/>
      <c r="CT37" s="653"/>
      <c r="CU37" s="653"/>
      <c r="CV37" s="653"/>
      <c r="CW37" s="653"/>
      <c r="CX37" s="653"/>
      <c r="CY37" s="653"/>
      <c r="CZ37" s="653"/>
      <c r="DA37" s="653"/>
      <c r="DB37" s="653"/>
      <c r="DC37" s="653"/>
      <c r="DD37" s="653"/>
      <c r="DE37" s="653"/>
      <c r="DF37" s="653"/>
      <c r="DG37" s="653"/>
      <c r="DH37" s="653"/>
      <c r="DI37" s="653"/>
      <c r="DJ37" s="653"/>
      <c r="DK37" s="653"/>
      <c r="DL37" s="653"/>
      <c r="DM37" s="653"/>
      <c r="DN37" s="653"/>
      <c r="DO37" s="653"/>
      <c r="DP37" s="653"/>
      <c r="DQ37" s="653"/>
      <c r="DR37" s="653"/>
      <c r="DS37" s="653"/>
      <c r="DT37" s="653"/>
      <c r="DU37" s="653"/>
      <c r="DV37" s="653"/>
      <c r="DW37" s="653"/>
      <c r="DX37" s="653"/>
      <c r="DY37" s="653"/>
      <c r="DZ37" s="653"/>
      <c r="EA37" s="653"/>
      <c r="EB37" s="653"/>
      <c r="EC37" s="653"/>
      <c r="ED37" s="653"/>
      <c r="EE37" s="653"/>
      <c r="EF37" s="653"/>
      <c r="EG37" s="653"/>
      <c r="EH37" s="653"/>
      <c r="EI37" s="653"/>
      <c r="EJ37" s="653"/>
      <c r="EK37" s="653"/>
      <c r="EL37" s="653"/>
      <c r="EM37" s="653"/>
      <c r="EN37" s="653"/>
      <c r="EO37" s="653"/>
      <c r="EP37" s="653"/>
      <c r="EQ37" s="653"/>
      <c r="ER37" s="653"/>
      <c r="ES37" s="653"/>
      <c r="ET37" s="653"/>
      <c r="EU37" s="653"/>
      <c r="EV37" s="653"/>
      <c r="EW37" s="653"/>
      <c r="EX37" s="653"/>
      <c r="EY37" s="653"/>
      <c r="EZ37" s="653"/>
      <c r="FA37" s="653"/>
      <c r="FB37" s="653"/>
      <c r="FC37" s="653"/>
      <c r="FD37" s="653"/>
      <c r="FE37" s="653"/>
      <c r="FF37" s="653"/>
      <c r="FG37" s="653"/>
      <c r="FH37" s="653"/>
      <c r="FI37" s="653"/>
      <c r="FJ37" s="653"/>
      <c r="FK37" s="653"/>
      <c r="FL37" s="653"/>
      <c r="FM37" s="653"/>
      <c r="FN37" s="653"/>
      <c r="FO37" s="653"/>
      <c r="FP37" s="653"/>
      <c r="FQ37" s="653"/>
      <c r="FR37" s="653"/>
      <c r="FS37" s="653"/>
      <c r="FT37" s="653"/>
      <c r="FU37" s="653"/>
      <c r="FV37" s="653"/>
      <c r="FW37" s="653"/>
      <c r="FX37" s="653"/>
      <c r="FY37" s="653"/>
      <c r="FZ37" s="653"/>
      <c r="GA37" s="653"/>
      <c r="GB37" s="653"/>
      <c r="GC37" s="653"/>
      <c r="GD37" s="653"/>
      <c r="GE37" s="653"/>
      <c r="GF37" s="653"/>
      <c r="GG37" s="653"/>
      <c r="GH37" s="653"/>
      <c r="GI37" s="653"/>
      <c r="GJ37" s="653"/>
      <c r="GK37" s="653"/>
      <c r="GL37" s="653"/>
      <c r="GM37" s="653"/>
      <c r="GN37" s="653"/>
      <c r="GO37" s="653"/>
      <c r="GP37" s="653"/>
      <c r="GQ37" s="653"/>
      <c r="GR37" s="653"/>
      <c r="GS37" s="653"/>
      <c r="GT37" s="653"/>
      <c r="GU37" s="653"/>
      <c r="GV37" s="653"/>
      <c r="GW37" s="653"/>
      <c r="GX37" s="653"/>
      <c r="GY37" s="653"/>
      <c r="GZ37" s="653"/>
      <c r="HA37" s="653"/>
      <c r="HB37" s="653"/>
      <c r="HC37" s="653"/>
      <c r="HD37" s="653"/>
      <c r="HE37" s="653"/>
      <c r="HF37" s="653"/>
      <c r="HG37" s="653"/>
      <c r="HH37" s="653"/>
      <c r="HI37" s="653"/>
      <c r="HJ37" s="653"/>
      <c r="HK37" s="653"/>
      <c r="HL37" s="653"/>
      <c r="HM37" s="653"/>
      <c r="HN37" s="653"/>
      <c r="HO37" s="653"/>
      <c r="HP37" s="653"/>
      <c r="HQ37" s="653"/>
      <c r="HR37" s="653"/>
      <c r="HS37" s="653"/>
      <c r="HT37" s="653"/>
      <c r="HU37" s="653"/>
      <c r="HV37" s="653"/>
      <c r="HW37" s="653"/>
      <c r="HX37" s="653"/>
      <c r="HY37" s="653"/>
      <c r="HZ37" s="653"/>
      <c r="IA37" s="653"/>
      <c r="IB37" s="653"/>
      <c r="IC37" s="653"/>
      <c r="ID37" s="653"/>
      <c r="IE37" s="653"/>
      <c r="IF37" s="653"/>
      <c r="IG37" s="653"/>
      <c r="IH37" s="653"/>
      <c r="II37" s="653"/>
      <c r="IJ37" s="653"/>
      <c r="IK37" s="653"/>
      <c r="IL37" s="653"/>
      <c r="IM37" s="653"/>
      <c r="IN37" s="653"/>
      <c r="IO37" s="653"/>
      <c r="IP37" s="653"/>
      <c r="IQ37" s="653"/>
      <c r="IR37" s="653"/>
      <c r="IS37" s="653"/>
      <c r="IT37" s="653"/>
      <c r="IU37" s="653"/>
      <c r="IV37" s="653"/>
      <c r="IW37" s="653"/>
    </row>
    <row r="38" customFormat="false" ht="6.75" hidden="false" customHeight="true" outlineLevel="0" collapsed="false">
      <c r="A38" s="337"/>
      <c r="B38" s="331"/>
      <c r="C38" s="331"/>
      <c r="D38" s="331"/>
      <c r="E38" s="655"/>
      <c r="F38" s="656"/>
      <c r="G38" s="656"/>
      <c r="H38" s="656"/>
      <c r="I38" s="656"/>
      <c r="J38" s="656"/>
      <c r="K38" s="656"/>
      <c r="L38" s="656"/>
      <c r="M38" s="656"/>
      <c r="N38" s="656"/>
      <c r="O38" s="656"/>
      <c r="P38" s="656"/>
      <c r="Q38" s="656"/>
      <c r="R38" s="656"/>
      <c r="S38" s="656"/>
      <c r="T38" s="656"/>
      <c r="U38" s="656"/>
      <c r="V38" s="656"/>
      <c r="W38" s="656"/>
      <c r="X38" s="656"/>
      <c r="Y38" s="656"/>
      <c r="Z38" s="656"/>
      <c r="AA38" s="653"/>
      <c r="AB38" s="653"/>
      <c r="AC38" s="653"/>
      <c r="AD38" s="653"/>
      <c r="AE38" s="653"/>
      <c r="AF38" s="653"/>
      <c r="AG38" s="653"/>
      <c r="AH38" s="653"/>
      <c r="AI38" s="653"/>
      <c r="AJ38" s="653"/>
      <c r="AK38" s="653"/>
      <c r="AL38" s="653"/>
      <c r="AM38" s="653"/>
      <c r="AN38" s="653"/>
      <c r="AO38" s="653"/>
      <c r="AP38" s="653"/>
      <c r="AQ38" s="653"/>
      <c r="AR38" s="653"/>
      <c r="AS38" s="653"/>
      <c r="AT38" s="653"/>
      <c r="AU38" s="653"/>
      <c r="AV38" s="653"/>
      <c r="AW38" s="653"/>
      <c r="AX38" s="653"/>
      <c r="AY38" s="653"/>
      <c r="AZ38" s="653"/>
      <c r="BA38" s="653"/>
      <c r="BB38" s="653"/>
      <c r="BC38" s="653"/>
      <c r="BD38" s="653"/>
      <c r="BE38" s="653"/>
      <c r="BF38" s="653"/>
      <c r="BG38" s="653"/>
      <c r="BH38" s="653"/>
      <c r="BI38" s="653"/>
      <c r="BJ38" s="653"/>
      <c r="BK38" s="653"/>
      <c r="BL38" s="653"/>
      <c r="BM38" s="653"/>
      <c r="BN38" s="653"/>
      <c r="BO38" s="653"/>
      <c r="BP38" s="653"/>
      <c r="BQ38" s="653"/>
      <c r="BR38" s="653"/>
      <c r="BS38" s="653"/>
      <c r="BT38" s="653"/>
      <c r="BU38" s="653"/>
      <c r="BV38" s="653"/>
      <c r="BW38" s="653"/>
      <c r="BX38" s="653"/>
      <c r="BY38" s="653"/>
      <c r="BZ38" s="653"/>
      <c r="CA38" s="653"/>
      <c r="CB38" s="653"/>
      <c r="CC38" s="653"/>
      <c r="CD38" s="653"/>
      <c r="CE38" s="653"/>
      <c r="CF38" s="653"/>
      <c r="CG38" s="653"/>
      <c r="CH38" s="653"/>
      <c r="CI38" s="653"/>
      <c r="CJ38" s="653"/>
      <c r="CK38" s="653"/>
      <c r="CL38" s="653"/>
      <c r="CM38" s="653"/>
      <c r="CN38" s="653"/>
      <c r="CO38" s="653"/>
      <c r="CP38" s="653"/>
      <c r="CQ38" s="653"/>
      <c r="CR38" s="653"/>
      <c r="CS38" s="653"/>
      <c r="CT38" s="653"/>
      <c r="CU38" s="653"/>
      <c r="CV38" s="653"/>
      <c r="CW38" s="653"/>
      <c r="CX38" s="653"/>
      <c r="CY38" s="653"/>
      <c r="CZ38" s="653"/>
      <c r="DA38" s="653"/>
      <c r="DB38" s="653"/>
      <c r="DC38" s="653"/>
      <c r="DD38" s="653"/>
      <c r="DE38" s="653"/>
      <c r="DF38" s="653"/>
      <c r="DG38" s="653"/>
      <c r="DH38" s="653"/>
      <c r="DI38" s="653"/>
      <c r="DJ38" s="653"/>
      <c r="DK38" s="653"/>
      <c r="DL38" s="653"/>
      <c r="DM38" s="653"/>
      <c r="DN38" s="653"/>
      <c r="DO38" s="653"/>
      <c r="DP38" s="653"/>
      <c r="DQ38" s="653"/>
      <c r="DR38" s="653"/>
      <c r="DS38" s="653"/>
      <c r="DT38" s="653"/>
      <c r="DU38" s="653"/>
      <c r="DV38" s="653"/>
      <c r="DW38" s="653"/>
      <c r="DX38" s="653"/>
      <c r="DY38" s="653"/>
      <c r="DZ38" s="653"/>
      <c r="EA38" s="653"/>
      <c r="EB38" s="653"/>
      <c r="EC38" s="653"/>
      <c r="ED38" s="653"/>
      <c r="EE38" s="653"/>
      <c r="EF38" s="653"/>
      <c r="EG38" s="653"/>
      <c r="EH38" s="653"/>
      <c r="EI38" s="653"/>
      <c r="EJ38" s="653"/>
      <c r="EK38" s="653"/>
      <c r="EL38" s="653"/>
      <c r="EM38" s="653"/>
      <c r="EN38" s="653"/>
      <c r="EO38" s="653"/>
      <c r="EP38" s="653"/>
      <c r="EQ38" s="653"/>
      <c r="ER38" s="653"/>
      <c r="ES38" s="653"/>
      <c r="ET38" s="653"/>
      <c r="EU38" s="653"/>
      <c r="EV38" s="653"/>
      <c r="EW38" s="653"/>
      <c r="EX38" s="653"/>
      <c r="EY38" s="653"/>
      <c r="EZ38" s="653"/>
      <c r="FA38" s="653"/>
      <c r="FB38" s="653"/>
      <c r="FC38" s="653"/>
      <c r="FD38" s="653"/>
      <c r="FE38" s="653"/>
      <c r="FF38" s="653"/>
      <c r="FG38" s="653"/>
      <c r="FH38" s="653"/>
      <c r="FI38" s="653"/>
      <c r="FJ38" s="653"/>
      <c r="FK38" s="653"/>
      <c r="FL38" s="653"/>
      <c r="FM38" s="653"/>
      <c r="FN38" s="653"/>
      <c r="FO38" s="653"/>
      <c r="FP38" s="653"/>
      <c r="FQ38" s="653"/>
      <c r="FR38" s="653"/>
      <c r="FS38" s="653"/>
      <c r="FT38" s="653"/>
      <c r="FU38" s="653"/>
      <c r="FV38" s="653"/>
      <c r="FW38" s="653"/>
      <c r="FX38" s="653"/>
      <c r="FY38" s="653"/>
      <c r="FZ38" s="653"/>
      <c r="GA38" s="653"/>
      <c r="GB38" s="653"/>
      <c r="GC38" s="653"/>
      <c r="GD38" s="653"/>
      <c r="GE38" s="653"/>
      <c r="GF38" s="653"/>
      <c r="GG38" s="653"/>
      <c r="GH38" s="653"/>
      <c r="GI38" s="653"/>
      <c r="GJ38" s="653"/>
      <c r="GK38" s="653"/>
      <c r="GL38" s="653"/>
      <c r="GM38" s="653"/>
      <c r="GN38" s="653"/>
      <c r="GO38" s="653"/>
      <c r="GP38" s="653"/>
      <c r="GQ38" s="653"/>
      <c r="GR38" s="653"/>
      <c r="GS38" s="653"/>
      <c r="GT38" s="653"/>
      <c r="GU38" s="653"/>
      <c r="GV38" s="653"/>
      <c r="GW38" s="653"/>
      <c r="GX38" s="653"/>
      <c r="GY38" s="653"/>
      <c r="GZ38" s="653"/>
      <c r="HA38" s="653"/>
      <c r="HB38" s="653"/>
      <c r="HC38" s="653"/>
      <c r="HD38" s="653"/>
      <c r="HE38" s="653"/>
      <c r="HF38" s="653"/>
      <c r="HG38" s="653"/>
      <c r="HH38" s="653"/>
      <c r="HI38" s="653"/>
      <c r="HJ38" s="653"/>
      <c r="HK38" s="653"/>
      <c r="HL38" s="653"/>
      <c r="HM38" s="653"/>
      <c r="HN38" s="653"/>
      <c r="HO38" s="653"/>
      <c r="HP38" s="653"/>
      <c r="HQ38" s="653"/>
      <c r="HR38" s="653"/>
      <c r="HS38" s="653"/>
      <c r="HT38" s="653"/>
      <c r="HU38" s="653"/>
      <c r="HV38" s="653"/>
      <c r="HW38" s="653"/>
      <c r="HX38" s="653"/>
      <c r="HY38" s="653"/>
      <c r="HZ38" s="653"/>
      <c r="IA38" s="653"/>
      <c r="IB38" s="653"/>
      <c r="IC38" s="653"/>
      <c r="ID38" s="653"/>
      <c r="IE38" s="653"/>
      <c r="IF38" s="653"/>
      <c r="IG38" s="653"/>
      <c r="IH38" s="653"/>
      <c r="II38" s="653"/>
      <c r="IJ38" s="653"/>
      <c r="IK38" s="653"/>
      <c r="IL38" s="653"/>
      <c r="IM38" s="653"/>
      <c r="IN38" s="653"/>
      <c r="IO38" s="653"/>
      <c r="IP38" s="653"/>
      <c r="IQ38" s="653"/>
      <c r="IR38" s="653"/>
      <c r="IS38" s="653"/>
      <c r="IT38" s="653"/>
      <c r="IU38" s="653"/>
      <c r="IV38" s="653"/>
      <c r="IW38" s="653"/>
    </row>
    <row r="39" customFormat="false" ht="12.75" hidden="false" customHeight="false" outlineLevel="0" collapsed="false">
      <c r="A39" s="323" t="s">
        <v>289</v>
      </c>
      <c r="B39" s="323"/>
      <c r="C39" s="323"/>
      <c r="D39" s="323"/>
      <c r="E39" s="422" t="n">
        <f aca="false">E20-E36</f>
        <v>0</v>
      </c>
      <c r="F39" s="422" t="n">
        <f aca="false">F20-F36</f>
        <v>9667.43365565914</v>
      </c>
      <c r="G39" s="422" t="n">
        <f aca="false">G20-G36</f>
        <v>19784.8844810344</v>
      </c>
      <c r="H39" s="657" t="n">
        <f aca="false">H20-H36</f>
        <v>19624.2391316159</v>
      </c>
      <c r="I39" s="422" t="n">
        <f aca="false">I20-I36</f>
        <v>32150.8755890469</v>
      </c>
      <c r="J39" s="422" t="n">
        <f aca="false">J20-J36</f>
        <v>32847.4237706825</v>
      </c>
      <c r="K39" s="422" t="n">
        <f aca="false">K20-K36</f>
        <v>33771.0803123511</v>
      </c>
      <c r="L39" s="422" t="n">
        <f aca="false">L20-L36</f>
        <v>34074.784718723</v>
      </c>
      <c r="M39" s="422" t="n">
        <f aca="false">M20-M36</f>
        <v>34354.1065782244</v>
      </c>
      <c r="N39" s="422" t="n">
        <f aca="false">N20-N36</f>
        <v>34665.2686869195</v>
      </c>
      <c r="O39" s="422" t="n">
        <f aca="false">O20-O36</f>
        <v>35033.4127985691</v>
      </c>
      <c r="P39" s="422" t="n">
        <f aca="false">P20-P36</f>
        <v>35423.99854343</v>
      </c>
      <c r="Q39" s="422" t="n">
        <f aca="false">Q20-Q36</f>
        <v>35633.37301319</v>
      </c>
      <c r="R39" s="422" t="n">
        <f aca="false">R20-R36</f>
        <v>35982.0216106216</v>
      </c>
      <c r="S39" s="422" t="n">
        <f aca="false">S20-S36</f>
        <v>35571.2985468015</v>
      </c>
      <c r="T39" s="422" t="n">
        <f aca="false">T20-T36</f>
        <v>35878.5821601053</v>
      </c>
      <c r="U39" s="422" t="n">
        <f aca="false">U20-U36</f>
        <v>36169.1698544658</v>
      </c>
      <c r="V39" s="422" t="n">
        <f aca="false">V20-V36</f>
        <v>36456.2154078382</v>
      </c>
      <c r="W39" s="422" t="n">
        <f aca="false">W20-W36</f>
        <v>36725.6003082323</v>
      </c>
      <c r="X39" s="422" t="n">
        <f aca="false">X20-X36</f>
        <v>36988.7658971997</v>
      </c>
      <c r="Y39" s="422" t="n">
        <f aca="false">Y20-Y36</f>
        <v>36328.1879674442</v>
      </c>
      <c r="Z39" s="422" t="n">
        <f aca="false">Z20-Z36</f>
        <v>37360.0648961105</v>
      </c>
      <c r="AA39" s="395"/>
      <c r="AB39" s="395"/>
      <c r="AC39" s="395"/>
      <c r="AD39" s="395"/>
      <c r="AE39" s="395"/>
      <c r="AF39" s="395"/>
      <c r="AG39" s="395"/>
      <c r="AH39" s="395"/>
      <c r="AI39" s="395"/>
      <c r="AJ39" s="395"/>
      <c r="AK39" s="395"/>
      <c r="AL39" s="395"/>
      <c r="AM39" s="395"/>
      <c r="AN39" s="395"/>
      <c r="AO39" s="395"/>
      <c r="AP39" s="395"/>
      <c r="AQ39" s="395"/>
      <c r="AR39" s="395"/>
      <c r="AS39" s="395"/>
      <c r="AT39" s="395"/>
      <c r="AU39" s="395"/>
      <c r="AV39" s="395"/>
      <c r="AW39" s="395"/>
      <c r="AX39" s="395"/>
      <c r="AY39" s="395"/>
      <c r="AZ39" s="395"/>
      <c r="BA39" s="395"/>
      <c r="BB39" s="395"/>
      <c r="BC39" s="395"/>
      <c r="BD39" s="395"/>
      <c r="BE39" s="395"/>
      <c r="BF39" s="395"/>
      <c r="BG39" s="395"/>
      <c r="BH39" s="395"/>
      <c r="BI39" s="395"/>
      <c r="BJ39" s="395"/>
      <c r="BK39" s="395"/>
      <c r="BL39" s="395"/>
      <c r="BM39" s="395"/>
      <c r="BN39" s="395"/>
      <c r="BO39" s="395"/>
      <c r="BP39" s="395"/>
      <c r="BQ39" s="395"/>
      <c r="BR39" s="395"/>
      <c r="BS39" s="395"/>
      <c r="BT39" s="395"/>
      <c r="BU39" s="395"/>
      <c r="BV39" s="395"/>
      <c r="BW39" s="395"/>
      <c r="BX39" s="395"/>
      <c r="BY39" s="395"/>
      <c r="BZ39" s="395"/>
      <c r="CA39" s="395"/>
      <c r="CB39" s="395"/>
      <c r="CC39" s="395"/>
      <c r="CD39" s="395"/>
      <c r="CE39" s="395"/>
      <c r="CF39" s="395"/>
      <c r="CG39" s="395"/>
      <c r="CH39" s="395"/>
      <c r="CI39" s="395"/>
      <c r="CJ39" s="395"/>
      <c r="CK39" s="395"/>
      <c r="CL39" s="395"/>
      <c r="CM39" s="395"/>
      <c r="CN39" s="395"/>
      <c r="CO39" s="395"/>
      <c r="CP39" s="395"/>
      <c r="CQ39" s="395"/>
      <c r="CR39" s="395"/>
      <c r="CS39" s="395"/>
      <c r="CT39" s="395"/>
      <c r="CU39" s="395"/>
      <c r="CV39" s="395"/>
      <c r="CW39" s="395"/>
      <c r="CX39" s="395"/>
      <c r="CY39" s="395"/>
      <c r="CZ39" s="395"/>
      <c r="DA39" s="395"/>
      <c r="DB39" s="395"/>
      <c r="DC39" s="395"/>
      <c r="DD39" s="395"/>
      <c r="DE39" s="395"/>
      <c r="DF39" s="395"/>
      <c r="DG39" s="395"/>
      <c r="DH39" s="395"/>
      <c r="DI39" s="395"/>
      <c r="DJ39" s="395"/>
      <c r="DK39" s="395"/>
      <c r="DL39" s="395"/>
      <c r="DM39" s="395"/>
      <c r="DN39" s="395"/>
      <c r="DO39" s="395"/>
      <c r="DP39" s="395"/>
      <c r="DQ39" s="395"/>
      <c r="DR39" s="395"/>
      <c r="DS39" s="395"/>
      <c r="DT39" s="395"/>
      <c r="DU39" s="395"/>
      <c r="DV39" s="395"/>
      <c r="DW39" s="395"/>
      <c r="DX39" s="395"/>
      <c r="DY39" s="395"/>
      <c r="DZ39" s="395"/>
      <c r="EA39" s="395"/>
      <c r="EB39" s="395"/>
      <c r="EC39" s="395"/>
      <c r="ED39" s="395"/>
      <c r="EE39" s="395"/>
      <c r="EF39" s="395"/>
      <c r="EG39" s="395"/>
      <c r="EH39" s="395"/>
      <c r="EI39" s="395"/>
      <c r="EJ39" s="395"/>
      <c r="EK39" s="395"/>
      <c r="EL39" s="395"/>
      <c r="EM39" s="395"/>
      <c r="EN39" s="395"/>
      <c r="EO39" s="395"/>
      <c r="EP39" s="395"/>
      <c r="EQ39" s="395"/>
      <c r="ER39" s="395"/>
      <c r="ES39" s="395"/>
      <c r="ET39" s="395"/>
      <c r="EU39" s="395"/>
      <c r="EV39" s="395"/>
      <c r="EW39" s="395"/>
      <c r="EX39" s="395"/>
      <c r="EY39" s="395"/>
      <c r="EZ39" s="395"/>
      <c r="FA39" s="395"/>
      <c r="FB39" s="395"/>
      <c r="FC39" s="395"/>
      <c r="FD39" s="395"/>
      <c r="FE39" s="395"/>
      <c r="FF39" s="395"/>
      <c r="FG39" s="395"/>
      <c r="FH39" s="395"/>
      <c r="FI39" s="395"/>
      <c r="FJ39" s="395"/>
      <c r="FK39" s="395"/>
      <c r="FL39" s="395"/>
      <c r="FM39" s="395"/>
      <c r="FN39" s="395"/>
      <c r="FO39" s="395"/>
      <c r="FP39" s="395"/>
      <c r="FQ39" s="395"/>
      <c r="FR39" s="395"/>
      <c r="FS39" s="395"/>
      <c r="FT39" s="395"/>
      <c r="FU39" s="395"/>
      <c r="FV39" s="395"/>
      <c r="FW39" s="395"/>
      <c r="FX39" s="395"/>
      <c r="FY39" s="395"/>
      <c r="FZ39" s="395"/>
      <c r="GA39" s="395"/>
      <c r="GB39" s="395"/>
      <c r="GC39" s="395"/>
      <c r="GD39" s="395"/>
      <c r="GE39" s="395"/>
      <c r="GF39" s="395"/>
      <c r="GG39" s="395"/>
      <c r="GH39" s="395"/>
      <c r="GI39" s="395"/>
      <c r="GJ39" s="395"/>
      <c r="GK39" s="395"/>
      <c r="GL39" s="395"/>
      <c r="GM39" s="395"/>
      <c r="GN39" s="395"/>
      <c r="GO39" s="395"/>
      <c r="GP39" s="395"/>
      <c r="GQ39" s="395"/>
      <c r="GR39" s="395"/>
      <c r="GS39" s="395"/>
      <c r="GT39" s="395"/>
      <c r="GU39" s="395"/>
      <c r="GV39" s="395"/>
      <c r="GW39" s="395"/>
      <c r="GX39" s="395"/>
      <c r="GY39" s="395"/>
      <c r="GZ39" s="395"/>
      <c r="HA39" s="395"/>
      <c r="HB39" s="395"/>
      <c r="HC39" s="395"/>
      <c r="HD39" s="395"/>
      <c r="HE39" s="395"/>
      <c r="HF39" s="395"/>
      <c r="HG39" s="395"/>
      <c r="HH39" s="395"/>
      <c r="HI39" s="395"/>
      <c r="HJ39" s="395"/>
      <c r="HK39" s="395"/>
      <c r="HL39" s="395"/>
      <c r="HM39" s="395"/>
      <c r="HN39" s="395"/>
      <c r="HO39" s="395"/>
      <c r="HP39" s="395"/>
      <c r="HQ39" s="395"/>
      <c r="HR39" s="395"/>
      <c r="HS39" s="395"/>
      <c r="HT39" s="395"/>
      <c r="HU39" s="395"/>
      <c r="HV39" s="395"/>
      <c r="HW39" s="395"/>
      <c r="HX39" s="395"/>
      <c r="HY39" s="395"/>
      <c r="HZ39" s="395"/>
      <c r="IA39" s="395"/>
      <c r="IB39" s="395"/>
      <c r="IC39" s="395"/>
      <c r="ID39" s="395"/>
      <c r="IE39" s="395"/>
      <c r="IF39" s="395"/>
      <c r="IG39" s="395"/>
      <c r="IH39" s="395"/>
      <c r="II39" s="395"/>
      <c r="IJ39" s="395"/>
      <c r="IK39" s="395"/>
      <c r="IL39" s="395"/>
      <c r="IM39" s="395"/>
      <c r="IN39" s="395"/>
      <c r="IO39" s="395"/>
      <c r="IP39" s="395"/>
      <c r="IQ39" s="395"/>
      <c r="IR39" s="395"/>
      <c r="IS39" s="395"/>
      <c r="IT39" s="395"/>
      <c r="IU39" s="395"/>
      <c r="IV39" s="395"/>
      <c r="IW39" s="395"/>
    </row>
    <row r="40" customFormat="false" ht="12.75" hidden="false" customHeight="false" outlineLevel="0" collapsed="false">
      <c r="A40" s="323"/>
      <c r="B40" s="323"/>
      <c r="C40" s="323"/>
      <c r="D40" s="323"/>
      <c r="E40" s="422"/>
      <c r="F40" s="422"/>
      <c r="G40" s="422"/>
      <c r="H40" s="657"/>
      <c r="I40" s="422"/>
      <c r="J40" s="422"/>
      <c r="K40" s="422"/>
      <c r="L40" s="422"/>
      <c r="M40" s="422"/>
      <c r="N40" s="422"/>
      <c r="O40" s="422"/>
      <c r="P40" s="422"/>
      <c r="Q40" s="422"/>
      <c r="R40" s="422"/>
      <c r="S40" s="422"/>
      <c r="T40" s="422"/>
      <c r="U40" s="422"/>
      <c r="V40" s="422"/>
      <c r="W40" s="422"/>
      <c r="X40" s="422"/>
      <c r="Y40" s="422"/>
      <c r="Z40" s="422"/>
      <c r="AA40" s="395"/>
      <c r="AB40" s="395"/>
      <c r="AC40" s="395"/>
      <c r="AD40" s="395"/>
      <c r="AE40" s="395"/>
      <c r="AF40" s="395"/>
      <c r="AG40" s="395"/>
      <c r="AH40" s="395"/>
      <c r="AI40" s="395"/>
      <c r="AJ40" s="395"/>
      <c r="AK40" s="395"/>
      <c r="AL40" s="395"/>
      <c r="AM40" s="395"/>
      <c r="AN40" s="395"/>
      <c r="AO40" s="395"/>
      <c r="AP40" s="395"/>
      <c r="AQ40" s="395"/>
      <c r="AR40" s="395"/>
      <c r="AS40" s="395"/>
      <c r="AT40" s="395"/>
      <c r="AU40" s="395"/>
      <c r="AV40" s="395"/>
      <c r="AW40" s="395"/>
      <c r="AX40" s="395"/>
      <c r="AY40" s="395"/>
      <c r="AZ40" s="395"/>
      <c r="BA40" s="395"/>
      <c r="BB40" s="395"/>
      <c r="BC40" s="395"/>
      <c r="BD40" s="395"/>
      <c r="BE40" s="395"/>
      <c r="BF40" s="395"/>
      <c r="BG40" s="395"/>
      <c r="BH40" s="395"/>
      <c r="BI40" s="395"/>
      <c r="BJ40" s="395"/>
      <c r="BK40" s="395"/>
      <c r="BL40" s="395"/>
      <c r="BM40" s="395"/>
      <c r="BN40" s="395"/>
      <c r="BO40" s="395"/>
      <c r="BP40" s="395"/>
      <c r="BQ40" s="395"/>
      <c r="BR40" s="395"/>
      <c r="BS40" s="395"/>
      <c r="BT40" s="395"/>
      <c r="BU40" s="395"/>
      <c r="BV40" s="395"/>
      <c r="BW40" s="395"/>
      <c r="BX40" s="395"/>
      <c r="BY40" s="395"/>
      <c r="BZ40" s="395"/>
      <c r="CA40" s="395"/>
      <c r="CB40" s="395"/>
      <c r="CC40" s="395"/>
      <c r="CD40" s="395"/>
      <c r="CE40" s="395"/>
      <c r="CF40" s="395"/>
      <c r="CG40" s="395"/>
      <c r="CH40" s="395"/>
      <c r="CI40" s="395"/>
      <c r="CJ40" s="395"/>
      <c r="CK40" s="395"/>
      <c r="CL40" s="395"/>
      <c r="CM40" s="395"/>
      <c r="CN40" s="395"/>
      <c r="CO40" s="395"/>
      <c r="CP40" s="395"/>
      <c r="CQ40" s="395"/>
      <c r="CR40" s="395"/>
      <c r="CS40" s="395"/>
      <c r="CT40" s="395"/>
      <c r="CU40" s="395"/>
      <c r="CV40" s="395"/>
      <c r="CW40" s="395"/>
      <c r="CX40" s="395"/>
      <c r="CY40" s="395"/>
      <c r="CZ40" s="395"/>
      <c r="DA40" s="395"/>
      <c r="DB40" s="395"/>
      <c r="DC40" s="395"/>
      <c r="DD40" s="395"/>
      <c r="DE40" s="395"/>
      <c r="DF40" s="395"/>
      <c r="DG40" s="395"/>
      <c r="DH40" s="395"/>
      <c r="DI40" s="395"/>
      <c r="DJ40" s="395"/>
      <c r="DK40" s="395"/>
      <c r="DL40" s="395"/>
      <c r="DM40" s="395"/>
      <c r="DN40" s="395"/>
      <c r="DO40" s="395"/>
      <c r="DP40" s="395"/>
      <c r="DQ40" s="395"/>
      <c r="DR40" s="395"/>
      <c r="DS40" s="395"/>
      <c r="DT40" s="395"/>
      <c r="DU40" s="395"/>
      <c r="DV40" s="395"/>
      <c r="DW40" s="395"/>
      <c r="DX40" s="395"/>
      <c r="DY40" s="395"/>
      <c r="DZ40" s="395"/>
      <c r="EA40" s="395"/>
      <c r="EB40" s="395"/>
      <c r="EC40" s="395"/>
      <c r="ED40" s="395"/>
      <c r="EE40" s="395"/>
      <c r="EF40" s="395"/>
      <c r="EG40" s="395"/>
      <c r="EH40" s="395"/>
      <c r="EI40" s="395"/>
      <c r="EJ40" s="395"/>
      <c r="EK40" s="395"/>
      <c r="EL40" s="395"/>
      <c r="EM40" s="395"/>
      <c r="EN40" s="395"/>
      <c r="EO40" s="395"/>
      <c r="EP40" s="395"/>
      <c r="EQ40" s="395"/>
      <c r="ER40" s="395"/>
      <c r="ES40" s="395"/>
      <c r="ET40" s="395"/>
      <c r="EU40" s="395"/>
      <c r="EV40" s="395"/>
      <c r="EW40" s="395"/>
      <c r="EX40" s="395"/>
      <c r="EY40" s="395"/>
      <c r="EZ40" s="395"/>
      <c r="FA40" s="395"/>
      <c r="FB40" s="395"/>
      <c r="FC40" s="395"/>
      <c r="FD40" s="395"/>
      <c r="FE40" s="395"/>
      <c r="FF40" s="395"/>
      <c r="FG40" s="395"/>
      <c r="FH40" s="395"/>
      <c r="FI40" s="395"/>
      <c r="FJ40" s="395"/>
      <c r="FK40" s="395"/>
      <c r="FL40" s="395"/>
      <c r="FM40" s="395"/>
      <c r="FN40" s="395"/>
      <c r="FO40" s="395"/>
      <c r="FP40" s="395"/>
      <c r="FQ40" s="395"/>
      <c r="FR40" s="395"/>
      <c r="FS40" s="395"/>
      <c r="FT40" s="395"/>
      <c r="FU40" s="395"/>
      <c r="FV40" s="395"/>
      <c r="FW40" s="395"/>
      <c r="FX40" s="395"/>
      <c r="FY40" s="395"/>
      <c r="FZ40" s="395"/>
      <c r="GA40" s="395"/>
      <c r="GB40" s="395"/>
      <c r="GC40" s="395"/>
      <c r="GD40" s="395"/>
      <c r="GE40" s="395"/>
      <c r="GF40" s="395"/>
      <c r="GG40" s="395"/>
      <c r="GH40" s="395"/>
      <c r="GI40" s="395"/>
      <c r="GJ40" s="395"/>
      <c r="GK40" s="395"/>
      <c r="GL40" s="395"/>
      <c r="GM40" s="395"/>
      <c r="GN40" s="395"/>
      <c r="GO40" s="395"/>
      <c r="GP40" s="395"/>
      <c r="GQ40" s="395"/>
      <c r="GR40" s="395"/>
      <c r="GS40" s="395"/>
      <c r="GT40" s="395"/>
      <c r="GU40" s="395"/>
      <c r="GV40" s="395"/>
      <c r="GW40" s="395"/>
      <c r="GX40" s="395"/>
      <c r="GY40" s="395"/>
      <c r="GZ40" s="395"/>
      <c r="HA40" s="395"/>
      <c r="HB40" s="395"/>
      <c r="HC40" s="395"/>
      <c r="HD40" s="395"/>
      <c r="HE40" s="395"/>
      <c r="HF40" s="395"/>
      <c r="HG40" s="395"/>
      <c r="HH40" s="395"/>
      <c r="HI40" s="395"/>
      <c r="HJ40" s="395"/>
      <c r="HK40" s="395"/>
      <c r="HL40" s="395"/>
      <c r="HM40" s="395"/>
      <c r="HN40" s="395"/>
      <c r="HO40" s="395"/>
      <c r="HP40" s="395"/>
      <c r="HQ40" s="395"/>
      <c r="HR40" s="395"/>
      <c r="HS40" s="395"/>
      <c r="HT40" s="395"/>
      <c r="HU40" s="395"/>
      <c r="HV40" s="395"/>
      <c r="HW40" s="395"/>
      <c r="HX40" s="395"/>
      <c r="HY40" s="395"/>
      <c r="HZ40" s="395"/>
      <c r="IA40" s="395"/>
      <c r="IB40" s="395"/>
      <c r="IC40" s="395"/>
      <c r="ID40" s="395"/>
      <c r="IE40" s="395"/>
      <c r="IF40" s="395"/>
      <c r="IG40" s="395"/>
      <c r="IH40" s="395"/>
      <c r="II40" s="395"/>
      <c r="IJ40" s="395"/>
      <c r="IK40" s="395"/>
      <c r="IL40" s="395"/>
      <c r="IM40" s="395"/>
      <c r="IN40" s="395"/>
      <c r="IO40" s="395"/>
      <c r="IP40" s="395"/>
      <c r="IQ40" s="395"/>
      <c r="IR40" s="395"/>
      <c r="IS40" s="395"/>
      <c r="IT40" s="395"/>
      <c r="IU40" s="395"/>
      <c r="IV40" s="395"/>
      <c r="IW40" s="395"/>
    </row>
    <row r="41" customFormat="false" ht="12.75" hidden="false" customHeight="false" outlineLevel="0" collapsed="false">
      <c r="A41" s="327" t="s">
        <v>290</v>
      </c>
      <c r="E41" s="115" t="n">
        <v>0</v>
      </c>
      <c r="F41" s="115" t="n">
        <f aca="false">Allocation!$G$14*IS!E40</f>
        <v>4832.19988798511</v>
      </c>
      <c r="G41" s="115" t="n">
        <f aca="false">Allocation!$G$14*IS!F40</f>
        <v>6641.78220099202</v>
      </c>
      <c r="H41" s="115" t="n">
        <f aca="false">Allocation!$G$14*IS!G40</f>
        <v>6641.78220099202</v>
      </c>
      <c r="I41" s="115" t="n">
        <f aca="false">Allocation!$G$14*IS!H40</f>
        <v>6641.78220099202</v>
      </c>
      <c r="J41" s="115" t="n">
        <f aca="false">Allocation!$G$14*IS!I40</f>
        <v>6641.78220099202</v>
      </c>
      <c r="K41" s="115" t="n">
        <f aca="false">Allocation!$G$14*IS!J40</f>
        <v>6641.78220099202</v>
      </c>
      <c r="L41" s="115" t="n">
        <f aca="false">Allocation!$G$14*IS!K40</f>
        <v>6641.78220099202</v>
      </c>
      <c r="M41" s="115" t="n">
        <f aca="false">Allocation!$G$14*IS!L40</f>
        <v>6641.78220099202</v>
      </c>
      <c r="N41" s="115" t="n">
        <f aca="false">Allocation!$G$14*IS!M40</f>
        <v>6641.78220099202</v>
      </c>
      <c r="O41" s="115" t="n">
        <f aca="false">Allocation!$G$14*IS!N40</f>
        <v>6641.78220099202</v>
      </c>
      <c r="P41" s="115" t="n">
        <f aca="false">Allocation!$G$14*IS!O40</f>
        <v>6641.78220099202</v>
      </c>
      <c r="Q41" s="115" t="n">
        <f aca="false">Allocation!$G$14*IS!P40</f>
        <v>6641.78220099202</v>
      </c>
      <c r="R41" s="115" t="n">
        <f aca="false">Allocation!$G$14*IS!Q40</f>
        <v>6641.78220099202</v>
      </c>
      <c r="S41" s="115" t="n">
        <f aca="false">Allocation!$G$14*IS!R40</f>
        <v>6641.78220099202</v>
      </c>
      <c r="T41" s="115" t="n">
        <f aca="false">Allocation!$G$14*IS!S40</f>
        <v>6641.78220099202</v>
      </c>
      <c r="U41" s="115" t="n">
        <f aca="false">Allocation!$G$14*IS!T40</f>
        <v>6641.78220099202</v>
      </c>
      <c r="V41" s="115" t="n">
        <f aca="false">Allocation!$G$14*IS!U40</f>
        <v>6641.78220099202</v>
      </c>
      <c r="W41" s="115" t="n">
        <f aca="false">Allocation!$G$14*IS!V40</f>
        <v>6641.78220099202</v>
      </c>
      <c r="X41" s="115" t="n">
        <f aca="false">Allocation!$G$14*IS!W40</f>
        <v>6641.78220099202</v>
      </c>
      <c r="Y41" s="115" t="n">
        <f aca="false">Allocation!$G$14*IS!X40</f>
        <v>6641.78220099202</v>
      </c>
      <c r="Z41" s="115" t="n">
        <f aca="false">Allocation!$G$14*IS!Y40</f>
        <v>6467.97295243711</v>
      </c>
    </row>
    <row r="42" customFormat="false" ht="12.75" hidden="false" customHeight="false" outlineLevel="0" collapsed="false">
      <c r="A42" s="327"/>
      <c r="E42" s="115"/>
      <c r="F42" s="115"/>
      <c r="G42" s="115"/>
      <c r="H42" s="417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</row>
    <row r="43" customFormat="false" ht="7.5" hidden="false" customHeight="true" outlineLevel="0" collapsed="false">
      <c r="A43" s="327"/>
      <c r="E43" s="115"/>
      <c r="F43" s="115"/>
      <c r="G43" s="115"/>
      <c r="H43" s="417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</row>
    <row r="44" customFormat="false" ht="12.75" hidden="false" customHeight="false" outlineLevel="0" collapsed="false">
      <c r="A44" s="323" t="s">
        <v>291</v>
      </c>
      <c r="B44" s="323"/>
      <c r="C44" s="323"/>
      <c r="D44" s="323"/>
      <c r="E44" s="422" t="n">
        <f aca="false">E39-E41</f>
        <v>0</v>
      </c>
      <c r="F44" s="422" t="n">
        <f aca="false">F39-F41</f>
        <v>4835.23376767403</v>
      </c>
      <c r="G44" s="422" t="n">
        <f aca="false">G39-G41</f>
        <v>13143.1022800424</v>
      </c>
      <c r="H44" s="422" t="n">
        <f aca="false">H39-H41</f>
        <v>12982.4569306239</v>
      </c>
      <c r="I44" s="422" t="n">
        <f aca="false">I39-I41</f>
        <v>25509.0933880548</v>
      </c>
      <c r="J44" s="422" t="n">
        <f aca="false">J39-J41</f>
        <v>26205.6415696905</v>
      </c>
      <c r="K44" s="422" t="n">
        <f aca="false">K39-K41</f>
        <v>27129.2981113591</v>
      </c>
      <c r="L44" s="422" t="n">
        <f aca="false">L39-L41</f>
        <v>27433.002517731</v>
      </c>
      <c r="M44" s="422" t="n">
        <f aca="false">M39-M41</f>
        <v>27712.3243772323</v>
      </c>
      <c r="N44" s="422" t="n">
        <f aca="false">N39-N41</f>
        <v>28023.4864859274</v>
      </c>
      <c r="O44" s="422" t="n">
        <f aca="false">O39-O41</f>
        <v>28391.630597577</v>
      </c>
      <c r="P44" s="422" t="n">
        <f aca="false">P39-P41</f>
        <v>28782.2163424379</v>
      </c>
      <c r="Q44" s="422" t="n">
        <f aca="false">Q39-Q41</f>
        <v>28991.5908121979</v>
      </c>
      <c r="R44" s="422" t="n">
        <f aca="false">R39-R41</f>
        <v>29340.2394096296</v>
      </c>
      <c r="S44" s="422" t="n">
        <f aca="false">S39-S41</f>
        <v>28929.5163458094</v>
      </c>
      <c r="T44" s="422" t="n">
        <f aca="false">T39-T41</f>
        <v>29236.7999591133</v>
      </c>
      <c r="U44" s="422" t="n">
        <f aca="false">U39-U41</f>
        <v>29527.3876534738</v>
      </c>
      <c r="V44" s="422" t="n">
        <f aca="false">V39-V41</f>
        <v>29814.4332068462</v>
      </c>
      <c r="W44" s="422" t="n">
        <f aca="false">W39-W41</f>
        <v>30083.8181072403</v>
      </c>
      <c r="X44" s="422" t="n">
        <f aca="false">X39-X41</f>
        <v>30346.9836962076</v>
      </c>
      <c r="Y44" s="422" t="n">
        <f aca="false">Y39-Y41</f>
        <v>29686.4057664522</v>
      </c>
      <c r="Z44" s="422" t="n">
        <f aca="false">Z39-Z41</f>
        <v>30892.0919436734</v>
      </c>
      <c r="AA44" s="395"/>
      <c r="AB44" s="395"/>
      <c r="AC44" s="395"/>
      <c r="AD44" s="395"/>
      <c r="AE44" s="395"/>
      <c r="AF44" s="395"/>
      <c r="AG44" s="395"/>
      <c r="AH44" s="395"/>
      <c r="AI44" s="395"/>
      <c r="AJ44" s="395"/>
      <c r="AK44" s="395"/>
      <c r="AL44" s="395"/>
      <c r="AM44" s="395"/>
      <c r="AN44" s="395"/>
      <c r="AO44" s="395"/>
      <c r="AP44" s="395"/>
      <c r="AQ44" s="395"/>
      <c r="AR44" s="395"/>
      <c r="AS44" s="395"/>
      <c r="AT44" s="395"/>
      <c r="AU44" s="395"/>
      <c r="AV44" s="395"/>
      <c r="AW44" s="395"/>
      <c r="AX44" s="395"/>
      <c r="AY44" s="395"/>
      <c r="AZ44" s="395"/>
      <c r="BA44" s="395"/>
      <c r="BB44" s="395"/>
      <c r="BC44" s="395"/>
      <c r="BD44" s="395"/>
      <c r="BE44" s="395"/>
      <c r="BF44" s="395"/>
      <c r="BG44" s="395"/>
      <c r="BH44" s="395"/>
      <c r="BI44" s="395"/>
      <c r="BJ44" s="395"/>
      <c r="BK44" s="395"/>
      <c r="BL44" s="395"/>
      <c r="BM44" s="395"/>
      <c r="BN44" s="395"/>
      <c r="BO44" s="395"/>
      <c r="BP44" s="395"/>
      <c r="BQ44" s="395"/>
      <c r="BR44" s="395"/>
      <c r="BS44" s="395"/>
      <c r="BT44" s="395"/>
      <c r="BU44" s="395"/>
      <c r="BV44" s="395"/>
      <c r="BW44" s="395"/>
      <c r="BX44" s="395"/>
      <c r="BY44" s="395"/>
      <c r="BZ44" s="395"/>
      <c r="CA44" s="395"/>
      <c r="CB44" s="395"/>
      <c r="CC44" s="395"/>
      <c r="CD44" s="395"/>
      <c r="CE44" s="395"/>
      <c r="CF44" s="395"/>
      <c r="CG44" s="395"/>
      <c r="CH44" s="395"/>
      <c r="CI44" s="395"/>
      <c r="CJ44" s="395"/>
      <c r="CK44" s="395"/>
      <c r="CL44" s="395"/>
      <c r="CM44" s="395"/>
      <c r="CN44" s="395"/>
      <c r="CO44" s="395"/>
      <c r="CP44" s="395"/>
      <c r="CQ44" s="395"/>
      <c r="CR44" s="395"/>
      <c r="CS44" s="395"/>
      <c r="CT44" s="395"/>
      <c r="CU44" s="395"/>
      <c r="CV44" s="395"/>
      <c r="CW44" s="395"/>
      <c r="CX44" s="395"/>
      <c r="CY44" s="395"/>
      <c r="CZ44" s="395"/>
      <c r="DA44" s="395"/>
      <c r="DB44" s="395"/>
      <c r="DC44" s="395"/>
      <c r="DD44" s="395"/>
      <c r="DE44" s="395"/>
      <c r="DF44" s="395"/>
      <c r="DG44" s="395"/>
      <c r="DH44" s="395"/>
      <c r="DI44" s="395"/>
      <c r="DJ44" s="395"/>
      <c r="DK44" s="395"/>
      <c r="DL44" s="395"/>
      <c r="DM44" s="395"/>
      <c r="DN44" s="395"/>
      <c r="DO44" s="395"/>
      <c r="DP44" s="395"/>
      <c r="DQ44" s="395"/>
      <c r="DR44" s="395"/>
      <c r="DS44" s="395"/>
      <c r="DT44" s="395"/>
      <c r="DU44" s="395"/>
      <c r="DV44" s="395"/>
      <c r="DW44" s="395"/>
      <c r="DX44" s="395"/>
      <c r="DY44" s="395"/>
      <c r="DZ44" s="395"/>
      <c r="EA44" s="395"/>
      <c r="EB44" s="395"/>
      <c r="EC44" s="395"/>
      <c r="ED44" s="395"/>
      <c r="EE44" s="395"/>
      <c r="EF44" s="395"/>
      <c r="EG44" s="395"/>
      <c r="EH44" s="395"/>
      <c r="EI44" s="395"/>
      <c r="EJ44" s="395"/>
      <c r="EK44" s="395"/>
      <c r="EL44" s="395"/>
      <c r="EM44" s="395"/>
      <c r="EN44" s="395"/>
      <c r="EO44" s="395"/>
      <c r="EP44" s="395"/>
      <c r="EQ44" s="395"/>
      <c r="ER44" s="395"/>
      <c r="ES44" s="395"/>
      <c r="ET44" s="395"/>
      <c r="EU44" s="395"/>
      <c r="EV44" s="395"/>
      <c r="EW44" s="395"/>
      <c r="EX44" s="395"/>
      <c r="EY44" s="395"/>
      <c r="EZ44" s="395"/>
      <c r="FA44" s="395"/>
      <c r="FB44" s="395"/>
      <c r="FC44" s="395"/>
      <c r="FD44" s="395"/>
      <c r="FE44" s="395"/>
      <c r="FF44" s="395"/>
      <c r="FG44" s="395"/>
      <c r="FH44" s="395"/>
      <c r="FI44" s="395"/>
      <c r="FJ44" s="395"/>
      <c r="FK44" s="395"/>
      <c r="FL44" s="395"/>
      <c r="FM44" s="395"/>
      <c r="FN44" s="395"/>
      <c r="FO44" s="395"/>
      <c r="FP44" s="395"/>
      <c r="FQ44" s="395"/>
      <c r="FR44" s="395"/>
      <c r="FS44" s="395"/>
      <c r="FT44" s="395"/>
      <c r="FU44" s="395"/>
      <c r="FV44" s="395"/>
      <c r="FW44" s="395"/>
      <c r="FX44" s="395"/>
      <c r="FY44" s="395"/>
      <c r="FZ44" s="395"/>
      <c r="GA44" s="395"/>
      <c r="GB44" s="395"/>
      <c r="GC44" s="395"/>
      <c r="GD44" s="395"/>
      <c r="GE44" s="395"/>
      <c r="GF44" s="395"/>
      <c r="GG44" s="395"/>
      <c r="GH44" s="395"/>
      <c r="GI44" s="395"/>
      <c r="GJ44" s="395"/>
      <c r="GK44" s="395"/>
      <c r="GL44" s="395"/>
      <c r="GM44" s="395"/>
      <c r="GN44" s="395"/>
      <c r="GO44" s="395"/>
      <c r="GP44" s="395"/>
      <c r="GQ44" s="395"/>
      <c r="GR44" s="395"/>
      <c r="GS44" s="395"/>
      <c r="GT44" s="395"/>
      <c r="GU44" s="395"/>
      <c r="GV44" s="395"/>
      <c r="GW44" s="395"/>
      <c r="GX44" s="395"/>
      <c r="GY44" s="395"/>
      <c r="GZ44" s="395"/>
      <c r="HA44" s="395"/>
      <c r="HB44" s="395"/>
      <c r="HC44" s="395"/>
      <c r="HD44" s="395"/>
      <c r="HE44" s="395"/>
      <c r="HF44" s="395"/>
      <c r="HG44" s="395"/>
      <c r="HH44" s="395"/>
      <c r="HI44" s="395"/>
      <c r="HJ44" s="395"/>
      <c r="HK44" s="395"/>
      <c r="HL44" s="395"/>
      <c r="HM44" s="395"/>
      <c r="HN44" s="395"/>
      <c r="HO44" s="395"/>
      <c r="HP44" s="395"/>
      <c r="HQ44" s="395"/>
      <c r="HR44" s="395"/>
      <c r="HS44" s="395"/>
      <c r="HT44" s="395"/>
      <c r="HU44" s="395"/>
      <c r="HV44" s="395"/>
      <c r="HW44" s="395"/>
      <c r="HX44" s="395"/>
      <c r="HY44" s="395"/>
      <c r="HZ44" s="395"/>
      <c r="IA44" s="395"/>
      <c r="IB44" s="395"/>
      <c r="IC44" s="395"/>
      <c r="ID44" s="395"/>
      <c r="IE44" s="395"/>
      <c r="IF44" s="395"/>
      <c r="IG44" s="395"/>
      <c r="IH44" s="395"/>
      <c r="II44" s="395"/>
      <c r="IJ44" s="395"/>
      <c r="IK44" s="395"/>
      <c r="IL44" s="395"/>
      <c r="IM44" s="395"/>
      <c r="IN44" s="395"/>
      <c r="IO44" s="395"/>
      <c r="IP44" s="395"/>
      <c r="IQ44" s="395"/>
      <c r="IR44" s="395"/>
      <c r="IS44" s="395"/>
      <c r="IT44" s="395"/>
      <c r="IU44" s="395"/>
      <c r="IV44" s="395"/>
      <c r="IW44" s="395"/>
    </row>
    <row r="45" customFormat="false" ht="12.75" hidden="false" customHeight="false" outlineLevel="0" collapsed="false">
      <c r="A45" s="323"/>
      <c r="B45" s="323"/>
      <c r="C45" s="323"/>
      <c r="D45" s="323"/>
      <c r="E45" s="422"/>
      <c r="F45" s="422"/>
      <c r="G45" s="422"/>
      <c r="H45" s="422"/>
      <c r="I45" s="422"/>
      <c r="J45" s="422"/>
      <c r="K45" s="422"/>
      <c r="L45" s="422"/>
      <c r="M45" s="422"/>
      <c r="N45" s="422"/>
      <c r="O45" s="422"/>
      <c r="P45" s="422"/>
      <c r="Q45" s="422"/>
      <c r="R45" s="422"/>
      <c r="S45" s="422"/>
      <c r="T45" s="422"/>
      <c r="U45" s="422"/>
      <c r="V45" s="422"/>
      <c r="W45" s="422"/>
      <c r="X45" s="422"/>
      <c r="Y45" s="422"/>
      <c r="Z45" s="422"/>
      <c r="AA45" s="395"/>
      <c r="AB45" s="395"/>
      <c r="AC45" s="395"/>
      <c r="AD45" s="395"/>
      <c r="AE45" s="395"/>
      <c r="AF45" s="395"/>
      <c r="AG45" s="395"/>
      <c r="AH45" s="395"/>
      <c r="AI45" s="395"/>
      <c r="AJ45" s="395"/>
      <c r="AK45" s="395"/>
      <c r="AL45" s="395"/>
      <c r="AM45" s="395"/>
      <c r="AN45" s="395"/>
      <c r="AO45" s="395"/>
      <c r="AP45" s="395"/>
      <c r="AQ45" s="395"/>
      <c r="AR45" s="395"/>
      <c r="AS45" s="395"/>
      <c r="AT45" s="395"/>
      <c r="AU45" s="395"/>
      <c r="AV45" s="395"/>
      <c r="AW45" s="395"/>
      <c r="AX45" s="395"/>
      <c r="AY45" s="395"/>
      <c r="AZ45" s="395"/>
      <c r="BA45" s="395"/>
      <c r="BB45" s="395"/>
      <c r="BC45" s="395"/>
      <c r="BD45" s="395"/>
      <c r="BE45" s="395"/>
      <c r="BF45" s="395"/>
      <c r="BG45" s="395"/>
      <c r="BH45" s="395"/>
      <c r="BI45" s="395"/>
      <c r="BJ45" s="395"/>
      <c r="BK45" s="395"/>
      <c r="BL45" s="395"/>
      <c r="BM45" s="395"/>
      <c r="BN45" s="395"/>
      <c r="BO45" s="395"/>
      <c r="BP45" s="395"/>
      <c r="BQ45" s="395"/>
      <c r="BR45" s="395"/>
      <c r="BS45" s="395"/>
      <c r="BT45" s="395"/>
      <c r="BU45" s="395"/>
      <c r="BV45" s="395"/>
      <c r="BW45" s="395"/>
      <c r="BX45" s="395"/>
      <c r="BY45" s="395"/>
      <c r="BZ45" s="395"/>
      <c r="CA45" s="395"/>
      <c r="CB45" s="395"/>
      <c r="CC45" s="395"/>
      <c r="CD45" s="395"/>
      <c r="CE45" s="395"/>
      <c r="CF45" s="395"/>
      <c r="CG45" s="395"/>
      <c r="CH45" s="395"/>
      <c r="CI45" s="395"/>
      <c r="CJ45" s="395"/>
      <c r="CK45" s="395"/>
      <c r="CL45" s="395"/>
      <c r="CM45" s="395"/>
      <c r="CN45" s="395"/>
      <c r="CO45" s="395"/>
      <c r="CP45" s="395"/>
      <c r="CQ45" s="395"/>
      <c r="CR45" s="395"/>
      <c r="CS45" s="395"/>
      <c r="CT45" s="395"/>
      <c r="CU45" s="395"/>
      <c r="CV45" s="395"/>
      <c r="CW45" s="395"/>
      <c r="CX45" s="395"/>
      <c r="CY45" s="395"/>
      <c r="CZ45" s="395"/>
      <c r="DA45" s="395"/>
      <c r="DB45" s="395"/>
      <c r="DC45" s="395"/>
      <c r="DD45" s="395"/>
      <c r="DE45" s="395"/>
      <c r="DF45" s="395"/>
      <c r="DG45" s="395"/>
      <c r="DH45" s="395"/>
      <c r="DI45" s="395"/>
      <c r="DJ45" s="395"/>
      <c r="DK45" s="395"/>
      <c r="DL45" s="395"/>
      <c r="DM45" s="395"/>
      <c r="DN45" s="395"/>
      <c r="DO45" s="395"/>
      <c r="DP45" s="395"/>
      <c r="DQ45" s="395"/>
      <c r="DR45" s="395"/>
      <c r="DS45" s="395"/>
      <c r="DT45" s="395"/>
      <c r="DU45" s="395"/>
      <c r="DV45" s="395"/>
      <c r="DW45" s="395"/>
      <c r="DX45" s="395"/>
      <c r="DY45" s="395"/>
      <c r="DZ45" s="395"/>
      <c r="EA45" s="395"/>
      <c r="EB45" s="395"/>
      <c r="EC45" s="395"/>
      <c r="ED45" s="395"/>
      <c r="EE45" s="395"/>
      <c r="EF45" s="395"/>
      <c r="EG45" s="395"/>
      <c r="EH45" s="395"/>
      <c r="EI45" s="395"/>
      <c r="EJ45" s="395"/>
      <c r="EK45" s="395"/>
      <c r="EL45" s="395"/>
      <c r="EM45" s="395"/>
      <c r="EN45" s="395"/>
      <c r="EO45" s="395"/>
      <c r="EP45" s="395"/>
      <c r="EQ45" s="395"/>
      <c r="ER45" s="395"/>
      <c r="ES45" s="395"/>
      <c r="ET45" s="395"/>
      <c r="EU45" s="395"/>
      <c r="EV45" s="395"/>
      <c r="EW45" s="395"/>
      <c r="EX45" s="395"/>
      <c r="EY45" s="395"/>
      <c r="EZ45" s="395"/>
      <c r="FA45" s="395"/>
      <c r="FB45" s="395"/>
      <c r="FC45" s="395"/>
      <c r="FD45" s="395"/>
      <c r="FE45" s="395"/>
      <c r="FF45" s="395"/>
      <c r="FG45" s="395"/>
      <c r="FH45" s="395"/>
      <c r="FI45" s="395"/>
      <c r="FJ45" s="395"/>
      <c r="FK45" s="395"/>
      <c r="FL45" s="395"/>
      <c r="FM45" s="395"/>
      <c r="FN45" s="395"/>
      <c r="FO45" s="395"/>
      <c r="FP45" s="395"/>
      <c r="FQ45" s="395"/>
      <c r="FR45" s="395"/>
      <c r="FS45" s="395"/>
      <c r="FT45" s="395"/>
      <c r="FU45" s="395"/>
      <c r="FV45" s="395"/>
      <c r="FW45" s="395"/>
      <c r="FX45" s="395"/>
      <c r="FY45" s="395"/>
      <c r="FZ45" s="395"/>
      <c r="GA45" s="395"/>
      <c r="GB45" s="395"/>
      <c r="GC45" s="395"/>
      <c r="GD45" s="395"/>
      <c r="GE45" s="395"/>
      <c r="GF45" s="395"/>
      <c r="GG45" s="395"/>
      <c r="GH45" s="395"/>
      <c r="GI45" s="395"/>
      <c r="GJ45" s="395"/>
      <c r="GK45" s="395"/>
      <c r="GL45" s="395"/>
      <c r="GM45" s="395"/>
      <c r="GN45" s="395"/>
      <c r="GO45" s="395"/>
      <c r="GP45" s="395"/>
      <c r="GQ45" s="395"/>
      <c r="GR45" s="395"/>
      <c r="GS45" s="395"/>
      <c r="GT45" s="395"/>
      <c r="GU45" s="395"/>
      <c r="GV45" s="395"/>
      <c r="GW45" s="395"/>
      <c r="GX45" s="395"/>
      <c r="GY45" s="395"/>
      <c r="GZ45" s="395"/>
      <c r="HA45" s="395"/>
      <c r="HB45" s="395"/>
      <c r="HC45" s="395"/>
      <c r="HD45" s="395"/>
      <c r="HE45" s="395"/>
      <c r="HF45" s="395"/>
      <c r="HG45" s="395"/>
      <c r="HH45" s="395"/>
      <c r="HI45" s="395"/>
      <c r="HJ45" s="395"/>
      <c r="HK45" s="395"/>
      <c r="HL45" s="395"/>
      <c r="HM45" s="395"/>
      <c r="HN45" s="395"/>
      <c r="HO45" s="395"/>
      <c r="HP45" s="395"/>
      <c r="HQ45" s="395"/>
      <c r="HR45" s="395"/>
      <c r="HS45" s="395"/>
      <c r="HT45" s="395"/>
      <c r="HU45" s="395"/>
      <c r="HV45" s="395"/>
      <c r="HW45" s="395"/>
      <c r="HX45" s="395"/>
      <c r="HY45" s="395"/>
      <c r="HZ45" s="395"/>
      <c r="IA45" s="395"/>
      <c r="IB45" s="395"/>
      <c r="IC45" s="395"/>
      <c r="ID45" s="395"/>
      <c r="IE45" s="395"/>
      <c r="IF45" s="395"/>
      <c r="IG45" s="395"/>
      <c r="IH45" s="395"/>
      <c r="II45" s="395"/>
      <c r="IJ45" s="395"/>
      <c r="IK45" s="395"/>
      <c r="IL45" s="395"/>
      <c r="IM45" s="395"/>
      <c r="IN45" s="395"/>
      <c r="IO45" s="395"/>
      <c r="IP45" s="395"/>
      <c r="IQ45" s="395"/>
      <c r="IR45" s="395"/>
      <c r="IS45" s="395"/>
      <c r="IT45" s="395"/>
      <c r="IU45" s="395"/>
      <c r="IV45" s="395"/>
      <c r="IW45" s="395"/>
    </row>
    <row r="46" customFormat="false" ht="12.75" hidden="false" customHeight="false" outlineLevel="0" collapsed="false">
      <c r="A46" s="78" t="s">
        <v>457</v>
      </c>
      <c r="B46" s="474"/>
      <c r="C46" s="474"/>
      <c r="D46" s="474"/>
      <c r="E46" s="660" t="n">
        <v>0</v>
      </c>
      <c r="F46" s="368" t="n">
        <f aca="false">Allocation!$I$14*(IS!$E$44-Debt!C136)+Debt!C136*Allocation!$K$14</f>
        <v>6095.17091526729</v>
      </c>
      <c r="G46" s="115" t="n">
        <f aca="false">Allocation!$I$14*IS!F44</f>
        <v>11183.1006383349</v>
      </c>
      <c r="H46" s="115" t="n">
        <f aca="false">Allocation!$I$14*IS!G44</f>
        <v>10814.264388258</v>
      </c>
      <c r="I46" s="115" t="n">
        <f aca="false">Allocation!$I$14*IS!H44</f>
        <v>10451.4716431753</v>
      </c>
      <c r="J46" s="115" t="n">
        <f aca="false">Allocation!$I$14*IS!I44</f>
        <v>10212.8300084414</v>
      </c>
      <c r="K46" s="115" t="n">
        <f aca="false">Allocation!$I$14*IS!J44</f>
        <v>9810.98024041351</v>
      </c>
      <c r="L46" s="115" t="n">
        <f aca="false">Allocation!$I$14*IS!K44</f>
        <v>9370.17068684205</v>
      </c>
      <c r="M46" s="115" t="n">
        <f aca="false">Allocation!$I$14*IS!L44</f>
        <v>8860.90600259833</v>
      </c>
      <c r="N46" s="115" t="n">
        <f aca="false">Allocation!$I$14*IS!M44</f>
        <v>8278.00019293442</v>
      </c>
      <c r="O46" s="115" t="n">
        <f aca="false">Allocation!$I$14*IS!N44</f>
        <v>7570.63050932093</v>
      </c>
      <c r="P46" s="115" t="n">
        <f aca="false">Allocation!$I$14*IS!O44</f>
        <v>6945.79514981809</v>
      </c>
      <c r="Q46" s="115" t="n">
        <f aca="false">Allocation!$I$14*IS!P44</f>
        <v>6345.8184868371</v>
      </c>
      <c r="R46" s="115" t="n">
        <f aca="false">Allocation!$I$14*IS!Q44</f>
        <v>5682.99951644608</v>
      </c>
      <c r="S46" s="115" t="n">
        <f aca="false">Allocation!$I$14*IS!R44</f>
        <v>4968.88041839706</v>
      </c>
      <c r="T46" s="115" t="n">
        <f aca="false">Allocation!$I$14*IS!S44</f>
        <v>4206.25570395739</v>
      </c>
      <c r="U46" s="115" t="n">
        <f aca="false">Allocation!$I$14*IS!T44</f>
        <v>3380.27829341631</v>
      </c>
      <c r="V46" s="115" t="n">
        <f aca="false">Allocation!$I$14*IS!U44</f>
        <v>2519.91488798426</v>
      </c>
      <c r="W46" s="115" t="n">
        <f aca="false">Allocation!$I$14*IS!V44</f>
        <v>1667.42355234322</v>
      </c>
      <c r="X46" s="115" t="n">
        <f aca="false">Allocation!$I$14*IS!W44</f>
        <v>888.371043291504</v>
      </c>
      <c r="Y46" s="115" t="n">
        <f aca="false">Allocation!$I$14*IS!X44</f>
        <v>213.270051681121</v>
      </c>
      <c r="Z46" s="115" t="n">
        <v>0</v>
      </c>
    </row>
    <row r="47" customFormat="false" ht="6" hidden="false" customHeight="true" outlineLevel="0" collapsed="false">
      <c r="E47" s="115"/>
      <c r="F47" s="368"/>
      <c r="G47" s="368"/>
      <c r="H47" s="368"/>
      <c r="I47" s="368"/>
      <c r="J47" s="368"/>
      <c r="K47" s="368"/>
      <c r="L47" s="368"/>
      <c r="M47" s="368"/>
      <c r="N47" s="368"/>
      <c r="O47" s="368"/>
      <c r="P47" s="368"/>
      <c r="Q47" s="368"/>
      <c r="R47" s="368"/>
      <c r="S47" s="368"/>
      <c r="T47" s="368"/>
      <c r="U47" s="368"/>
      <c r="V47" s="368"/>
      <c r="W47" s="368"/>
      <c r="X47" s="368"/>
      <c r="Y47" s="368"/>
      <c r="Z47" s="368"/>
    </row>
    <row r="48" customFormat="false" ht="6" hidden="false" customHeight="true" outlineLevel="0" collapsed="false">
      <c r="E48" s="115"/>
      <c r="F48" s="368"/>
      <c r="G48" s="368"/>
      <c r="H48" s="368"/>
      <c r="I48" s="368"/>
      <c r="J48" s="368"/>
      <c r="K48" s="368"/>
      <c r="L48" s="368"/>
      <c r="M48" s="368"/>
      <c r="N48" s="368"/>
      <c r="O48" s="368"/>
      <c r="P48" s="368"/>
      <c r="Q48" s="368"/>
      <c r="R48" s="368"/>
      <c r="S48" s="368"/>
      <c r="T48" s="368"/>
      <c r="U48" s="368"/>
      <c r="V48" s="368"/>
      <c r="W48" s="368"/>
      <c r="X48" s="368"/>
      <c r="Y48" s="368"/>
      <c r="Z48" s="368"/>
    </row>
    <row r="49" customFormat="false" ht="12.75" hidden="false" customHeight="false" outlineLevel="0" collapsed="false">
      <c r="A49" s="323" t="s">
        <v>293</v>
      </c>
      <c r="B49" s="323"/>
      <c r="C49" s="395"/>
      <c r="D49" s="395"/>
      <c r="E49" s="422" t="n">
        <f aca="false">E44-E46</f>
        <v>0</v>
      </c>
      <c r="F49" s="422" t="n">
        <f aca="false">F44-F46</f>
        <v>-1259.93714759326</v>
      </c>
      <c r="G49" s="422" t="n">
        <f aca="false">G44-G46</f>
        <v>1960.00164170748</v>
      </c>
      <c r="H49" s="422" t="n">
        <f aca="false">H44-H46</f>
        <v>2168.19254236585</v>
      </c>
      <c r="I49" s="422" t="n">
        <f aca="false">I44-I46</f>
        <v>15057.6217448795</v>
      </c>
      <c r="J49" s="422" t="n">
        <f aca="false">J44-J46</f>
        <v>15992.8115612491</v>
      </c>
      <c r="K49" s="422" t="n">
        <f aca="false">K44-K46</f>
        <v>17318.3178709456</v>
      </c>
      <c r="L49" s="422" t="n">
        <f aca="false">L44-L46</f>
        <v>18062.831830889</v>
      </c>
      <c r="M49" s="422" t="n">
        <f aca="false">M44-M46</f>
        <v>18851.418374634</v>
      </c>
      <c r="N49" s="422" t="n">
        <f aca="false">N44-N46</f>
        <v>19745.486292993</v>
      </c>
      <c r="O49" s="422" t="n">
        <f aca="false">O44-O46</f>
        <v>20821.0000882561</v>
      </c>
      <c r="P49" s="422" t="n">
        <f aca="false">P44-P46</f>
        <v>21836.4211926198</v>
      </c>
      <c r="Q49" s="422" t="n">
        <f aca="false">Q44-Q46</f>
        <v>22645.7723253608</v>
      </c>
      <c r="R49" s="422" t="n">
        <f aca="false">R44-R46</f>
        <v>23657.2398931835</v>
      </c>
      <c r="S49" s="422" t="n">
        <f aca="false">S44-S46</f>
        <v>23960.6359274124</v>
      </c>
      <c r="T49" s="422" t="n">
        <f aca="false">T44-T46</f>
        <v>25030.5442551559</v>
      </c>
      <c r="U49" s="422" t="n">
        <f aca="false">U44-U46</f>
        <v>26147.1093600575</v>
      </c>
      <c r="V49" s="422" t="n">
        <f aca="false">V44-V46</f>
        <v>27294.5183188619</v>
      </c>
      <c r="W49" s="422" t="n">
        <f aca="false">W44-W46</f>
        <v>28416.3945548971</v>
      </c>
      <c r="X49" s="422" t="n">
        <f aca="false">X44-X46</f>
        <v>29458.6126529161</v>
      </c>
      <c r="Y49" s="422" t="n">
        <f aca="false">Y44-Y46</f>
        <v>29473.1357147711</v>
      </c>
      <c r="Z49" s="422" t="n">
        <f aca="false">Z44-Z46</f>
        <v>30892.0919436734</v>
      </c>
      <c r="AA49" s="395"/>
      <c r="AB49" s="395"/>
      <c r="AC49" s="395"/>
      <c r="AD49" s="395"/>
      <c r="AE49" s="395"/>
      <c r="AF49" s="395"/>
      <c r="AG49" s="395"/>
      <c r="AH49" s="395"/>
      <c r="AI49" s="395"/>
      <c r="AJ49" s="395"/>
      <c r="AK49" s="395"/>
      <c r="AL49" s="395"/>
      <c r="AM49" s="395"/>
      <c r="AN49" s="395"/>
      <c r="AO49" s="395"/>
      <c r="AP49" s="395"/>
      <c r="AQ49" s="395"/>
      <c r="AR49" s="395"/>
      <c r="AS49" s="395"/>
      <c r="AT49" s="395"/>
      <c r="AU49" s="395"/>
      <c r="AV49" s="395"/>
      <c r="AW49" s="395"/>
      <c r="AX49" s="395"/>
      <c r="AY49" s="395"/>
      <c r="AZ49" s="395"/>
      <c r="BA49" s="395"/>
      <c r="BB49" s="395"/>
      <c r="BC49" s="395"/>
      <c r="BD49" s="395"/>
      <c r="BE49" s="395"/>
      <c r="BF49" s="395"/>
      <c r="BG49" s="395"/>
      <c r="BH49" s="395"/>
      <c r="BI49" s="395"/>
      <c r="BJ49" s="395"/>
      <c r="BK49" s="395"/>
      <c r="BL49" s="395"/>
      <c r="BM49" s="395"/>
      <c r="BN49" s="395"/>
      <c r="BO49" s="395"/>
      <c r="BP49" s="395"/>
      <c r="BQ49" s="395"/>
      <c r="BR49" s="395"/>
      <c r="BS49" s="395"/>
      <c r="BT49" s="395"/>
      <c r="BU49" s="395"/>
      <c r="BV49" s="395"/>
      <c r="BW49" s="395"/>
      <c r="BX49" s="395"/>
      <c r="BY49" s="395"/>
      <c r="BZ49" s="395"/>
      <c r="CA49" s="395"/>
      <c r="CB49" s="395"/>
      <c r="CC49" s="395"/>
      <c r="CD49" s="395"/>
      <c r="CE49" s="395"/>
      <c r="CF49" s="395"/>
      <c r="CG49" s="395"/>
      <c r="CH49" s="395"/>
      <c r="CI49" s="395"/>
      <c r="CJ49" s="395"/>
      <c r="CK49" s="395"/>
      <c r="CL49" s="395"/>
      <c r="CM49" s="395"/>
      <c r="CN49" s="395"/>
      <c r="CO49" s="395"/>
      <c r="CP49" s="395"/>
      <c r="CQ49" s="395"/>
      <c r="CR49" s="395"/>
      <c r="CS49" s="395"/>
      <c r="CT49" s="395"/>
      <c r="CU49" s="395"/>
      <c r="CV49" s="395"/>
      <c r="CW49" s="395"/>
      <c r="CX49" s="395"/>
      <c r="CY49" s="395"/>
      <c r="CZ49" s="395"/>
      <c r="DA49" s="395"/>
      <c r="DB49" s="395"/>
      <c r="DC49" s="395"/>
      <c r="DD49" s="395"/>
      <c r="DE49" s="395"/>
      <c r="DF49" s="395"/>
      <c r="DG49" s="395"/>
      <c r="DH49" s="395"/>
      <c r="DI49" s="395"/>
      <c r="DJ49" s="395"/>
      <c r="DK49" s="395"/>
      <c r="DL49" s="395"/>
      <c r="DM49" s="395"/>
      <c r="DN49" s="395"/>
      <c r="DO49" s="395"/>
      <c r="DP49" s="395"/>
      <c r="DQ49" s="395"/>
      <c r="DR49" s="395"/>
      <c r="DS49" s="395"/>
      <c r="DT49" s="395"/>
      <c r="DU49" s="395"/>
      <c r="DV49" s="395"/>
      <c r="DW49" s="395"/>
      <c r="DX49" s="395"/>
      <c r="DY49" s="395"/>
      <c r="DZ49" s="395"/>
      <c r="EA49" s="395"/>
      <c r="EB49" s="395"/>
      <c r="EC49" s="395"/>
      <c r="ED49" s="395"/>
      <c r="EE49" s="395"/>
      <c r="EF49" s="395"/>
      <c r="EG49" s="395"/>
      <c r="EH49" s="395"/>
      <c r="EI49" s="395"/>
      <c r="EJ49" s="395"/>
      <c r="EK49" s="395"/>
      <c r="EL49" s="395"/>
      <c r="EM49" s="395"/>
      <c r="EN49" s="395"/>
      <c r="EO49" s="395"/>
      <c r="EP49" s="395"/>
      <c r="EQ49" s="395"/>
      <c r="ER49" s="395"/>
      <c r="ES49" s="395"/>
      <c r="ET49" s="395"/>
      <c r="EU49" s="395"/>
      <c r="EV49" s="395"/>
      <c r="EW49" s="395"/>
      <c r="EX49" s="395"/>
      <c r="EY49" s="395"/>
      <c r="EZ49" s="395"/>
      <c r="FA49" s="395"/>
      <c r="FB49" s="395"/>
      <c r="FC49" s="395"/>
      <c r="FD49" s="395"/>
      <c r="FE49" s="395"/>
      <c r="FF49" s="395"/>
      <c r="FG49" s="395"/>
      <c r="FH49" s="395"/>
      <c r="FI49" s="395"/>
      <c r="FJ49" s="395"/>
      <c r="FK49" s="395"/>
      <c r="FL49" s="395"/>
      <c r="FM49" s="395"/>
      <c r="FN49" s="395"/>
      <c r="FO49" s="395"/>
      <c r="FP49" s="395"/>
      <c r="FQ49" s="395"/>
      <c r="FR49" s="395"/>
      <c r="FS49" s="395"/>
      <c r="FT49" s="395"/>
      <c r="FU49" s="395"/>
      <c r="FV49" s="395"/>
      <c r="FW49" s="395"/>
      <c r="FX49" s="395"/>
      <c r="FY49" s="395"/>
      <c r="FZ49" s="395"/>
      <c r="GA49" s="395"/>
      <c r="GB49" s="395"/>
      <c r="GC49" s="395"/>
      <c r="GD49" s="395"/>
      <c r="GE49" s="395"/>
      <c r="GF49" s="395"/>
      <c r="GG49" s="395"/>
      <c r="GH49" s="395"/>
      <c r="GI49" s="395"/>
      <c r="GJ49" s="395"/>
      <c r="GK49" s="395"/>
      <c r="GL49" s="395"/>
      <c r="GM49" s="395"/>
      <c r="GN49" s="395"/>
      <c r="GO49" s="395"/>
      <c r="GP49" s="395"/>
      <c r="GQ49" s="395"/>
      <c r="GR49" s="395"/>
      <c r="GS49" s="395"/>
      <c r="GT49" s="395"/>
      <c r="GU49" s="395"/>
      <c r="GV49" s="395"/>
      <c r="GW49" s="395"/>
      <c r="GX49" s="395"/>
      <c r="GY49" s="395"/>
      <c r="GZ49" s="395"/>
      <c r="HA49" s="395"/>
      <c r="HB49" s="395"/>
      <c r="HC49" s="395"/>
      <c r="HD49" s="395"/>
      <c r="HE49" s="395"/>
      <c r="HF49" s="395"/>
      <c r="HG49" s="395"/>
      <c r="HH49" s="395"/>
      <c r="HI49" s="395"/>
      <c r="HJ49" s="395"/>
      <c r="HK49" s="395"/>
      <c r="HL49" s="395"/>
      <c r="HM49" s="395"/>
      <c r="HN49" s="395"/>
      <c r="HO49" s="395"/>
      <c r="HP49" s="395"/>
      <c r="HQ49" s="395"/>
      <c r="HR49" s="395"/>
      <c r="HS49" s="395"/>
      <c r="HT49" s="395"/>
      <c r="HU49" s="395"/>
      <c r="HV49" s="395"/>
      <c r="HW49" s="395"/>
      <c r="HX49" s="395"/>
      <c r="HY49" s="395"/>
      <c r="HZ49" s="395"/>
      <c r="IA49" s="395"/>
      <c r="IB49" s="395"/>
      <c r="IC49" s="395"/>
      <c r="ID49" s="395"/>
      <c r="IE49" s="395"/>
      <c r="IF49" s="395"/>
      <c r="IG49" s="395"/>
      <c r="IH49" s="395"/>
      <c r="II49" s="395"/>
      <c r="IJ49" s="395"/>
      <c r="IK49" s="395"/>
      <c r="IL49" s="395"/>
      <c r="IM49" s="395"/>
      <c r="IN49" s="395"/>
      <c r="IO49" s="395"/>
      <c r="IP49" s="395"/>
      <c r="IQ49" s="395"/>
      <c r="IR49" s="395"/>
      <c r="IS49" s="395"/>
      <c r="IT49" s="395"/>
      <c r="IU49" s="395"/>
      <c r="IV49" s="395"/>
      <c r="IW49" s="395"/>
    </row>
    <row r="50" customFormat="false" ht="12.75" hidden="false" customHeight="false" outlineLevel="0" collapsed="false">
      <c r="A50" s="323"/>
      <c r="B50" s="323"/>
      <c r="C50" s="395"/>
      <c r="D50" s="395"/>
      <c r="E50" s="422"/>
      <c r="F50" s="422"/>
      <c r="G50" s="422"/>
      <c r="H50" s="422"/>
      <c r="I50" s="422"/>
      <c r="J50" s="422"/>
      <c r="K50" s="422"/>
      <c r="L50" s="422"/>
      <c r="M50" s="422"/>
      <c r="N50" s="422"/>
      <c r="O50" s="422"/>
      <c r="P50" s="422"/>
      <c r="Q50" s="422"/>
      <c r="R50" s="422"/>
      <c r="S50" s="422"/>
      <c r="T50" s="422"/>
      <c r="U50" s="422"/>
      <c r="V50" s="422"/>
      <c r="W50" s="422"/>
      <c r="X50" s="422"/>
      <c r="Y50" s="422"/>
      <c r="Z50" s="422"/>
      <c r="AA50" s="395"/>
      <c r="AB50" s="395"/>
      <c r="AC50" s="395"/>
      <c r="AD50" s="395"/>
      <c r="AE50" s="395"/>
      <c r="AF50" s="395"/>
      <c r="AG50" s="395"/>
      <c r="AH50" s="395"/>
      <c r="AI50" s="395"/>
      <c r="AJ50" s="395"/>
      <c r="AK50" s="395"/>
      <c r="AL50" s="395"/>
      <c r="AM50" s="395"/>
      <c r="AN50" s="395"/>
      <c r="AO50" s="395"/>
      <c r="AP50" s="395"/>
      <c r="AQ50" s="395"/>
      <c r="AR50" s="395"/>
      <c r="AS50" s="395"/>
      <c r="AT50" s="395"/>
      <c r="AU50" s="395"/>
      <c r="AV50" s="395"/>
      <c r="AW50" s="395"/>
      <c r="AX50" s="395"/>
      <c r="AY50" s="395"/>
      <c r="AZ50" s="395"/>
      <c r="BA50" s="395"/>
      <c r="BB50" s="395"/>
      <c r="BC50" s="395"/>
      <c r="BD50" s="395"/>
      <c r="BE50" s="395"/>
      <c r="BF50" s="395"/>
      <c r="BG50" s="395"/>
      <c r="BH50" s="395"/>
      <c r="BI50" s="395"/>
      <c r="BJ50" s="395"/>
      <c r="BK50" s="395"/>
      <c r="BL50" s="395"/>
      <c r="BM50" s="395"/>
      <c r="BN50" s="395"/>
      <c r="BO50" s="395"/>
      <c r="BP50" s="395"/>
      <c r="BQ50" s="395"/>
      <c r="BR50" s="395"/>
      <c r="BS50" s="395"/>
      <c r="BT50" s="395"/>
      <c r="BU50" s="395"/>
      <c r="BV50" s="395"/>
      <c r="BW50" s="395"/>
      <c r="BX50" s="395"/>
      <c r="BY50" s="395"/>
      <c r="BZ50" s="395"/>
      <c r="CA50" s="395"/>
      <c r="CB50" s="395"/>
      <c r="CC50" s="395"/>
      <c r="CD50" s="395"/>
      <c r="CE50" s="395"/>
      <c r="CF50" s="395"/>
      <c r="CG50" s="395"/>
      <c r="CH50" s="395"/>
      <c r="CI50" s="395"/>
      <c r="CJ50" s="395"/>
      <c r="CK50" s="395"/>
      <c r="CL50" s="395"/>
      <c r="CM50" s="395"/>
      <c r="CN50" s="395"/>
      <c r="CO50" s="395"/>
      <c r="CP50" s="395"/>
      <c r="CQ50" s="395"/>
      <c r="CR50" s="395"/>
      <c r="CS50" s="395"/>
      <c r="CT50" s="395"/>
      <c r="CU50" s="395"/>
      <c r="CV50" s="395"/>
      <c r="CW50" s="395"/>
      <c r="CX50" s="395"/>
      <c r="CY50" s="395"/>
      <c r="CZ50" s="395"/>
      <c r="DA50" s="395"/>
      <c r="DB50" s="395"/>
      <c r="DC50" s="395"/>
      <c r="DD50" s="395"/>
      <c r="DE50" s="395"/>
      <c r="DF50" s="395"/>
      <c r="DG50" s="395"/>
      <c r="DH50" s="395"/>
      <c r="DI50" s="395"/>
      <c r="DJ50" s="395"/>
      <c r="DK50" s="395"/>
      <c r="DL50" s="395"/>
      <c r="DM50" s="395"/>
      <c r="DN50" s="395"/>
      <c r="DO50" s="395"/>
      <c r="DP50" s="395"/>
      <c r="DQ50" s="395"/>
      <c r="DR50" s="395"/>
      <c r="DS50" s="395"/>
      <c r="DT50" s="395"/>
      <c r="DU50" s="395"/>
      <c r="DV50" s="395"/>
      <c r="DW50" s="395"/>
      <c r="DX50" s="395"/>
      <c r="DY50" s="395"/>
      <c r="DZ50" s="395"/>
      <c r="EA50" s="395"/>
      <c r="EB50" s="395"/>
      <c r="EC50" s="395"/>
      <c r="ED50" s="395"/>
      <c r="EE50" s="395"/>
      <c r="EF50" s="395"/>
      <c r="EG50" s="395"/>
      <c r="EH50" s="395"/>
      <c r="EI50" s="395"/>
      <c r="EJ50" s="395"/>
      <c r="EK50" s="395"/>
      <c r="EL50" s="395"/>
      <c r="EM50" s="395"/>
      <c r="EN50" s="395"/>
      <c r="EO50" s="395"/>
      <c r="EP50" s="395"/>
      <c r="EQ50" s="395"/>
      <c r="ER50" s="395"/>
      <c r="ES50" s="395"/>
      <c r="ET50" s="395"/>
      <c r="EU50" s="395"/>
      <c r="EV50" s="395"/>
      <c r="EW50" s="395"/>
      <c r="EX50" s="395"/>
      <c r="EY50" s="395"/>
      <c r="EZ50" s="395"/>
      <c r="FA50" s="395"/>
      <c r="FB50" s="395"/>
      <c r="FC50" s="395"/>
      <c r="FD50" s="395"/>
      <c r="FE50" s="395"/>
      <c r="FF50" s="395"/>
      <c r="FG50" s="395"/>
      <c r="FH50" s="395"/>
      <c r="FI50" s="395"/>
      <c r="FJ50" s="395"/>
      <c r="FK50" s="395"/>
      <c r="FL50" s="395"/>
      <c r="FM50" s="395"/>
      <c r="FN50" s="395"/>
      <c r="FO50" s="395"/>
      <c r="FP50" s="395"/>
      <c r="FQ50" s="395"/>
      <c r="FR50" s="395"/>
      <c r="FS50" s="395"/>
      <c r="FT50" s="395"/>
      <c r="FU50" s="395"/>
      <c r="FV50" s="395"/>
      <c r="FW50" s="395"/>
      <c r="FX50" s="395"/>
      <c r="FY50" s="395"/>
      <c r="FZ50" s="395"/>
      <c r="GA50" s="395"/>
      <c r="GB50" s="395"/>
      <c r="GC50" s="395"/>
      <c r="GD50" s="395"/>
      <c r="GE50" s="395"/>
      <c r="GF50" s="395"/>
      <c r="GG50" s="395"/>
      <c r="GH50" s="395"/>
      <c r="GI50" s="395"/>
      <c r="GJ50" s="395"/>
      <c r="GK50" s="395"/>
      <c r="GL50" s="395"/>
      <c r="GM50" s="395"/>
      <c r="GN50" s="395"/>
      <c r="GO50" s="395"/>
      <c r="GP50" s="395"/>
      <c r="GQ50" s="395"/>
      <c r="GR50" s="395"/>
      <c r="GS50" s="395"/>
      <c r="GT50" s="395"/>
      <c r="GU50" s="395"/>
      <c r="GV50" s="395"/>
      <c r="GW50" s="395"/>
      <c r="GX50" s="395"/>
      <c r="GY50" s="395"/>
      <c r="GZ50" s="395"/>
      <c r="HA50" s="395"/>
      <c r="HB50" s="395"/>
      <c r="HC50" s="395"/>
      <c r="HD50" s="395"/>
      <c r="HE50" s="395"/>
      <c r="HF50" s="395"/>
      <c r="HG50" s="395"/>
      <c r="HH50" s="395"/>
      <c r="HI50" s="395"/>
      <c r="HJ50" s="395"/>
      <c r="HK50" s="395"/>
      <c r="HL50" s="395"/>
      <c r="HM50" s="395"/>
      <c r="HN50" s="395"/>
      <c r="HO50" s="395"/>
      <c r="HP50" s="395"/>
      <c r="HQ50" s="395"/>
      <c r="HR50" s="395"/>
      <c r="HS50" s="395"/>
      <c r="HT50" s="395"/>
      <c r="HU50" s="395"/>
      <c r="HV50" s="395"/>
      <c r="HW50" s="395"/>
      <c r="HX50" s="395"/>
      <c r="HY50" s="395"/>
      <c r="HZ50" s="395"/>
      <c r="IA50" s="395"/>
      <c r="IB50" s="395"/>
      <c r="IC50" s="395"/>
      <c r="ID50" s="395"/>
      <c r="IE50" s="395"/>
      <c r="IF50" s="395"/>
      <c r="IG50" s="395"/>
      <c r="IH50" s="395"/>
      <c r="II50" s="395"/>
      <c r="IJ50" s="395"/>
      <c r="IK50" s="395"/>
      <c r="IL50" s="395"/>
      <c r="IM50" s="395"/>
      <c r="IN50" s="395"/>
      <c r="IO50" s="395"/>
      <c r="IP50" s="395"/>
      <c r="IQ50" s="395"/>
      <c r="IR50" s="395"/>
      <c r="IS50" s="395"/>
      <c r="IT50" s="395"/>
      <c r="IU50" s="395"/>
      <c r="IV50" s="395"/>
      <c r="IW50" s="395"/>
    </row>
    <row r="51" customFormat="false" ht="12.75" hidden="false" customHeight="false" outlineLevel="0" collapsed="false">
      <c r="A51" s="327" t="s">
        <v>294</v>
      </c>
      <c r="C51" s="659" t="n">
        <f aca="false">Assumptions!$Q$44</f>
        <v>0.045</v>
      </c>
      <c r="D51" s="659"/>
      <c r="E51" s="115" t="n">
        <f aca="false">E49*-$C$51</f>
        <v>-0</v>
      </c>
      <c r="F51" s="115" t="n">
        <f aca="false">F49*-$C$51</f>
        <v>56.6971716416968</v>
      </c>
      <c r="G51" s="115" t="n">
        <f aca="false">G49*-$C$51</f>
        <v>-88.2000738768367</v>
      </c>
      <c r="H51" s="417" t="n">
        <f aca="false">H49*-$C$51</f>
        <v>-97.5686644064633</v>
      </c>
      <c r="I51" s="115" t="n">
        <f aca="false">I49*-$C$51</f>
        <v>-677.592978519579</v>
      </c>
      <c r="J51" s="115" t="n">
        <f aca="false">J49*-$C$51</f>
        <v>-719.676520256211</v>
      </c>
      <c r="K51" s="115" t="n">
        <f aca="false">K49*-$C$51</f>
        <v>-779.324304192552</v>
      </c>
      <c r="L51" s="115" t="n">
        <f aca="false">L49*-$C$51</f>
        <v>-812.827432390003</v>
      </c>
      <c r="M51" s="115" t="n">
        <f aca="false">M49*-$C$51</f>
        <v>-848.313826858531</v>
      </c>
      <c r="N51" s="115" t="n">
        <f aca="false">N49*-$C$51</f>
        <v>-888.546883184685</v>
      </c>
      <c r="O51" s="115" t="n">
        <f aca="false">O49*-$C$51</f>
        <v>-936.945003971525</v>
      </c>
      <c r="P51" s="115" t="n">
        <f aca="false">P49*-$C$51</f>
        <v>-982.638953667893</v>
      </c>
      <c r="Q51" s="115" t="n">
        <f aca="false">Q49*-$C$51</f>
        <v>-1019.05975464124</v>
      </c>
      <c r="R51" s="115" t="n">
        <f aca="false">R49*-$C$51</f>
        <v>-1064.57579519326</v>
      </c>
      <c r="S51" s="115" t="n">
        <f aca="false">S49*-$C$51</f>
        <v>-1078.22861673356</v>
      </c>
      <c r="T51" s="115" t="n">
        <f aca="false">T49*-$C$51</f>
        <v>-1126.37449148202</v>
      </c>
      <c r="U51" s="115" t="n">
        <f aca="false">U49*-$C$51</f>
        <v>-1176.61992120259</v>
      </c>
      <c r="V51" s="115" t="n">
        <f aca="false">V49*-$C$51</f>
        <v>-1228.25332434879</v>
      </c>
      <c r="W51" s="115" t="n">
        <f aca="false">W49*-$C$51</f>
        <v>-1278.73775497037</v>
      </c>
      <c r="X51" s="115" t="n">
        <f aca="false">X49*-$C$51</f>
        <v>-1325.63756938123</v>
      </c>
      <c r="Y51" s="115" t="n">
        <f aca="false">Y49*-$C$51</f>
        <v>-1326.2911071647</v>
      </c>
      <c r="Z51" s="115" t="n">
        <f aca="false">Z49*-$C$51</f>
        <v>-1390.1441374653</v>
      </c>
    </row>
    <row r="52" customFormat="false" ht="12.75" hidden="false" customHeight="false" outlineLevel="0" collapsed="false">
      <c r="A52" s="327" t="s">
        <v>295</v>
      </c>
      <c r="C52" s="659" t="n">
        <f aca="false">Assumptions!$Q$43</f>
        <v>0.35</v>
      </c>
      <c r="D52" s="659"/>
      <c r="E52" s="660" t="n">
        <v>0</v>
      </c>
      <c r="F52" s="660" t="n">
        <f aca="false">(F49+F51)*-$C$52</f>
        <v>421.133991583048</v>
      </c>
      <c r="G52" s="660" t="n">
        <f aca="false">(G49+G51)*-$C$52</f>
        <v>-655.130548740726</v>
      </c>
      <c r="H52" s="660" t="n">
        <f aca="false">(H49+H51)*-$C$52</f>
        <v>-724.718357285786</v>
      </c>
      <c r="I52" s="660" t="n">
        <f aca="false">(I49+I51)*-$C$52</f>
        <v>-5033.01006822599</v>
      </c>
      <c r="J52" s="660" t="n">
        <f aca="false">(J49+J51)*-$C$52</f>
        <v>-5345.59726434752</v>
      </c>
      <c r="K52" s="660" t="n">
        <f aca="false">(K49+K51)*-$C$52</f>
        <v>-5788.64774836357</v>
      </c>
      <c r="L52" s="660" t="n">
        <f aca="false">(L49+L51)*-$C$52</f>
        <v>-6037.50153947464</v>
      </c>
      <c r="M52" s="660" t="n">
        <f aca="false">(M49+M51)*-$C$52</f>
        <v>-6301.08659172142</v>
      </c>
      <c r="N52" s="660" t="n">
        <f aca="false">(N49+N51)*-$C$52</f>
        <v>-6599.92879343291</v>
      </c>
      <c r="O52" s="660" t="n">
        <f aca="false">(O49+O51)*-$C$52</f>
        <v>-6959.4192794996</v>
      </c>
      <c r="P52" s="660" t="n">
        <f aca="false">(P49+P51)*-$C$52</f>
        <v>-7298.82378363318</v>
      </c>
      <c r="Q52" s="660" t="n">
        <f aca="false">(Q49+Q51)*-$C$52</f>
        <v>-7569.34939975186</v>
      </c>
      <c r="R52" s="660" t="n">
        <f aca="false">(R49+R51)*-$C$52</f>
        <v>-7907.4324342966</v>
      </c>
      <c r="S52" s="660" t="n">
        <f aca="false">(S49+S51)*-$C$52</f>
        <v>-8008.84255873759</v>
      </c>
      <c r="T52" s="660" t="n">
        <f aca="false">(T49+T51)*-$C$52</f>
        <v>-8366.45941728586</v>
      </c>
      <c r="U52" s="660" t="n">
        <f aca="false">(U49+U51)*-$C$52</f>
        <v>-8739.6713035992</v>
      </c>
      <c r="V52" s="660" t="n">
        <f aca="false">(V49+V51)*-$C$52</f>
        <v>-9123.1927480796</v>
      </c>
      <c r="W52" s="660" t="n">
        <f aca="false">(W49+W51)*-$C$52</f>
        <v>-9498.17987997434</v>
      </c>
      <c r="X52" s="660" t="n">
        <f aca="false">(X49+X51)*-$C$52</f>
        <v>-9846.54127923722</v>
      </c>
      <c r="Y52" s="660" t="n">
        <f aca="false">(Y49+Y51)*-$C$52</f>
        <v>-9851.39561266223</v>
      </c>
      <c r="Z52" s="660" t="n">
        <f aca="false">(Z49+Z51)*-$C$52</f>
        <v>-10325.6817321728</v>
      </c>
    </row>
    <row r="53" customFormat="false" ht="6" hidden="false" customHeight="true" outlineLevel="0" collapsed="false">
      <c r="E53" s="115"/>
      <c r="F53" s="115"/>
      <c r="G53" s="115"/>
      <c r="H53" s="417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</row>
    <row r="54" customFormat="false" ht="15.75" hidden="false" customHeight="false" outlineLevel="0" collapsed="false">
      <c r="A54" s="344" t="s">
        <v>477</v>
      </c>
      <c r="B54" s="344"/>
      <c r="C54" s="344"/>
      <c r="D54" s="344"/>
      <c r="E54" s="661" t="n">
        <f aca="false">SUM(E49:E52)</f>
        <v>0</v>
      </c>
      <c r="F54" s="661" t="n">
        <f aca="false">SUM(F49:F52)</f>
        <v>-782.105984368517</v>
      </c>
      <c r="G54" s="661" t="n">
        <f aca="false">SUM(G49:G52)</f>
        <v>1216.67101908992</v>
      </c>
      <c r="H54" s="661" t="n">
        <f aca="false">SUM(H49:H52)</f>
        <v>1345.9055206736</v>
      </c>
      <c r="I54" s="661" t="n">
        <f aca="false">SUM(I49:I52)</f>
        <v>9347.01869813398</v>
      </c>
      <c r="J54" s="661" t="n">
        <f aca="false">SUM(J49:J52)</f>
        <v>9927.53777664539</v>
      </c>
      <c r="K54" s="661" t="n">
        <f aca="false">SUM(K49:K52)</f>
        <v>10750.3458183895</v>
      </c>
      <c r="L54" s="661" t="n">
        <f aca="false">SUM(L49:L52)</f>
        <v>11212.5028590243</v>
      </c>
      <c r="M54" s="661" t="n">
        <f aca="false">SUM(M49:M52)</f>
        <v>11702.0179560541</v>
      </c>
      <c r="N54" s="661" t="n">
        <f aca="false">SUM(N49:N52)</f>
        <v>12257.0106163754</v>
      </c>
      <c r="O54" s="661" t="n">
        <f aca="false">SUM(O49:O52)</f>
        <v>12924.635804785</v>
      </c>
      <c r="P54" s="661" t="n">
        <f aca="false">SUM(P49:P52)</f>
        <v>13554.9584553188</v>
      </c>
      <c r="Q54" s="661" t="n">
        <f aca="false">SUM(Q49:Q52)</f>
        <v>14057.3631709677</v>
      </c>
      <c r="R54" s="661" t="n">
        <f aca="false">SUM(R49:R52)</f>
        <v>14685.2316636937</v>
      </c>
      <c r="S54" s="661" t="n">
        <f aca="false">SUM(S49:S52)</f>
        <v>14873.5647519412</v>
      </c>
      <c r="T54" s="661" t="n">
        <f aca="false">SUM(T49:T52)</f>
        <v>15537.710346388</v>
      </c>
      <c r="U54" s="661" t="n">
        <f aca="false">SUM(U49:U52)</f>
        <v>16230.8181352557</v>
      </c>
      <c r="V54" s="661" t="n">
        <f aca="false">SUM(V49:V52)</f>
        <v>16943.0722464336</v>
      </c>
      <c r="W54" s="661" t="n">
        <f aca="false">SUM(W49:W52)</f>
        <v>17639.4769199523</v>
      </c>
      <c r="X54" s="661" t="n">
        <f aca="false">SUM(X49:X52)</f>
        <v>18286.4338042977</v>
      </c>
      <c r="Y54" s="661" t="n">
        <f aca="false">SUM(Y49:Y52)</f>
        <v>18295.4489949442</v>
      </c>
      <c r="Z54" s="661" t="n">
        <f aca="false">SUM(Z49:Z52)</f>
        <v>19176.2660740353</v>
      </c>
      <c r="AA54" s="662"/>
      <c r="AB54" s="662"/>
      <c r="AC54" s="662"/>
      <c r="AD54" s="662"/>
      <c r="AE54" s="662"/>
      <c r="AF54" s="662"/>
      <c r="AG54" s="662"/>
      <c r="AH54" s="662"/>
      <c r="AI54" s="662"/>
      <c r="AJ54" s="662"/>
      <c r="AK54" s="662"/>
      <c r="AL54" s="662"/>
      <c r="AM54" s="662"/>
      <c r="AN54" s="662"/>
      <c r="AO54" s="662"/>
      <c r="AP54" s="662"/>
      <c r="AQ54" s="662"/>
      <c r="AR54" s="662"/>
      <c r="AS54" s="662"/>
      <c r="AT54" s="662"/>
      <c r="AU54" s="662"/>
      <c r="AV54" s="662"/>
      <c r="AW54" s="662"/>
      <c r="AX54" s="662"/>
      <c r="AY54" s="662"/>
      <c r="AZ54" s="662"/>
      <c r="BA54" s="662"/>
      <c r="BB54" s="662"/>
      <c r="BC54" s="662"/>
      <c r="BD54" s="662"/>
      <c r="BE54" s="662"/>
      <c r="BF54" s="662"/>
      <c r="BG54" s="662"/>
      <c r="BH54" s="662"/>
      <c r="BI54" s="662"/>
      <c r="BJ54" s="662"/>
      <c r="BK54" s="662"/>
      <c r="BL54" s="662"/>
      <c r="BM54" s="662"/>
      <c r="BN54" s="662"/>
      <c r="BO54" s="662"/>
      <c r="BP54" s="662"/>
      <c r="BQ54" s="662"/>
      <c r="BR54" s="662"/>
      <c r="BS54" s="662"/>
      <c r="BT54" s="662"/>
      <c r="BU54" s="662"/>
      <c r="BV54" s="662"/>
      <c r="BW54" s="662"/>
      <c r="BX54" s="662"/>
      <c r="BY54" s="662"/>
      <c r="BZ54" s="662"/>
      <c r="CA54" s="662"/>
      <c r="CB54" s="662"/>
      <c r="CC54" s="662"/>
      <c r="CD54" s="662"/>
      <c r="CE54" s="662"/>
      <c r="CF54" s="662"/>
      <c r="CG54" s="662"/>
      <c r="CH54" s="662"/>
      <c r="CI54" s="662"/>
      <c r="CJ54" s="662"/>
      <c r="CK54" s="662"/>
      <c r="CL54" s="662"/>
      <c r="CM54" s="662"/>
      <c r="CN54" s="662"/>
      <c r="CO54" s="662"/>
      <c r="CP54" s="662"/>
      <c r="CQ54" s="662"/>
      <c r="CR54" s="662"/>
      <c r="CS54" s="662"/>
      <c r="CT54" s="662"/>
      <c r="CU54" s="662"/>
      <c r="CV54" s="662"/>
      <c r="CW54" s="662"/>
      <c r="CX54" s="662"/>
      <c r="CY54" s="662"/>
      <c r="CZ54" s="662"/>
      <c r="DA54" s="662"/>
      <c r="DB54" s="662"/>
      <c r="DC54" s="662"/>
      <c r="DD54" s="662"/>
      <c r="DE54" s="662"/>
      <c r="DF54" s="662"/>
      <c r="DG54" s="662"/>
      <c r="DH54" s="662"/>
      <c r="DI54" s="662"/>
      <c r="DJ54" s="662"/>
      <c r="DK54" s="662"/>
      <c r="DL54" s="662"/>
      <c r="DM54" s="662"/>
      <c r="DN54" s="662"/>
      <c r="DO54" s="662"/>
      <c r="DP54" s="662"/>
      <c r="DQ54" s="662"/>
      <c r="DR54" s="662"/>
      <c r="DS54" s="662"/>
      <c r="DT54" s="662"/>
      <c r="DU54" s="662"/>
      <c r="DV54" s="662"/>
      <c r="DW54" s="662"/>
      <c r="DX54" s="662"/>
      <c r="DY54" s="662"/>
      <c r="DZ54" s="662"/>
      <c r="EA54" s="662"/>
      <c r="EB54" s="662"/>
      <c r="EC54" s="662"/>
      <c r="ED54" s="662"/>
      <c r="EE54" s="662"/>
      <c r="EF54" s="662"/>
      <c r="EG54" s="662"/>
      <c r="EH54" s="662"/>
      <c r="EI54" s="662"/>
      <c r="EJ54" s="662"/>
      <c r="EK54" s="662"/>
      <c r="EL54" s="662"/>
      <c r="EM54" s="662"/>
      <c r="EN54" s="662"/>
      <c r="EO54" s="662"/>
      <c r="EP54" s="662"/>
      <c r="EQ54" s="662"/>
      <c r="ER54" s="662"/>
      <c r="ES54" s="662"/>
      <c r="ET54" s="662"/>
      <c r="EU54" s="662"/>
      <c r="EV54" s="662"/>
      <c r="EW54" s="662"/>
      <c r="EX54" s="662"/>
      <c r="EY54" s="662"/>
      <c r="EZ54" s="662"/>
      <c r="FA54" s="662"/>
      <c r="FB54" s="662"/>
      <c r="FC54" s="662"/>
      <c r="FD54" s="662"/>
      <c r="FE54" s="662"/>
      <c r="FF54" s="662"/>
      <c r="FG54" s="662"/>
      <c r="FH54" s="662"/>
      <c r="FI54" s="662"/>
      <c r="FJ54" s="662"/>
      <c r="FK54" s="662"/>
      <c r="FL54" s="662"/>
      <c r="FM54" s="662"/>
      <c r="FN54" s="662"/>
      <c r="FO54" s="662"/>
      <c r="FP54" s="662"/>
      <c r="FQ54" s="662"/>
      <c r="FR54" s="662"/>
      <c r="FS54" s="662"/>
      <c r="FT54" s="662"/>
      <c r="FU54" s="662"/>
      <c r="FV54" s="662"/>
      <c r="FW54" s="662"/>
      <c r="FX54" s="662"/>
      <c r="FY54" s="662"/>
      <c r="FZ54" s="662"/>
      <c r="GA54" s="662"/>
      <c r="GB54" s="662"/>
      <c r="GC54" s="662"/>
      <c r="GD54" s="662"/>
      <c r="GE54" s="662"/>
      <c r="GF54" s="662"/>
      <c r="GG54" s="662"/>
      <c r="GH54" s="662"/>
      <c r="GI54" s="662"/>
      <c r="GJ54" s="662"/>
      <c r="GK54" s="662"/>
      <c r="GL54" s="662"/>
      <c r="GM54" s="662"/>
      <c r="GN54" s="662"/>
      <c r="GO54" s="662"/>
      <c r="GP54" s="662"/>
      <c r="GQ54" s="662"/>
      <c r="GR54" s="662"/>
      <c r="GS54" s="662"/>
      <c r="GT54" s="662"/>
      <c r="GU54" s="662"/>
      <c r="GV54" s="662"/>
      <c r="GW54" s="662"/>
      <c r="GX54" s="662"/>
      <c r="GY54" s="662"/>
      <c r="GZ54" s="662"/>
      <c r="HA54" s="662"/>
      <c r="HB54" s="662"/>
      <c r="HC54" s="662"/>
      <c r="HD54" s="662"/>
      <c r="HE54" s="662"/>
      <c r="HF54" s="662"/>
      <c r="HG54" s="662"/>
      <c r="HH54" s="662"/>
      <c r="HI54" s="662"/>
      <c r="HJ54" s="662"/>
      <c r="HK54" s="662"/>
      <c r="HL54" s="662"/>
      <c r="HM54" s="662"/>
      <c r="HN54" s="662"/>
      <c r="HO54" s="662"/>
      <c r="HP54" s="662"/>
      <c r="HQ54" s="662"/>
      <c r="HR54" s="662"/>
      <c r="HS54" s="662"/>
      <c r="HT54" s="662"/>
      <c r="HU54" s="662"/>
      <c r="HV54" s="662"/>
      <c r="HW54" s="662"/>
      <c r="HX54" s="662"/>
      <c r="HY54" s="662"/>
      <c r="HZ54" s="662"/>
      <c r="IA54" s="662"/>
      <c r="IB54" s="662"/>
      <c r="IC54" s="662"/>
      <c r="ID54" s="662"/>
      <c r="IE54" s="662"/>
      <c r="IF54" s="662"/>
      <c r="IG54" s="662"/>
      <c r="IH54" s="662"/>
      <c r="II54" s="662"/>
      <c r="IJ54" s="662"/>
      <c r="IK54" s="662"/>
      <c r="IL54" s="662"/>
      <c r="IM54" s="662"/>
      <c r="IN54" s="662"/>
      <c r="IO54" s="662"/>
      <c r="IP54" s="662"/>
      <c r="IQ54" s="662"/>
      <c r="IR54" s="662"/>
      <c r="IS54" s="662"/>
      <c r="IT54" s="662"/>
      <c r="IU54" s="662"/>
      <c r="IV54" s="662"/>
      <c r="IW54" s="662"/>
    </row>
    <row r="55" customFormat="false" ht="9" hidden="false" customHeight="false" outlineLevel="1" collapsed="false">
      <c r="A55" s="331"/>
      <c r="B55" s="654" t="n">
        <f aca="false">SUM(I55:Z55)</f>
        <v>0</v>
      </c>
      <c r="C55" s="654"/>
      <c r="D55" s="654"/>
      <c r="E55" s="331"/>
      <c r="F55" s="663"/>
      <c r="G55" s="663"/>
      <c r="H55" s="663"/>
      <c r="I55" s="663"/>
      <c r="J55" s="663"/>
      <c r="K55" s="663"/>
      <c r="L55" s="663"/>
      <c r="M55" s="663"/>
      <c r="N55" s="663"/>
      <c r="O55" s="663"/>
      <c r="P55" s="663"/>
      <c r="Q55" s="663"/>
      <c r="R55" s="663"/>
      <c r="S55" s="663"/>
      <c r="T55" s="663"/>
      <c r="U55" s="663"/>
      <c r="V55" s="663"/>
      <c r="W55" s="663"/>
      <c r="X55" s="663"/>
      <c r="Y55" s="663"/>
      <c r="Z55" s="663"/>
      <c r="AA55" s="653"/>
      <c r="AB55" s="653"/>
      <c r="AC55" s="653"/>
      <c r="AD55" s="653"/>
      <c r="AE55" s="653"/>
      <c r="AF55" s="653"/>
      <c r="AG55" s="653"/>
      <c r="AH55" s="653"/>
      <c r="AI55" s="653"/>
      <c r="AJ55" s="653"/>
      <c r="AK55" s="653"/>
      <c r="AL55" s="653"/>
      <c r="AM55" s="653"/>
      <c r="AN55" s="653"/>
      <c r="AO55" s="653"/>
      <c r="AP55" s="653"/>
      <c r="AQ55" s="653"/>
      <c r="AR55" s="653"/>
      <c r="AS55" s="653"/>
      <c r="AT55" s="653"/>
      <c r="AU55" s="653"/>
      <c r="AV55" s="653"/>
      <c r="AW55" s="653"/>
      <c r="AX55" s="653"/>
      <c r="AY55" s="653"/>
      <c r="AZ55" s="653"/>
      <c r="BA55" s="653"/>
      <c r="BB55" s="653"/>
      <c r="BC55" s="653"/>
      <c r="BD55" s="653"/>
      <c r="BE55" s="653"/>
      <c r="BF55" s="653"/>
      <c r="BG55" s="653"/>
      <c r="BH55" s="653"/>
      <c r="BI55" s="653"/>
      <c r="BJ55" s="653"/>
      <c r="BK55" s="653"/>
      <c r="BL55" s="653"/>
      <c r="BM55" s="653"/>
      <c r="BN55" s="653"/>
      <c r="BO55" s="653"/>
      <c r="BP55" s="653"/>
      <c r="BQ55" s="653"/>
      <c r="BR55" s="653"/>
      <c r="BS55" s="653"/>
      <c r="BT55" s="653"/>
      <c r="BU55" s="653"/>
      <c r="BV55" s="653"/>
      <c r="BW55" s="653"/>
      <c r="BX55" s="653"/>
      <c r="BY55" s="653"/>
      <c r="BZ55" s="653"/>
      <c r="CA55" s="653"/>
      <c r="CB55" s="653"/>
      <c r="CC55" s="653"/>
      <c r="CD55" s="653"/>
      <c r="CE55" s="653"/>
      <c r="CF55" s="653"/>
      <c r="CG55" s="653"/>
      <c r="CH55" s="653"/>
      <c r="CI55" s="653"/>
      <c r="CJ55" s="653"/>
      <c r="CK55" s="653"/>
      <c r="CL55" s="653"/>
      <c r="CM55" s="653"/>
      <c r="CN55" s="653"/>
      <c r="CO55" s="653"/>
      <c r="CP55" s="653"/>
      <c r="CQ55" s="653"/>
      <c r="CR55" s="653"/>
      <c r="CS55" s="653"/>
      <c r="CT55" s="653"/>
      <c r="CU55" s="653"/>
      <c r="CV55" s="653"/>
      <c r="CW55" s="653"/>
      <c r="CX55" s="653"/>
      <c r="CY55" s="653"/>
      <c r="CZ55" s="653"/>
      <c r="DA55" s="653"/>
      <c r="DB55" s="653"/>
      <c r="DC55" s="653"/>
      <c r="DD55" s="653"/>
      <c r="DE55" s="653"/>
      <c r="DF55" s="653"/>
      <c r="DG55" s="653"/>
      <c r="DH55" s="653"/>
      <c r="DI55" s="653"/>
      <c r="DJ55" s="653"/>
      <c r="DK55" s="653"/>
      <c r="DL55" s="653"/>
      <c r="DM55" s="653"/>
      <c r="DN55" s="653"/>
      <c r="DO55" s="653"/>
      <c r="DP55" s="653"/>
      <c r="DQ55" s="653"/>
      <c r="DR55" s="653"/>
      <c r="DS55" s="653"/>
      <c r="DT55" s="653"/>
      <c r="DU55" s="653"/>
      <c r="DV55" s="653"/>
      <c r="DW55" s="653"/>
      <c r="DX55" s="653"/>
      <c r="DY55" s="653"/>
      <c r="DZ55" s="653"/>
      <c r="EA55" s="653"/>
      <c r="EB55" s="653"/>
      <c r="EC55" s="653"/>
      <c r="ED55" s="653"/>
      <c r="EE55" s="653"/>
      <c r="EF55" s="653"/>
      <c r="EG55" s="653"/>
      <c r="EH55" s="653"/>
      <c r="EI55" s="653"/>
      <c r="EJ55" s="653"/>
      <c r="EK55" s="653"/>
      <c r="EL55" s="653"/>
      <c r="EM55" s="653"/>
      <c r="EN55" s="653"/>
      <c r="EO55" s="653"/>
      <c r="EP55" s="653"/>
      <c r="EQ55" s="653"/>
      <c r="ER55" s="653"/>
      <c r="ES55" s="653"/>
      <c r="ET55" s="653"/>
      <c r="EU55" s="653"/>
      <c r="EV55" s="653"/>
      <c r="EW55" s="653"/>
      <c r="EX55" s="653"/>
      <c r="EY55" s="653"/>
      <c r="EZ55" s="653"/>
      <c r="FA55" s="653"/>
      <c r="FB55" s="653"/>
      <c r="FC55" s="653"/>
      <c r="FD55" s="653"/>
      <c r="FE55" s="653"/>
      <c r="FF55" s="653"/>
      <c r="FG55" s="653"/>
      <c r="FH55" s="653"/>
      <c r="FI55" s="653"/>
      <c r="FJ55" s="653"/>
      <c r="FK55" s="653"/>
      <c r="FL55" s="653"/>
      <c r="FM55" s="653"/>
      <c r="FN55" s="653"/>
      <c r="FO55" s="653"/>
      <c r="FP55" s="653"/>
      <c r="FQ55" s="653"/>
      <c r="FR55" s="653"/>
      <c r="FS55" s="653"/>
      <c r="FT55" s="653"/>
      <c r="FU55" s="653"/>
      <c r="FV55" s="653"/>
      <c r="FW55" s="653"/>
      <c r="FX55" s="653"/>
      <c r="FY55" s="653"/>
      <c r="FZ55" s="653"/>
      <c r="GA55" s="653"/>
      <c r="GB55" s="653"/>
      <c r="GC55" s="653"/>
      <c r="GD55" s="653"/>
      <c r="GE55" s="653"/>
      <c r="GF55" s="653"/>
      <c r="GG55" s="653"/>
      <c r="GH55" s="653"/>
      <c r="GI55" s="653"/>
      <c r="GJ55" s="653"/>
      <c r="GK55" s="653"/>
      <c r="GL55" s="653"/>
      <c r="GM55" s="653"/>
      <c r="GN55" s="653"/>
      <c r="GO55" s="653"/>
      <c r="GP55" s="653"/>
      <c r="GQ55" s="653"/>
      <c r="GR55" s="653"/>
      <c r="GS55" s="653"/>
      <c r="GT55" s="653"/>
      <c r="GU55" s="653"/>
      <c r="GV55" s="653"/>
      <c r="GW55" s="653"/>
      <c r="GX55" s="653"/>
      <c r="GY55" s="653"/>
      <c r="GZ55" s="653"/>
      <c r="HA55" s="653"/>
      <c r="HB55" s="653"/>
      <c r="HC55" s="653"/>
      <c r="HD55" s="653"/>
      <c r="HE55" s="653"/>
      <c r="HF55" s="653"/>
      <c r="HG55" s="653"/>
      <c r="HH55" s="653"/>
      <c r="HI55" s="653"/>
      <c r="HJ55" s="653"/>
      <c r="HK55" s="653"/>
      <c r="HL55" s="653"/>
      <c r="HM55" s="653"/>
      <c r="HN55" s="653"/>
      <c r="HO55" s="653"/>
      <c r="HP55" s="653"/>
      <c r="HQ55" s="653"/>
      <c r="HR55" s="653"/>
      <c r="HS55" s="653"/>
      <c r="HT55" s="653"/>
      <c r="HU55" s="653"/>
      <c r="HV55" s="653"/>
      <c r="HW55" s="653"/>
      <c r="HX55" s="653"/>
      <c r="HY55" s="653"/>
      <c r="HZ55" s="653"/>
      <c r="IA55" s="653"/>
      <c r="IB55" s="653"/>
      <c r="IC55" s="653"/>
      <c r="ID55" s="653"/>
      <c r="IE55" s="653"/>
      <c r="IF55" s="653"/>
      <c r="IG55" s="653"/>
      <c r="IH55" s="653"/>
      <c r="II55" s="653"/>
      <c r="IJ55" s="653"/>
      <c r="IK55" s="653"/>
      <c r="IL55" s="653"/>
      <c r="IM55" s="653"/>
      <c r="IN55" s="653"/>
      <c r="IO55" s="653"/>
      <c r="IP55" s="653"/>
      <c r="IQ55" s="653"/>
      <c r="IR55" s="653"/>
      <c r="IS55" s="653"/>
      <c r="IT55" s="653"/>
      <c r="IU55" s="653"/>
      <c r="IV55" s="653"/>
      <c r="IW55" s="653"/>
    </row>
    <row r="56" customFormat="false" ht="12.75" hidden="false" customHeight="false" outlineLevel="0" collapsed="false">
      <c r="A56" s="323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</row>
    <row r="57" customFormat="false" ht="12.75" hidden="false" customHeight="false" outlineLevel="1" collapsed="false">
      <c r="A57" s="367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</row>
    <row r="58" customFormat="false" ht="18.75" hidden="false" customHeight="false" outlineLevel="1" collapsed="false">
      <c r="A58" s="356" t="s">
        <v>478</v>
      </c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</row>
    <row r="59" customFormat="false" ht="12.75" hidden="false" customHeight="false" outlineLevel="1" collapsed="false">
      <c r="A59" s="323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</row>
    <row r="60" customFormat="false" ht="12.75" hidden="false" customHeight="true" outlineLevel="1" collapsed="false">
      <c r="A60" s="323" t="s">
        <v>460</v>
      </c>
      <c r="B60" s="664"/>
      <c r="C60" s="733" t="n">
        <f aca="false">Assumptions!B13</f>
        <v>0.5</v>
      </c>
      <c r="D60" s="733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</row>
    <row r="61" customFormat="false" ht="12.75" hidden="false" customHeight="true" outlineLevel="1" collapsed="false">
      <c r="A61" s="323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</row>
    <row r="62" customFormat="false" ht="13.5" hidden="false" customHeight="false" outlineLevel="1" collapsed="false">
      <c r="A62" s="319" t="s">
        <v>269</v>
      </c>
      <c r="B62" s="359"/>
      <c r="C62" s="359"/>
      <c r="D62" s="359"/>
      <c r="E62" s="320" t="n">
        <v>1999</v>
      </c>
      <c r="F62" s="320" t="n">
        <f aca="false">E62+1</f>
        <v>2000</v>
      </c>
      <c r="G62" s="320" t="n">
        <f aca="false">F62+1</f>
        <v>2001</v>
      </c>
      <c r="H62" s="320" t="n">
        <f aca="false">G62+1</f>
        <v>2002</v>
      </c>
      <c r="I62" s="320" t="n">
        <f aca="false">H62+1</f>
        <v>2003</v>
      </c>
      <c r="J62" s="320" t="n">
        <f aca="false">I62+1</f>
        <v>2004</v>
      </c>
      <c r="K62" s="320" t="n">
        <f aca="false">J62+1</f>
        <v>2005</v>
      </c>
      <c r="L62" s="320" t="n">
        <f aca="false">K62+1</f>
        <v>2006</v>
      </c>
      <c r="M62" s="320" t="n">
        <f aca="false">L62+1</f>
        <v>2007</v>
      </c>
      <c r="N62" s="320" t="n">
        <f aca="false">M62+1</f>
        <v>2008</v>
      </c>
      <c r="O62" s="320" t="n">
        <f aca="false">N62+1</f>
        <v>2009</v>
      </c>
      <c r="P62" s="320" t="n">
        <f aca="false">O62+1</f>
        <v>2010</v>
      </c>
      <c r="Q62" s="320" t="n">
        <f aca="false">P62+1</f>
        <v>2011</v>
      </c>
      <c r="R62" s="320" t="n">
        <f aca="false">Q62+1</f>
        <v>2012</v>
      </c>
      <c r="S62" s="320" t="n">
        <f aca="false">R62+1</f>
        <v>2013</v>
      </c>
      <c r="T62" s="320" t="n">
        <f aca="false">S62+1</f>
        <v>2014</v>
      </c>
      <c r="U62" s="320" t="n">
        <f aca="false">T62+1</f>
        <v>2015</v>
      </c>
      <c r="V62" s="320" t="n">
        <f aca="false">U62+1</f>
        <v>2016</v>
      </c>
      <c r="W62" s="320" t="n">
        <f aca="false">V62+1</f>
        <v>2017</v>
      </c>
      <c r="X62" s="320" t="n">
        <f aca="false">W62+1</f>
        <v>2018</v>
      </c>
      <c r="Y62" s="320" t="n">
        <f aca="false">X62+1</f>
        <v>2019</v>
      </c>
      <c r="Z62" s="320" t="n">
        <f aca="false">Y62+1</f>
        <v>2020</v>
      </c>
    </row>
    <row r="63" customFormat="false" ht="12.75" hidden="false" customHeight="false" outlineLevel="1" collapsed="false">
      <c r="A63" s="366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</row>
    <row r="64" customFormat="false" ht="12.75" hidden="false" customHeight="false" outlineLevel="1" collapsed="false">
      <c r="A64" s="367" t="s">
        <v>289</v>
      </c>
      <c r="E64" s="102" t="n">
        <f aca="false">E39</f>
        <v>0</v>
      </c>
      <c r="F64" s="102" t="n">
        <f aca="false">F39</f>
        <v>9667.43365565914</v>
      </c>
      <c r="G64" s="102" t="n">
        <f aca="false">G39</f>
        <v>19784.8844810344</v>
      </c>
      <c r="H64" s="102" t="n">
        <f aca="false">H39</f>
        <v>19624.2391316159</v>
      </c>
      <c r="I64" s="102" t="n">
        <f aca="false">I39</f>
        <v>32150.8755890469</v>
      </c>
      <c r="J64" s="102" t="n">
        <f aca="false">J39</f>
        <v>32847.4237706825</v>
      </c>
      <c r="K64" s="102" t="n">
        <f aca="false">K39</f>
        <v>33771.0803123511</v>
      </c>
      <c r="L64" s="102" t="n">
        <f aca="false">L39</f>
        <v>34074.784718723</v>
      </c>
      <c r="M64" s="102" t="n">
        <f aca="false">M39</f>
        <v>34354.1065782244</v>
      </c>
      <c r="N64" s="102" t="n">
        <f aca="false">N39</f>
        <v>34665.2686869195</v>
      </c>
      <c r="O64" s="102" t="n">
        <f aca="false">O39</f>
        <v>35033.4127985691</v>
      </c>
      <c r="P64" s="102" t="n">
        <f aca="false">P39</f>
        <v>35423.99854343</v>
      </c>
      <c r="Q64" s="102" t="n">
        <f aca="false">Q39</f>
        <v>35633.37301319</v>
      </c>
      <c r="R64" s="102" t="n">
        <f aca="false">R39</f>
        <v>35982.0216106216</v>
      </c>
      <c r="S64" s="102" t="n">
        <f aca="false">S39</f>
        <v>35571.2985468015</v>
      </c>
      <c r="T64" s="102" t="n">
        <f aca="false">T39</f>
        <v>35878.5821601053</v>
      </c>
      <c r="U64" s="102" t="n">
        <f aca="false">U39</f>
        <v>36169.1698544658</v>
      </c>
      <c r="V64" s="102" t="n">
        <f aca="false">V39</f>
        <v>36456.2154078382</v>
      </c>
      <c r="W64" s="102" t="n">
        <f aca="false">W39</f>
        <v>36725.6003082323</v>
      </c>
      <c r="X64" s="102" t="n">
        <f aca="false">X39</f>
        <v>36988.7658971997</v>
      </c>
      <c r="Y64" s="102" t="n">
        <f aca="false">Y39</f>
        <v>36328.1879674442</v>
      </c>
      <c r="Z64" s="102" t="n">
        <f aca="false">Z39</f>
        <v>37360.0648961105</v>
      </c>
    </row>
    <row r="65" customFormat="false" ht="12.75" hidden="false" customHeight="false" outlineLevel="1" collapsed="false">
      <c r="A65" s="367" t="s">
        <v>461</v>
      </c>
      <c r="E65" s="102" t="n">
        <v>0</v>
      </c>
      <c r="F65" s="102" t="n">
        <v>0</v>
      </c>
      <c r="G65" s="102" t="n">
        <v>0</v>
      </c>
      <c r="H65" s="102" t="n">
        <v>0</v>
      </c>
      <c r="I65" s="102" t="n">
        <v>0</v>
      </c>
      <c r="J65" s="102" t="n">
        <v>0</v>
      </c>
      <c r="K65" s="102" t="n">
        <v>0</v>
      </c>
      <c r="L65" s="102" t="n">
        <v>0</v>
      </c>
      <c r="M65" s="102" t="n">
        <v>0</v>
      </c>
      <c r="N65" s="102" t="n">
        <v>0</v>
      </c>
      <c r="O65" s="102" t="n">
        <v>0</v>
      </c>
      <c r="P65" s="102" t="n">
        <v>0</v>
      </c>
      <c r="Q65" s="102" t="n">
        <v>0</v>
      </c>
      <c r="R65" s="102" t="n">
        <v>0</v>
      </c>
      <c r="S65" s="102" t="n">
        <v>0</v>
      </c>
      <c r="T65" s="102" t="n">
        <v>0</v>
      </c>
      <c r="U65" s="102" t="n">
        <v>0</v>
      </c>
      <c r="V65" s="102" t="n">
        <v>0</v>
      </c>
      <c r="W65" s="102" t="n">
        <v>0</v>
      </c>
      <c r="X65" s="102" t="n">
        <v>0</v>
      </c>
      <c r="Y65" s="102" t="n">
        <v>0</v>
      </c>
      <c r="Z65" s="102" t="n">
        <v>0</v>
      </c>
    </row>
    <row r="66" customFormat="false" ht="15" hidden="false" customHeight="false" outlineLevel="1" collapsed="false">
      <c r="A66" s="367" t="s">
        <v>338</v>
      </c>
      <c r="E66" s="666" t="n">
        <v>0</v>
      </c>
      <c r="F66" s="666" t="n">
        <f aca="false">Allocation!$I$14*(CF!$G$15+CF!$G$16-CF!$G$14)+CF!$G$14*Allocation!$K$14</f>
        <v>-5094.69098923632</v>
      </c>
      <c r="G66" s="666" t="n">
        <f aca="false">Allocation!$I$14*(CF!H16+CF!H15)</f>
        <v>-15564.6998175073</v>
      </c>
      <c r="H66" s="666" t="n">
        <f aca="false">Allocation!$I$14*(CF!I16+CF!I15)</f>
        <v>-15472.3051560217</v>
      </c>
      <c r="I66" s="666" t="n">
        <f aca="false">Allocation!$I$14*(CF!J16+CF!J15)</f>
        <v>-13754.9486268415</v>
      </c>
      <c r="J66" s="666" t="n">
        <f aca="false">Allocation!$I$14*(CF!K16+CF!K15)</f>
        <v>-13926.7625403773</v>
      </c>
      <c r="K66" s="666" t="n">
        <f aca="false">Allocation!$I$14*(CF!L16+CF!L15)</f>
        <v>-14174.4346052889</v>
      </c>
      <c r="L66" s="666" t="n">
        <f aca="false">Allocation!$I$14*(CF!M16+CF!M15)</f>
        <v>-14266.5660428473</v>
      </c>
      <c r="M66" s="666" t="n">
        <f aca="false">Allocation!$I$14*(CF!N16+CF!N15)</f>
        <v>-14590.0216572439</v>
      </c>
      <c r="N66" s="666" t="n">
        <f aca="false">Allocation!$I$14*(CF!O16+CF!O15)</f>
        <v>-14773.2185223291</v>
      </c>
      <c r="O66" s="666" t="n">
        <f aca="false">Allocation!$I$14*(CF!P16+CF!P15)</f>
        <v>-15071.486837653</v>
      </c>
      <c r="P66" s="666" t="n">
        <f aca="false">Allocation!$I$14*(CF!Q16+CF!Q15)</f>
        <v>-13139.6842724376</v>
      </c>
      <c r="Q66" s="666" t="n">
        <f aca="false">Allocation!$I$14*(CF!R16+CF!R15)</f>
        <v>-12553.2638836869</v>
      </c>
      <c r="R66" s="666" t="n">
        <f aca="false">Allocation!$I$14*(CF!S16+CF!S15)</f>
        <v>-12521.362877549</v>
      </c>
      <c r="S66" s="666" t="n">
        <f aca="false">Allocation!$I$14*(CF!T16+CF!T15)</f>
        <v>-12261.2713492439</v>
      </c>
      <c r="T66" s="666" t="n">
        <f aca="false">Allocation!$I$14*(CF!U16+CF!U15)</f>
        <v>-11999.2025696731</v>
      </c>
      <c r="U66" s="666" t="n">
        <f aca="false">Allocation!$I$14*(CF!V16+CF!V15)</f>
        <v>-11873.2186608013</v>
      </c>
      <c r="V66" s="666" t="n">
        <f aca="false">Allocation!$I$14*(CF!W16+CF!W15)</f>
        <v>-11178.6381302247</v>
      </c>
      <c r="W66" s="666" t="n">
        <f aca="false">Allocation!$I$14*(CF!X16+CF!X15)</f>
        <v>-10125.1766677626</v>
      </c>
      <c r="X66" s="666" t="n">
        <f aca="false">Allocation!$I$14*(CF!Y16+CF!Y15)</f>
        <v>-8345.04881622189</v>
      </c>
      <c r="Y66" s="666" t="n">
        <f aca="false">Allocation!$I$14*(CF!Z16+CF!Z15)</f>
        <v>-6611.24386490125</v>
      </c>
      <c r="Z66" s="666" t="n">
        <f aca="false">Allocation!$I$14*(CF!AA16+CF!AA15)</f>
        <v>-0</v>
      </c>
    </row>
    <row r="67" customFormat="false" ht="12.75" hidden="false" customHeight="false" outlineLevel="1" collapsed="false">
      <c r="A67" s="366" t="s">
        <v>308</v>
      </c>
      <c r="B67" s="323"/>
      <c r="C67" s="323"/>
      <c r="D67" s="323"/>
      <c r="E67" s="372" t="n">
        <f aca="false">SUM(E64:E66)</f>
        <v>0</v>
      </c>
      <c r="F67" s="372" t="n">
        <f aca="false">SUM(F64:F66)</f>
        <v>4572.74266642282</v>
      </c>
      <c r="G67" s="372" t="n">
        <f aca="false">SUM(G64:G66)</f>
        <v>4220.18466352713</v>
      </c>
      <c r="H67" s="372" t="n">
        <f aca="false">SUM(H64:H66)</f>
        <v>4151.93397559418</v>
      </c>
      <c r="I67" s="372" t="n">
        <f aca="false">SUM(I64:I66)</f>
        <v>18395.9269622053</v>
      </c>
      <c r="J67" s="372" t="n">
        <f aca="false">SUM(J64:J66)</f>
        <v>18920.6612303052</v>
      </c>
      <c r="K67" s="372" t="n">
        <f aca="false">SUM(K64:K66)</f>
        <v>19596.6457070622</v>
      </c>
      <c r="L67" s="372" t="n">
        <f aca="false">SUM(L64:L66)</f>
        <v>19808.2186758758</v>
      </c>
      <c r="M67" s="372" t="n">
        <f aca="false">SUM(M64:M66)</f>
        <v>19764.0849209805</v>
      </c>
      <c r="N67" s="372" t="n">
        <f aca="false">SUM(N64:N66)</f>
        <v>19892.0501645904</v>
      </c>
      <c r="O67" s="372" t="n">
        <f aca="false">SUM(O64:O66)</f>
        <v>19961.9259609161</v>
      </c>
      <c r="P67" s="372" t="n">
        <f aca="false">SUM(P64:P66)</f>
        <v>22284.3142709924</v>
      </c>
      <c r="Q67" s="372" t="n">
        <f aca="false">SUM(Q64:Q66)</f>
        <v>23080.1091295031</v>
      </c>
      <c r="R67" s="372" t="n">
        <f aca="false">SUM(R64:R66)</f>
        <v>23460.6587330726</v>
      </c>
      <c r="S67" s="372" t="n">
        <f aca="false">SUM(S64:S66)</f>
        <v>23310.0271975576</v>
      </c>
      <c r="T67" s="372" t="n">
        <f aca="false">SUM(T64:T66)</f>
        <v>23879.3795904322</v>
      </c>
      <c r="U67" s="372" t="n">
        <f aca="false">SUM(U64:U66)</f>
        <v>24295.9511936645</v>
      </c>
      <c r="V67" s="372" t="n">
        <f aca="false">SUM(V64:V66)</f>
        <v>25277.5772776135</v>
      </c>
      <c r="W67" s="372" t="n">
        <f aca="false">SUM(W64:W66)</f>
        <v>26600.4236404697</v>
      </c>
      <c r="X67" s="372" t="n">
        <f aca="false">SUM(X64:X66)</f>
        <v>28643.7170809778</v>
      </c>
      <c r="Y67" s="372" t="n">
        <f aca="false">SUM(Y64:Y66)</f>
        <v>29716.944102543</v>
      </c>
      <c r="Z67" s="372" t="n">
        <f aca="false">SUM(Z64:Z66)</f>
        <v>37360.0648961105</v>
      </c>
      <c r="AA67" s="395"/>
      <c r="AB67" s="395"/>
      <c r="AC67" s="395"/>
      <c r="AD67" s="395"/>
      <c r="AE67" s="395"/>
      <c r="AF67" s="395"/>
      <c r="AG67" s="395"/>
      <c r="AH67" s="395"/>
      <c r="AI67" s="395"/>
      <c r="AJ67" s="395"/>
      <c r="AK67" s="395"/>
      <c r="AL67" s="395"/>
      <c r="AM67" s="395"/>
      <c r="AN67" s="395"/>
      <c r="AO67" s="395"/>
      <c r="AP67" s="395"/>
      <c r="AQ67" s="395"/>
      <c r="AR67" s="395"/>
      <c r="AS67" s="395"/>
      <c r="AT67" s="395"/>
      <c r="AU67" s="395"/>
      <c r="AV67" s="395"/>
      <c r="AW67" s="395"/>
      <c r="AX67" s="395"/>
      <c r="AY67" s="395"/>
      <c r="AZ67" s="395"/>
      <c r="BA67" s="395"/>
      <c r="BB67" s="395"/>
      <c r="BC67" s="395"/>
      <c r="BD67" s="395"/>
      <c r="BE67" s="395"/>
      <c r="BF67" s="395"/>
      <c r="BG67" s="395"/>
      <c r="BH67" s="395"/>
      <c r="BI67" s="395"/>
      <c r="BJ67" s="395"/>
      <c r="BK67" s="395"/>
      <c r="BL67" s="395"/>
      <c r="BM67" s="395"/>
      <c r="BN67" s="395"/>
      <c r="BO67" s="395"/>
      <c r="BP67" s="395"/>
      <c r="BQ67" s="395"/>
      <c r="BR67" s="395"/>
      <c r="BS67" s="395"/>
      <c r="BT67" s="395"/>
      <c r="BU67" s="395"/>
      <c r="BV67" s="395"/>
      <c r="BW67" s="395"/>
      <c r="BX67" s="395"/>
      <c r="BY67" s="395"/>
      <c r="BZ67" s="395"/>
      <c r="CA67" s="395"/>
      <c r="CB67" s="395"/>
      <c r="CC67" s="395"/>
      <c r="CD67" s="395"/>
      <c r="CE67" s="395"/>
      <c r="CF67" s="395"/>
      <c r="CG67" s="395"/>
      <c r="CH67" s="395"/>
      <c r="CI67" s="395"/>
      <c r="CJ67" s="395"/>
      <c r="CK67" s="395"/>
      <c r="CL67" s="395"/>
      <c r="CM67" s="395"/>
      <c r="CN67" s="395"/>
      <c r="CO67" s="395"/>
      <c r="CP67" s="395"/>
      <c r="CQ67" s="395"/>
      <c r="CR67" s="395"/>
      <c r="CS67" s="395"/>
      <c r="CT67" s="395"/>
      <c r="CU67" s="395"/>
      <c r="CV67" s="395"/>
      <c r="CW67" s="395"/>
      <c r="CX67" s="395"/>
      <c r="CY67" s="395"/>
      <c r="CZ67" s="395"/>
      <c r="DA67" s="395"/>
      <c r="DB67" s="395"/>
      <c r="DC67" s="395"/>
      <c r="DD67" s="395"/>
      <c r="DE67" s="395"/>
      <c r="DF67" s="395"/>
      <c r="DG67" s="395"/>
      <c r="DH67" s="395"/>
      <c r="DI67" s="395"/>
      <c r="DJ67" s="395"/>
      <c r="DK67" s="395"/>
      <c r="DL67" s="395"/>
      <c r="DM67" s="395"/>
      <c r="DN67" s="395"/>
      <c r="DO67" s="395"/>
      <c r="DP67" s="395"/>
      <c r="DQ67" s="395"/>
      <c r="DR67" s="395"/>
      <c r="DS67" s="395"/>
      <c r="DT67" s="395"/>
      <c r="DU67" s="395"/>
      <c r="DV67" s="395"/>
      <c r="DW67" s="395"/>
      <c r="DX67" s="395"/>
      <c r="DY67" s="395"/>
      <c r="DZ67" s="395"/>
      <c r="EA67" s="395"/>
      <c r="EB67" s="395"/>
      <c r="EC67" s="395"/>
      <c r="ED67" s="395"/>
      <c r="EE67" s="395"/>
      <c r="EF67" s="395"/>
      <c r="EG67" s="395"/>
      <c r="EH67" s="395"/>
      <c r="EI67" s="395"/>
      <c r="EJ67" s="395"/>
      <c r="EK67" s="395"/>
      <c r="EL67" s="395"/>
      <c r="EM67" s="395"/>
      <c r="EN67" s="395"/>
      <c r="EO67" s="395"/>
      <c r="EP67" s="395"/>
      <c r="EQ67" s="395"/>
      <c r="ER67" s="395"/>
      <c r="ES67" s="395"/>
      <c r="ET67" s="395"/>
      <c r="EU67" s="395"/>
      <c r="EV67" s="395"/>
      <c r="EW67" s="395"/>
      <c r="EX67" s="395"/>
      <c r="EY67" s="395"/>
      <c r="EZ67" s="395"/>
      <c r="FA67" s="395"/>
      <c r="FB67" s="395"/>
      <c r="FC67" s="395"/>
      <c r="FD67" s="395"/>
      <c r="FE67" s="395"/>
      <c r="FF67" s="395"/>
      <c r="FG67" s="395"/>
      <c r="FH67" s="395"/>
      <c r="FI67" s="395"/>
      <c r="FJ67" s="395"/>
      <c r="FK67" s="395"/>
      <c r="FL67" s="395"/>
      <c r="FM67" s="395"/>
      <c r="FN67" s="395"/>
      <c r="FO67" s="395"/>
      <c r="FP67" s="395"/>
      <c r="FQ67" s="395"/>
      <c r="FR67" s="395"/>
      <c r="FS67" s="395"/>
      <c r="FT67" s="395"/>
      <c r="FU67" s="395"/>
      <c r="FV67" s="395"/>
      <c r="FW67" s="395"/>
      <c r="FX67" s="395"/>
      <c r="FY67" s="395"/>
      <c r="FZ67" s="395"/>
      <c r="GA67" s="395"/>
      <c r="GB67" s="395"/>
      <c r="GC67" s="395"/>
      <c r="GD67" s="395"/>
      <c r="GE67" s="395"/>
      <c r="GF67" s="395"/>
      <c r="GG67" s="395"/>
      <c r="GH67" s="395"/>
      <c r="GI67" s="395"/>
      <c r="GJ67" s="395"/>
      <c r="GK67" s="395"/>
      <c r="GL67" s="395"/>
      <c r="GM67" s="395"/>
      <c r="GN67" s="395"/>
      <c r="GO67" s="395"/>
      <c r="GP67" s="395"/>
      <c r="GQ67" s="395"/>
      <c r="GR67" s="395"/>
      <c r="GS67" s="395"/>
      <c r="GT67" s="395"/>
      <c r="GU67" s="395"/>
      <c r="GV67" s="395"/>
      <c r="GW67" s="395"/>
      <c r="GX67" s="395"/>
      <c r="GY67" s="395"/>
      <c r="GZ67" s="395"/>
      <c r="HA67" s="395"/>
      <c r="HB67" s="395"/>
      <c r="HC67" s="395"/>
      <c r="HD67" s="395"/>
      <c r="HE67" s="395"/>
      <c r="HF67" s="395"/>
      <c r="HG67" s="395"/>
      <c r="HH67" s="395"/>
      <c r="HI67" s="395"/>
      <c r="HJ67" s="395"/>
      <c r="HK67" s="395"/>
      <c r="HL67" s="395"/>
      <c r="HM67" s="395"/>
      <c r="HN67" s="395"/>
      <c r="HO67" s="395"/>
      <c r="HP67" s="395"/>
      <c r="HQ67" s="395"/>
      <c r="HR67" s="395"/>
      <c r="HS67" s="395"/>
      <c r="HT67" s="395"/>
      <c r="HU67" s="395"/>
      <c r="HV67" s="395"/>
      <c r="HW67" s="395"/>
      <c r="HX67" s="395"/>
      <c r="HY67" s="395"/>
      <c r="HZ67" s="395"/>
      <c r="IA67" s="395"/>
      <c r="IB67" s="395"/>
      <c r="IC67" s="395"/>
      <c r="ID67" s="395"/>
      <c r="IE67" s="395"/>
      <c r="IF67" s="395"/>
      <c r="IG67" s="395"/>
      <c r="IH67" s="395"/>
      <c r="II67" s="395"/>
      <c r="IJ67" s="395"/>
      <c r="IK67" s="395"/>
      <c r="IL67" s="395"/>
      <c r="IM67" s="395"/>
      <c r="IN67" s="395"/>
      <c r="IO67" s="395"/>
      <c r="IP67" s="395"/>
      <c r="IQ67" s="395"/>
      <c r="IR67" s="395"/>
      <c r="IS67" s="395"/>
      <c r="IT67" s="395"/>
      <c r="IU67" s="395"/>
      <c r="IV67" s="395"/>
      <c r="IW67" s="395"/>
    </row>
    <row r="68" customFormat="false" ht="12.75" hidden="false" customHeight="false" outlineLevel="1" collapsed="false">
      <c r="A68" s="366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2"/>
      <c r="Z68" s="102"/>
    </row>
    <row r="69" customFormat="false" ht="15" hidden="false" customHeight="false" outlineLevel="1" collapsed="false">
      <c r="A69" s="367" t="s">
        <v>462</v>
      </c>
      <c r="E69" s="666" t="n">
        <v>0</v>
      </c>
      <c r="F69" s="666" t="n">
        <f aca="false">Allocation!$I$14*CF!G24*7/12</f>
        <v>-0</v>
      </c>
      <c r="G69" s="666" t="n">
        <f aca="false">Allocation!$I$14*CF!H24</f>
        <v>-0</v>
      </c>
      <c r="H69" s="666" t="n">
        <f aca="false">Allocation!$I$14*CF!I24</f>
        <v>-0</v>
      </c>
      <c r="I69" s="666" t="n">
        <f aca="false">Allocation!$I$14*CF!J24</f>
        <v>-0</v>
      </c>
      <c r="J69" s="666" t="n">
        <f aca="false">Allocation!$I$14*CF!K24</f>
        <v>-0</v>
      </c>
      <c r="K69" s="666" t="n">
        <f aca="false">Allocation!$I$14*CF!L24</f>
        <v>-0</v>
      </c>
      <c r="L69" s="666" t="n">
        <f aca="false">Allocation!$I$14*CF!M24</f>
        <v>-649.91445036174</v>
      </c>
      <c r="M69" s="666" t="n">
        <f aca="false">Allocation!$I$14*CF!N24</f>
        <v>-735.261963801927</v>
      </c>
      <c r="N69" s="666" t="n">
        <f aca="false">Allocation!$I$14*CF!O24</f>
        <v>-791.905135945141</v>
      </c>
      <c r="O69" s="666" t="n">
        <f aca="false">Allocation!$I$14*CF!P24</f>
        <v>-880.921507484871</v>
      </c>
      <c r="P69" s="666" t="n">
        <f aca="false">Allocation!$I$14*CF!Q24</f>
        <v>-928.200649180385</v>
      </c>
      <c r="Q69" s="666" t="n">
        <f aca="false">Allocation!$I$14*CF!R24</f>
        <v>-1011.57416581608</v>
      </c>
      <c r="R69" s="666" t="n">
        <f aca="false">Allocation!$I$14*CF!S24</f>
        <v>-1074.27790982698</v>
      </c>
      <c r="S69" s="666" t="n">
        <f aca="false">Allocation!$I$14*CF!T24</f>
        <v>-1129.99177927981</v>
      </c>
      <c r="T69" s="666" t="n">
        <f aca="false">Allocation!$I$14*CF!U24</f>
        <v>-1194.15901817195</v>
      </c>
      <c r="U69" s="666" t="n">
        <f aca="false">Allocation!$I$14*CF!V24</f>
        <v>-1622.94512079019</v>
      </c>
      <c r="V69" s="666" t="n">
        <f aca="false">Allocation!$I$14*CF!W24</f>
        <v>-2053.82217910812</v>
      </c>
      <c r="W69" s="666" t="n">
        <f aca="false">Allocation!$I$14*CF!X24</f>
        <v>-2124.79975756998</v>
      </c>
      <c r="X69" s="666" t="n">
        <f aca="false">Allocation!$I$14*CF!Y24</f>
        <v>-2188.59356416735</v>
      </c>
      <c r="Y69" s="666" t="n">
        <f aca="false">Allocation!$I$14*CF!Z24</f>
        <v>-2222.51733850173</v>
      </c>
      <c r="Z69" s="666" t="n">
        <f aca="false">Allocation!$I$14*CF!AA24</f>
        <v>-2274.93063650537</v>
      </c>
    </row>
    <row r="70" customFormat="false" ht="15" hidden="false" customHeight="false" outlineLevel="1" collapsed="false">
      <c r="A70" s="367" t="s">
        <v>463</v>
      </c>
      <c r="E70" s="666" t="n">
        <v>0</v>
      </c>
      <c r="F70" s="666" t="n">
        <f aca="false">Allocation!$I$14*(-Tax!E39)*7/12</f>
        <v>782.613373579939</v>
      </c>
      <c r="G70" s="666" t="n">
        <f aca="false">Allocation!$I$14*CF!H25</f>
        <v>3538.57845869131</v>
      </c>
      <c r="H70" s="666" t="n">
        <f aca="false">Allocation!$I$14*CF!I25</f>
        <v>2775.45542799126</v>
      </c>
      <c r="I70" s="666" t="n">
        <f aca="false">Allocation!$I$14*CF!J25</f>
        <v>-1744.9440134346</v>
      </c>
      <c r="J70" s="666" t="n">
        <f aca="false">Allocation!$I$14*CF!K25</f>
        <v>-2508.23686929416</v>
      </c>
      <c r="K70" s="666" t="n">
        <f aca="false">Allocation!$I$14*CF!L25</f>
        <v>-3338.98085364744</v>
      </c>
      <c r="L70" s="666" t="n">
        <f aca="false">Allocation!$I$14*CF!M25</f>
        <v>-3565.37484827017</v>
      </c>
      <c r="M70" s="666" t="n">
        <f aca="false">Allocation!$I$14*CF!N25</f>
        <v>-3961.75065287202</v>
      </c>
      <c r="N70" s="666" t="n">
        <f aca="false">Allocation!$I$14*CF!O25</f>
        <v>-4266.95632821901</v>
      </c>
      <c r="O70" s="666" t="n">
        <f aca="false">Allocation!$I$14*CF!P25</f>
        <v>-4746.59581105077</v>
      </c>
      <c r="P70" s="666" t="n">
        <f aca="false">Allocation!$I$14*CF!Q25</f>
        <v>-5001.346062935</v>
      </c>
      <c r="Q70" s="666" t="n">
        <f aca="false">Allocation!$I$14*CF!R25</f>
        <v>-5450.58062180672</v>
      </c>
      <c r="R70" s="666" t="n">
        <f aca="false">Allocation!$I$14*CF!S25</f>
        <v>-5788.44197055401</v>
      </c>
      <c r="S70" s="666" t="n">
        <f aca="false">Allocation!$I$14*CF!T25</f>
        <v>-6088.64036180144</v>
      </c>
      <c r="T70" s="666" t="n">
        <f aca="false">Allocation!$I$14*CF!U25</f>
        <v>-6434.38733783079</v>
      </c>
      <c r="U70" s="666" t="n">
        <f aca="false">Allocation!$I$14*CF!V25</f>
        <v>-8744.77969541492</v>
      </c>
      <c r="V70" s="666" t="n">
        <f aca="false">Allocation!$I$14*CF!W25</f>
        <v>-11066.4385750228</v>
      </c>
      <c r="W70" s="666" t="n">
        <f aca="false">Allocation!$I$14*CF!X25</f>
        <v>-11448.8811351635</v>
      </c>
      <c r="X70" s="666" t="n">
        <f aca="false">Allocation!$I$14*CF!Y25</f>
        <v>-11792.6159771367</v>
      </c>
      <c r="Y70" s="666" t="n">
        <f aca="false">Allocation!$I$14*CF!Z25</f>
        <v>-11975.4046181024</v>
      </c>
      <c r="Z70" s="666" t="n">
        <f aca="false">Allocation!$I$14*CF!AA25</f>
        <v>-12257.8188157733</v>
      </c>
    </row>
    <row r="71" customFormat="false" ht="15" hidden="false" customHeight="false" outlineLevel="1" collapsed="false">
      <c r="A71" s="367"/>
      <c r="E71" s="373"/>
      <c r="F71" s="373"/>
      <c r="G71" s="373"/>
      <c r="H71" s="373"/>
      <c r="I71" s="373"/>
      <c r="J71" s="373"/>
      <c r="K71" s="373"/>
      <c r="L71" s="373"/>
      <c r="M71" s="373"/>
      <c r="N71" s="373"/>
      <c r="O71" s="373"/>
      <c r="P71" s="373"/>
      <c r="Q71" s="373"/>
      <c r="R71" s="373"/>
      <c r="S71" s="373"/>
      <c r="T71" s="373"/>
      <c r="U71" s="373"/>
      <c r="V71" s="373"/>
      <c r="W71" s="373"/>
      <c r="X71" s="373"/>
      <c r="Y71" s="373"/>
      <c r="Z71" s="373"/>
    </row>
    <row r="72" customFormat="false" ht="15.75" hidden="false" customHeight="false" outlineLevel="1" collapsed="false">
      <c r="A72" s="731" t="s">
        <v>313</v>
      </c>
      <c r="B72" s="344"/>
      <c r="C72" s="344"/>
      <c r="D72" s="344"/>
      <c r="E72" s="669" t="n">
        <f aca="false">E67+E70+E69</f>
        <v>0</v>
      </c>
      <c r="F72" s="669" t="n">
        <f aca="false">F67+F70+F69</f>
        <v>5355.35604000276</v>
      </c>
      <c r="G72" s="669" t="n">
        <f aca="false">G67+G70+G69</f>
        <v>7758.76312221843</v>
      </c>
      <c r="H72" s="669" t="n">
        <f aca="false">H67+H70+H69</f>
        <v>6927.38940358544</v>
      </c>
      <c r="I72" s="669" t="n">
        <f aca="false">I67+I70+I69</f>
        <v>16650.9829487707</v>
      </c>
      <c r="J72" s="669" t="n">
        <f aca="false">J67+J70+J69</f>
        <v>16412.4243610111</v>
      </c>
      <c r="K72" s="669" t="n">
        <f aca="false">K67+K70+K69</f>
        <v>16257.6648534148</v>
      </c>
      <c r="L72" s="669" t="n">
        <f aca="false">L67+L70+L69</f>
        <v>15592.9293772439</v>
      </c>
      <c r="M72" s="669" t="n">
        <f aca="false">M67+M70+M69</f>
        <v>15067.0723043066</v>
      </c>
      <c r="N72" s="669" t="n">
        <f aca="false">N67+N70+N69</f>
        <v>14833.1887004262</v>
      </c>
      <c r="O72" s="669" t="n">
        <f aca="false">O67+O70+O69</f>
        <v>14334.4086423804</v>
      </c>
      <c r="P72" s="669" t="n">
        <f aca="false">P67+P70+P69</f>
        <v>16354.767558877</v>
      </c>
      <c r="Q72" s="669" t="n">
        <f aca="false">Q67+Q70+Q69</f>
        <v>16617.9543418803</v>
      </c>
      <c r="R72" s="669" t="n">
        <f aca="false">R67+R70+R69</f>
        <v>16597.9388526916</v>
      </c>
      <c r="S72" s="669" t="n">
        <f aca="false">S67+S70+S69</f>
        <v>16091.3950564763</v>
      </c>
      <c r="T72" s="669" t="n">
        <f aca="false">T67+T70+T69</f>
        <v>16250.8332344295</v>
      </c>
      <c r="U72" s="669" t="n">
        <f aca="false">U67+U70+U69</f>
        <v>13928.2263774594</v>
      </c>
      <c r="V72" s="669" t="n">
        <f aca="false">V67+V70+V69</f>
        <v>12157.3165234826</v>
      </c>
      <c r="W72" s="669" t="n">
        <f aca="false">W67+W70+W69</f>
        <v>13026.7427477362</v>
      </c>
      <c r="X72" s="669" t="n">
        <f aca="false">X67+X70+X69</f>
        <v>14662.5075396737</v>
      </c>
      <c r="Y72" s="669" t="n">
        <f aca="false">Y67+Y70+Y69</f>
        <v>15519.0221459389</v>
      </c>
      <c r="Z72" s="669" t="n">
        <f aca="false">Z67+Z70+Z69</f>
        <v>22827.3154438318</v>
      </c>
      <c r="AA72" s="662"/>
      <c r="AB72" s="662"/>
      <c r="AC72" s="662"/>
      <c r="AD72" s="662"/>
      <c r="AE72" s="662"/>
      <c r="AF72" s="662"/>
      <c r="AG72" s="662"/>
      <c r="AH72" s="662"/>
      <c r="AI72" s="662"/>
      <c r="AJ72" s="662"/>
      <c r="AK72" s="662"/>
      <c r="AL72" s="662"/>
      <c r="AM72" s="662"/>
      <c r="AN72" s="662"/>
      <c r="AO72" s="662"/>
      <c r="AP72" s="662"/>
      <c r="AQ72" s="662"/>
      <c r="AR72" s="662"/>
      <c r="AS72" s="662"/>
      <c r="AT72" s="662"/>
      <c r="AU72" s="662"/>
      <c r="AV72" s="662"/>
      <c r="AW72" s="662"/>
      <c r="AX72" s="662"/>
      <c r="AY72" s="662"/>
      <c r="AZ72" s="662"/>
      <c r="BA72" s="662"/>
      <c r="BB72" s="662"/>
      <c r="BC72" s="662"/>
      <c r="BD72" s="662"/>
      <c r="BE72" s="662"/>
      <c r="BF72" s="662"/>
      <c r="BG72" s="662"/>
      <c r="BH72" s="662"/>
      <c r="BI72" s="662"/>
      <c r="BJ72" s="662"/>
      <c r="BK72" s="662"/>
      <c r="BL72" s="662"/>
      <c r="BM72" s="662"/>
      <c r="BN72" s="662"/>
      <c r="BO72" s="662"/>
      <c r="BP72" s="662"/>
      <c r="BQ72" s="662"/>
      <c r="BR72" s="662"/>
      <c r="BS72" s="662"/>
      <c r="BT72" s="662"/>
      <c r="BU72" s="662"/>
      <c r="BV72" s="662"/>
      <c r="BW72" s="662"/>
      <c r="BX72" s="662"/>
      <c r="BY72" s="662"/>
      <c r="BZ72" s="662"/>
      <c r="CA72" s="662"/>
      <c r="CB72" s="662"/>
      <c r="CC72" s="662"/>
      <c r="CD72" s="662"/>
      <c r="CE72" s="662"/>
      <c r="CF72" s="662"/>
      <c r="CG72" s="662"/>
      <c r="CH72" s="662"/>
      <c r="CI72" s="662"/>
      <c r="CJ72" s="662"/>
      <c r="CK72" s="662"/>
      <c r="CL72" s="662"/>
      <c r="CM72" s="662"/>
      <c r="CN72" s="662"/>
      <c r="CO72" s="662"/>
      <c r="CP72" s="662"/>
      <c r="CQ72" s="662"/>
      <c r="CR72" s="662"/>
      <c r="CS72" s="662"/>
      <c r="CT72" s="662"/>
      <c r="CU72" s="662"/>
      <c r="CV72" s="662"/>
      <c r="CW72" s="662"/>
      <c r="CX72" s="662"/>
      <c r="CY72" s="662"/>
      <c r="CZ72" s="662"/>
      <c r="DA72" s="662"/>
      <c r="DB72" s="662"/>
      <c r="DC72" s="662"/>
      <c r="DD72" s="662"/>
      <c r="DE72" s="662"/>
      <c r="DF72" s="662"/>
      <c r="DG72" s="662"/>
      <c r="DH72" s="662"/>
      <c r="DI72" s="662"/>
      <c r="DJ72" s="662"/>
      <c r="DK72" s="662"/>
      <c r="DL72" s="662"/>
      <c r="DM72" s="662"/>
      <c r="DN72" s="662"/>
      <c r="DO72" s="662"/>
      <c r="DP72" s="662"/>
      <c r="DQ72" s="662"/>
      <c r="DR72" s="662"/>
      <c r="DS72" s="662"/>
      <c r="DT72" s="662"/>
      <c r="DU72" s="662"/>
      <c r="DV72" s="662"/>
      <c r="DW72" s="662"/>
      <c r="DX72" s="662"/>
      <c r="DY72" s="662"/>
      <c r="DZ72" s="662"/>
      <c r="EA72" s="662"/>
      <c r="EB72" s="662"/>
      <c r="EC72" s="662"/>
      <c r="ED72" s="662"/>
      <c r="EE72" s="662"/>
      <c r="EF72" s="662"/>
      <c r="EG72" s="662"/>
      <c r="EH72" s="662"/>
      <c r="EI72" s="662"/>
      <c r="EJ72" s="662"/>
      <c r="EK72" s="662"/>
      <c r="EL72" s="662"/>
      <c r="EM72" s="662"/>
      <c r="EN72" s="662"/>
      <c r="EO72" s="662"/>
      <c r="EP72" s="662"/>
      <c r="EQ72" s="662"/>
      <c r="ER72" s="662"/>
      <c r="ES72" s="662"/>
      <c r="ET72" s="662"/>
      <c r="EU72" s="662"/>
      <c r="EV72" s="662"/>
      <c r="EW72" s="662"/>
      <c r="EX72" s="662"/>
      <c r="EY72" s="662"/>
      <c r="EZ72" s="662"/>
      <c r="FA72" s="662"/>
      <c r="FB72" s="662"/>
      <c r="FC72" s="662"/>
      <c r="FD72" s="662"/>
      <c r="FE72" s="662"/>
      <c r="FF72" s="662"/>
      <c r="FG72" s="662"/>
      <c r="FH72" s="662"/>
      <c r="FI72" s="662"/>
      <c r="FJ72" s="662"/>
      <c r="FK72" s="662"/>
      <c r="FL72" s="662"/>
      <c r="FM72" s="662"/>
      <c r="FN72" s="662"/>
      <c r="FO72" s="662"/>
      <c r="FP72" s="662"/>
      <c r="FQ72" s="662"/>
      <c r="FR72" s="662"/>
      <c r="FS72" s="662"/>
      <c r="FT72" s="662"/>
      <c r="FU72" s="662"/>
      <c r="FV72" s="662"/>
      <c r="FW72" s="662"/>
      <c r="FX72" s="662"/>
      <c r="FY72" s="662"/>
      <c r="FZ72" s="662"/>
      <c r="GA72" s="662"/>
      <c r="GB72" s="662"/>
      <c r="GC72" s="662"/>
      <c r="GD72" s="662"/>
      <c r="GE72" s="662"/>
      <c r="GF72" s="662"/>
      <c r="GG72" s="662"/>
      <c r="GH72" s="662"/>
      <c r="GI72" s="662"/>
      <c r="GJ72" s="662"/>
      <c r="GK72" s="662"/>
      <c r="GL72" s="662"/>
      <c r="GM72" s="662"/>
      <c r="GN72" s="662"/>
      <c r="GO72" s="662"/>
      <c r="GP72" s="662"/>
      <c r="GQ72" s="662"/>
      <c r="GR72" s="662"/>
      <c r="GS72" s="662"/>
      <c r="GT72" s="662"/>
      <c r="GU72" s="662"/>
      <c r="GV72" s="662"/>
      <c r="GW72" s="662"/>
      <c r="GX72" s="662"/>
      <c r="GY72" s="662"/>
      <c r="GZ72" s="662"/>
      <c r="HA72" s="662"/>
      <c r="HB72" s="662"/>
      <c r="HC72" s="662"/>
      <c r="HD72" s="662"/>
      <c r="HE72" s="662"/>
      <c r="HF72" s="662"/>
      <c r="HG72" s="662"/>
      <c r="HH72" s="662"/>
      <c r="HI72" s="662"/>
      <c r="HJ72" s="662"/>
      <c r="HK72" s="662"/>
      <c r="HL72" s="662"/>
      <c r="HM72" s="662"/>
      <c r="HN72" s="662"/>
      <c r="HO72" s="662"/>
      <c r="HP72" s="662"/>
      <c r="HQ72" s="662"/>
      <c r="HR72" s="662"/>
      <c r="HS72" s="662"/>
      <c r="HT72" s="662"/>
      <c r="HU72" s="662"/>
      <c r="HV72" s="662"/>
      <c r="HW72" s="662"/>
      <c r="HX72" s="662"/>
      <c r="HY72" s="662"/>
      <c r="HZ72" s="662"/>
      <c r="IA72" s="662"/>
      <c r="IB72" s="662"/>
      <c r="IC72" s="662"/>
      <c r="ID72" s="662"/>
      <c r="IE72" s="662"/>
      <c r="IF72" s="662"/>
      <c r="IG72" s="662"/>
      <c r="IH72" s="662"/>
      <c r="II72" s="662"/>
      <c r="IJ72" s="662"/>
      <c r="IK72" s="662"/>
      <c r="IL72" s="662"/>
      <c r="IM72" s="662"/>
      <c r="IN72" s="662"/>
      <c r="IO72" s="662"/>
      <c r="IP72" s="662"/>
      <c r="IQ72" s="662"/>
      <c r="IR72" s="662"/>
      <c r="IS72" s="662"/>
      <c r="IT72" s="662"/>
      <c r="IU72" s="662"/>
      <c r="IV72" s="662"/>
      <c r="IW72" s="662"/>
    </row>
    <row r="73" customFormat="false" ht="12.75" hidden="false" customHeight="false" outlineLevel="1" collapsed="false">
      <c r="A73" s="670"/>
      <c r="E73" s="102"/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2"/>
      <c r="Z73" s="102"/>
    </row>
    <row r="74" customFormat="false" ht="12.75" hidden="false" customHeight="false" outlineLevel="1" collapsed="false">
      <c r="A74" s="388"/>
      <c r="E74" s="102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2"/>
      <c r="Z74" s="102"/>
    </row>
    <row r="75" customFormat="false" ht="12.75" hidden="false" customHeight="true" outlineLevel="1" collapsed="false">
      <c r="A75" s="388" t="s">
        <v>464</v>
      </c>
      <c r="C75" s="733" t="n">
        <f aca="false">$C$60</f>
        <v>0.5</v>
      </c>
      <c r="E75" s="667" t="n">
        <f aca="false">$C$75*E54</f>
        <v>0</v>
      </c>
      <c r="F75" s="667" t="n">
        <f aca="false">$C$75*F54</f>
        <v>-391.052992184258</v>
      </c>
      <c r="G75" s="667" t="n">
        <f aca="false">$C$75*G54</f>
        <v>608.33550954496</v>
      </c>
      <c r="H75" s="667" t="n">
        <f aca="false">$C$75*H54</f>
        <v>672.952760336801</v>
      </c>
      <c r="I75" s="667" t="n">
        <f aca="false">$C$75*I54</f>
        <v>4673.50934906699</v>
      </c>
      <c r="J75" s="667" t="n">
        <f aca="false">$C$75*J54</f>
        <v>4963.7688883227</v>
      </c>
      <c r="K75" s="667" t="n">
        <f aca="false">$C$75*K54</f>
        <v>5375.17290919474</v>
      </c>
      <c r="L75" s="667" t="n">
        <f aca="false">$C$75*L54</f>
        <v>5606.25142951216</v>
      </c>
      <c r="M75" s="667" t="n">
        <f aca="false">$C$75*M54</f>
        <v>5851.00897802703</v>
      </c>
      <c r="N75" s="667" t="n">
        <f aca="false">$C$75*N54</f>
        <v>6128.50530818771</v>
      </c>
      <c r="O75" s="667" t="n">
        <f aca="false">$C$75*O54</f>
        <v>6462.31790239249</v>
      </c>
      <c r="P75" s="667" t="n">
        <f aca="false">$C$75*P54</f>
        <v>6777.47922765939</v>
      </c>
      <c r="Q75" s="667" t="n">
        <f aca="false">$C$75*Q54</f>
        <v>7028.68158548387</v>
      </c>
      <c r="R75" s="667" t="n">
        <f aca="false">$C$75*R54</f>
        <v>7342.61583184684</v>
      </c>
      <c r="S75" s="667" t="n">
        <f aca="false">$C$75*S54</f>
        <v>7436.78237597062</v>
      </c>
      <c r="T75" s="667" t="n">
        <f aca="false">$C$75*T54</f>
        <v>7768.85517319401</v>
      </c>
      <c r="U75" s="667" t="n">
        <f aca="false">$C$75*U54</f>
        <v>8115.40906762783</v>
      </c>
      <c r="V75" s="667" t="n">
        <f aca="false">$C$75*V54</f>
        <v>8471.53612321677</v>
      </c>
      <c r="W75" s="667" t="n">
        <f aca="false">$C$75*W54</f>
        <v>8819.73845997617</v>
      </c>
      <c r="X75" s="667" t="n">
        <f aca="false">$C$75*X54</f>
        <v>9143.21690214884</v>
      </c>
      <c r="Y75" s="667" t="n">
        <f aca="false">$C$75*Y54</f>
        <v>9147.72449747207</v>
      </c>
      <c r="Z75" s="667" t="n">
        <f aca="false">$C$75*Z54</f>
        <v>9588.13303701763</v>
      </c>
    </row>
    <row r="76" customFormat="false" ht="12.75" hidden="false" customHeight="false" outlineLevel="1" collapsed="false">
      <c r="A76" s="388" t="s">
        <v>465</v>
      </c>
      <c r="C76" s="733" t="n">
        <f aca="false">$C$60</f>
        <v>0.5</v>
      </c>
      <c r="E76" s="667" t="n">
        <f aca="false">$C$76*E72</f>
        <v>0</v>
      </c>
      <c r="F76" s="667" t="n">
        <f aca="false">$C$76*F72</f>
        <v>2677.67802000138</v>
      </c>
      <c r="G76" s="667" t="n">
        <f aca="false">$C$76*G72</f>
        <v>3879.38156110922</v>
      </c>
      <c r="H76" s="667" t="n">
        <f aca="false">$C$76*H72</f>
        <v>3463.69470179272</v>
      </c>
      <c r="I76" s="667" t="n">
        <f aca="false">$C$76*I72</f>
        <v>8325.49147438536</v>
      </c>
      <c r="J76" s="667" t="n">
        <f aca="false">$C$76*J72</f>
        <v>8206.21218050553</v>
      </c>
      <c r="K76" s="667" t="n">
        <f aca="false">$C$76*K72</f>
        <v>8128.8324267074</v>
      </c>
      <c r="L76" s="667" t="n">
        <f aca="false">$C$76*L72</f>
        <v>7796.46468862194</v>
      </c>
      <c r="M76" s="667" t="n">
        <f aca="false">$C$76*M72</f>
        <v>7533.53615215328</v>
      </c>
      <c r="N76" s="667" t="n">
        <f aca="false">$C$76*N72</f>
        <v>7416.59435021311</v>
      </c>
      <c r="O76" s="667" t="n">
        <f aca="false">$C$76*O72</f>
        <v>7167.2043211902</v>
      </c>
      <c r="P76" s="667" t="n">
        <f aca="false">$C$76*P72</f>
        <v>8177.38377943851</v>
      </c>
      <c r="Q76" s="667" t="n">
        <f aca="false">$C$76*Q72</f>
        <v>8308.97717094013</v>
      </c>
      <c r="R76" s="667" t="n">
        <f aca="false">$C$76*R72</f>
        <v>8298.96942634582</v>
      </c>
      <c r="S76" s="667" t="n">
        <f aca="false">$C$76*S72</f>
        <v>8045.69752823816</v>
      </c>
      <c r="T76" s="667" t="n">
        <f aca="false">$C$76*T72</f>
        <v>8125.41661721475</v>
      </c>
      <c r="U76" s="667" t="n">
        <f aca="false">$C$76*U72</f>
        <v>6964.1131887297</v>
      </c>
      <c r="V76" s="667" t="n">
        <f aca="false">$C$76*V72</f>
        <v>6078.65826174132</v>
      </c>
      <c r="W76" s="667" t="n">
        <f aca="false">$C$76*W72</f>
        <v>6513.37137386812</v>
      </c>
      <c r="X76" s="667" t="n">
        <f aca="false">$C$76*X72</f>
        <v>7331.25376983686</v>
      </c>
      <c r="Y76" s="667" t="n">
        <f aca="false">$C$76*Y72</f>
        <v>7759.51107296943</v>
      </c>
      <c r="Z76" s="667" t="n">
        <f aca="false">$C$76*Z72</f>
        <v>11413.6577219159</v>
      </c>
    </row>
    <row r="77" customFormat="false" ht="12.75" hidden="false" customHeight="false" outlineLevel="1" collapsed="false">
      <c r="A77" s="388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</row>
    <row r="78" customFormat="false" ht="12.75" hidden="false" customHeight="false" outlineLevel="1" collapsed="false">
      <c r="A78" s="388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</row>
    <row r="79" customFormat="false" ht="18.75" hidden="true" customHeight="false" outlineLevel="1" collapsed="false">
      <c r="A79" s="682" t="s">
        <v>479</v>
      </c>
      <c r="B79" s="70"/>
      <c r="C79" s="70"/>
      <c r="D79" s="70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</row>
    <row r="80" customFormat="false" ht="12.75" hidden="true" customHeight="false" outlineLevel="1" collapsed="false">
      <c r="A80" s="398"/>
      <c r="B80" s="70"/>
      <c r="C80" s="70"/>
      <c r="D80" s="70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</row>
    <row r="81" customFormat="false" ht="15.75" hidden="true" customHeight="false" outlineLevel="1" collapsed="false">
      <c r="A81" s="291" t="s">
        <v>480</v>
      </c>
      <c r="B81" s="736"/>
      <c r="C81" s="736"/>
      <c r="D81" s="736"/>
      <c r="E81" s="737"/>
      <c r="F81" s="737"/>
      <c r="G81" s="737"/>
      <c r="H81" s="737"/>
      <c r="I81" s="737"/>
      <c r="J81" s="737"/>
      <c r="K81" s="737"/>
      <c r="L81" s="737"/>
      <c r="M81" s="737"/>
      <c r="N81" s="737"/>
      <c r="O81" s="737"/>
      <c r="P81" s="737"/>
      <c r="Q81" s="737"/>
      <c r="R81" s="737"/>
      <c r="S81" s="737"/>
      <c r="T81" s="737"/>
      <c r="U81" s="737"/>
      <c r="V81" s="737"/>
      <c r="W81" s="737"/>
      <c r="X81" s="737"/>
      <c r="Y81" s="737"/>
      <c r="Z81" s="737"/>
      <c r="AA81" s="737"/>
      <c r="AB81" s="737"/>
    </row>
    <row r="82" customFormat="false" ht="12.75" hidden="true" customHeight="false" outlineLevel="1" collapsed="false">
      <c r="A82" s="590" t="s">
        <v>481</v>
      </c>
      <c r="B82" s="736"/>
      <c r="C82" s="736"/>
      <c r="D82" s="736"/>
      <c r="E82" s="70"/>
      <c r="F82" s="102" t="n">
        <f aca="false">F49</f>
        <v>-1259.93714759326</v>
      </c>
      <c r="G82" s="102" t="n">
        <f aca="false">G49</f>
        <v>1960.00164170748</v>
      </c>
      <c r="H82" s="102" t="n">
        <f aca="false">H49</f>
        <v>2168.19254236585</v>
      </c>
      <c r="I82" s="102" t="n">
        <f aca="false">I49</f>
        <v>15057.6217448795</v>
      </c>
      <c r="J82" s="102" t="n">
        <f aca="false">J49</f>
        <v>15992.8115612491</v>
      </c>
      <c r="K82" s="102" t="n">
        <f aca="false">K49</f>
        <v>17318.3178709456</v>
      </c>
      <c r="L82" s="102" t="n">
        <f aca="false">L49</f>
        <v>18062.831830889</v>
      </c>
      <c r="M82" s="102" t="n">
        <f aca="false">M49</f>
        <v>18851.418374634</v>
      </c>
      <c r="N82" s="102" t="n">
        <f aca="false">N49</f>
        <v>19745.486292993</v>
      </c>
      <c r="O82" s="102" t="n">
        <f aca="false">O49</f>
        <v>20821.0000882561</v>
      </c>
      <c r="P82" s="102" t="n">
        <f aca="false">P49</f>
        <v>21836.4211926198</v>
      </c>
      <c r="Q82" s="102" t="n">
        <f aca="false">Q49</f>
        <v>22645.7723253608</v>
      </c>
      <c r="R82" s="102" t="n">
        <f aca="false">R49</f>
        <v>23657.2398931835</v>
      </c>
      <c r="S82" s="102" t="n">
        <f aca="false">S49</f>
        <v>23960.6359274124</v>
      </c>
      <c r="T82" s="102" t="n">
        <f aca="false">T49</f>
        <v>25030.5442551559</v>
      </c>
      <c r="U82" s="102" t="n">
        <f aca="false">U49</f>
        <v>26147.1093600575</v>
      </c>
      <c r="V82" s="102" t="n">
        <f aca="false">V49</f>
        <v>27294.5183188619</v>
      </c>
      <c r="W82" s="102" t="n">
        <f aca="false">W49</f>
        <v>28416.3945548971</v>
      </c>
      <c r="X82" s="102" t="n">
        <f aca="false">X49</f>
        <v>29458.6126529161</v>
      </c>
      <c r="Y82" s="102" t="n">
        <f aca="false">Y49</f>
        <v>29473.1357147711</v>
      </c>
      <c r="Z82" s="102" t="n">
        <f aca="false">Z49</f>
        <v>30892.0919436734</v>
      </c>
      <c r="AA82" s="102"/>
      <c r="AB82" s="102"/>
      <c r="AC82" s="102"/>
    </row>
    <row r="83" customFormat="false" ht="12.75" hidden="true" customHeight="false" outlineLevel="1" collapsed="false">
      <c r="A83" s="590" t="s">
        <v>482</v>
      </c>
      <c r="B83" s="736"/>
      <c r="C83" s="736"/>
      <c r="D83" s="736"/>
      <c r="E83" s="70"/>
      <c r="F83" s="738" t="n">
        <v>0.034</v>
      </c>
      <c r="G83" s="738" t="n">
        <v>0.034</v>
      </c>
      <c r="H83" s="738" t="n">
        <v>0.034</v>
      </c>
      <c r="I83" s="738" t="n">
        <v>0.034</v>
      </c>
      <c r="J83" s="738" t="n">
        <v>0.034</v>
      </c>
      <c r="K83" s="738" t="n">
        <v>0.034</v>
      </c>
      <c r="L83" s="738" t="n">
        <v>0.034</v>
      </c>
      <c r="M83" s="738" t="n">
        <v>0.034</v>
      </c>
      <c r="N83" s="738" t="n">
        <v>0.034</v>
      </c>
      <c r="O83" s="738" t="n">
        <v>0.034</v>
      </c>
      <c r="P83" s="738" t="n">
        <v>0.034</v>
      </c>
      <c r="Q83" s="738" t="n">
        <v>0.034</v>
      </c>
      <c r="R83" s="738" t="n">
        <v>0.034</v>
      </c>
      <c r="S83" s="738" t="n">
        <v>0.034</v>
      </c>
      <c r="T83" s="738" t="n">
        <v>0.034</v>
      </c>
      <c r="U83" s="738" t="n">
        <v>0.034</v>
      </c>
      <c r="V83" s="738" t="n">
        <v>0.034</v>
      </c>
      <c r="W83" s="738" t="n">
        <v>0.034</v>
      </c>
      <c r="X83" s="738" t="n">
        <v>0.034</v>
      </c>
      <c r="Y83" s="738" t="n">
        <v>0.034</v>
      </c>
      <c r="Z83" s="738" t="n">
        <v>0.034</v>
      </c>
      <c r="AA83" s="373"/>
      <c r="AB83" s="373"/>
      <c r="AC83" s="373"/>
    </row>
    <row r="84" customFormat="false" ht="15.75" hidden="true" customHeight="false" outlineLevel="1" collapsed="false">
      <c r="A84" s="9" t="s">
        <v>483</v>
      </c>
      <c r="B84" s="739"/>
      <c r="C84" s="739"/>
      <c r="D84" s="739"/>
      <c r="E84" s="70"/>
      <c r="F84" s="372" t="n">
        <f aca="false">F82*F83</f>
        <v>-42.8378630181709</v>
      </c>
      <c r="G84" s="372" t="n">
        <f aca="false">G82*G83</f>
        <v>66.6400558180544</v>
      </c>
      <c r="H84" s="372" t="n">
        <f aca="false">H82*H83</f>
        <v>73.7185464404389</v>
      </c>
      <c r="I84" s="372" t="n">
        <f aca="false">I82*I83</f>
        <v>511.959139325904</v>
      </c>
      <c r="J84" s="372" t="n">
        <f aca="false">J82*J83</f>
        <v>543.75559308247</v>
      </c>
      <c r="K84" s="372" t="n">
        <f aca="false">K82*K83</f>
        <v>588.82280761215</v>
      </c>
      <c r="L84" s="372" t="n">
        <f aca="false">L82*L83</f>
        <v>614.136282250225</v>
      </c>
      <c r="M84" s="372" t="n">
        <f aca="false">M82*M83</f>
        <v>640.948224737557</v>
      </c>
      <c r="N84" s="372" t="n">
        <f aca="false">N82*N83</f>
        <v>671.346533961762</v>
      </c>
      <c r="O84" s="372" t="n">
        <f aca="false">O82*O83</f>
        <v>707.914003000708</v>
      </c>
      <c r="P84" s="372" t="n">
        <f aca="false">P82*P83</f>
        <v>742.438320549075</v>
      </c>
      <c r="Q84" s="372" t="n">
        <f aca="false">Q82*Q83</f>
        <v>769.956259062268</v>
      </c>
      <c r="R84" s="372" t="n">
        <f aca="false">R82*R83</f>
        <v>804.34615636824</v>
      </c>
      <c r="S84" s="372" t="n">
        <f aca="false">S82*S83</f>
        <v>814.661621532021</v>
      </c>
      <c r="T84" s="372" t="n">
        <f aca="false">T82*T83</f>
        <v>851.038504675301</v>
      </c>
      <c r="U84" s="372" t="n">
        <f aca="false">U82*U83</f>
        <v>889.001718241953</v>
      </c>
      <c r="V84" s="372" t="n">
        <f aca="false">V82*V83</f>
        <v>928.013622841306</v>
      </c>
      <c r="W84" s="372" t="n">
        <f aca="false">W82*W83</f>
        <v>966.1574148665</v>
      </c>
      <c r="X84" s="372" t="n">
        <f aca="false">X82*X83</f>
        <v>1001.59283019915</v>
      </c>
      <c r="Y84" s="372" t="n">
        <f aca="false">Y82*Y83</f>
        <v>1002.08661430222</v>
      </c>
      <c r="Z84" s="372" t="n">
        <f aca="false">Z82*Z83</f>
        <v>1050.3311260849</v>
      </c>
      <c r="AA84" s="372"/>
      <c r="AB84" s="372"/>
      <c r="AC84" s="372"/>
    </row>
    <row r="85" customFormat="false" ht="15.75" hidden="true" customHeight="false" outlineLevel="1" collapsed="false">
      <c r="A85" s="23"/>
      <c r="B85" s="736"/>
      <c r="C85" s="740"/>
      <c r="D85" s="740"/>
      <c r="E85" s="70"/>
      <c r="F85" s="741"/>
      <c r="G85" s="741"/>
      <c r="H85" s="741"/>
      <c r="I85" s="741"/>
      <c r="J85" s="741"/>
      <c r="K85" s="741"/>
      <c r="L85" s="741"/>
      <c r="M85" s="741"/>
      <c r="N85" s="741"/>
      <c r="O85" s="741"/>
      <c r="P85" s="741"/>
      <c r="Q85" s="741"/>
      <c r="R85" s="741"/>
      <c r="S85" s="741"/>
      <c r="T85" s="741"/>
      <c r="U85" s="741"/>
      <c r="V85" s="741"/>
      <c r="W85" s="741"/>
      <c r="X85" s="741"/>
      <c r="Y85" s="741"/>
      <c r="Z85" s="741"/>
      <c r="AA85" s="741"/>
      <c r="AB85" s="741"/>
      <c r="AC85" s="741"/>
    </row>
    <row r="86" customFormat="false" ht="15.75" hidden="true" customHeight="false" outlineLevel="1" collapsed="false">
      <c r="A86" s="291" t="s">
        <v>484</v>
      </c>
      <c r="B86" s="736"/>
      <c r="C86" s="736"/>
      <c r="D86" s="736"/>
      <c r="E86" s="70"/>
      <c r="F86" s="102"/>
      <c r="G86" s="102"/>
      <c r="H86" s="102"/>
      <c r="I86" s="102"/>
      <c r="J86" s="102"/>
      <c r="K86" s="102"/>
      <c r="L86" s="102"/>
      <c r="M86" s="102"/>
      <c r="N86" s="102"/>
      <c r="O86" s="102"/>
      <c r="P86" s="102"/>
      <c r="Q86" s="102"/>
      <c r="R86" s="102"/>
      <c r="S86" s="102"/>
      <c r="T86" s="102"/>
      <c r="U86" s="102"/>
      <c r="V86" s="102"/>
      <c r="W86" s="102"/>
      <c r="X86" s="102"/>
      <c r="Y86" s="102"/>
      <c r="Z86" s="102"/>
      <c r="AA86" s="102"/>
      <c r="AB86" s="102"/>
      <c r="AC86" s="102"/>
    </row>
    <row r="87" customFormat="false" ht="12.75" hidden="true" customHeight="false" outlineLevel="1" collapsed="false">
      <c r="A87" s="590" t="s">
        <v>485</v>
      </c>
      <c r="B87" s="736"/>
      <c r="C87" s="736"/>
      <c r="D87" s="736"/>
      <c r="E87" s="70"/>
      <c r="F87" s="102" t="n">
        <f aca="false">F10+G15</f>
        <v>11280</v>
      </c>
      <c r="G87" s="102" t="n">
        <f aca="false">G10+H15</f>
        <v>22560</v>
      </c>
      <c r="H87" s="102" t="n">
        <f aca="false">H10+I15</f>
        <v>59801.0067942148</v>
      </c>
      <c r="I87" s="102" t="n">
        <f aca="false">I10+J15</f>
        <v>38358.2369980412</v>
      </c>
      <c r="J87" s="102" t="n">
        <f aca="false">J10+K15</f>
        <v>39508.9841079825</v>
      </c>
      <c r="K87" s="102" t="n">
        <f aca="false">K10+L15</f>
        <v>40068.1881907416</v>
      </c>
      <c r="L87" s="102" t="n">
        <f aca="false">L10+M15</f>
        <v>40625.3864327691</v>
      </c>
      <c r="M87" s="102" t="n">
        <f aca="false">M10+N15</f>
        <v>41179.9551999466</v>
      </c>
      <c r="N87" s="102" t="n">
        <f aca="false">N10+O15</f>
        <v>41731.2352453652</v>
      </c>
      <c r="O87" s="102" t="n">
        <f aca="false">O10+P15</f>
        <v>42278.530133829</v>
      </c>
      <c r="P87" s="102" t="n">
        <f aca="false">P10+Q15</f>
        <v>42821.1046038798</v>
      </c>
      <c r="Q87" s="102" t="n">
        <f aca="false">Q10+R15</f>
        <v>43358.1828650133</v>
      </c>
      <c r="R87" s="102" t="n">
        <f aca="false">R10+S15</f>
        <v>43118.9653043787</v>
      </c>
      <c r="S87" s="102" t="n">
        <f aca="false">S10+T15</f>
        <v>43619.4532945188</v>
      </c>
      <c r="T87" s="102" t="n">
        <f aca="false">T10+U15</f>
        <v>44111.1634952934</v>
      </c>
      <c r="U87" s="102" t="n">
        <f aca="false">U10+V15</f>
        <v>44593.1188001494</v>
      </c>
      <c r="V87" s="102" t="n">
        <f aca="false">V10+W15</f>
        <v>45064.291376151</v>
      </c>
      <c r="W87" s="102" t="n">
        <f aca="false">W10+X15</f>
        <v>45523.6004997925</v>
      </c>
      <c r="X87" s="102" t="n">
        <f aca="false">X10+Y15</f>
        <v>45050.5121024417</v>
      </c>
      <c r="Y87" s="102" t="n">
        <f aca="false">Y10+Z15</f>
        <v>45455.0473131575</v>
      </c>
      <c r="Z87" s="102" t="e">
        <f aca="false">Z10+#REF!</f>
        <v>#REF!</v>
      </c>
      <c r="AA87" s="102"/>
      <c r="AB87" s="102"/>
      <c r="AC87" s="102"/>
    </row>
    <row r="88" customFormat="false" ht="12.75" hidden="true" customHeight="false" outlineLevel="1" collapsed="false">
      <c r="A88" s="590" t="s">
        <v>486</v>
      </c>
      <c r="B88" s="736"/>
      <c r="C88" s="736"/>
      <c r="D88" s="736"/>
      <c r="E88" s="70"/>
      <c r="F88" s="738" t="n">
        <v>0.012</v>
      </c>
      <c r="G88" s="738" t="n">
        <v>0.012</v>
      </c>
      <c r="H88" s="738" t="n">
        <v>0.012</v>
      </c>
      <c r="I88" s="738" t="n">
        <v>0.012</v>
      </c>
      <c r="J88" s="738" t="n">
        <v>0.012</v>
      </c>
      <c r="K88" s="738" t="n">
        <v>0.012</v>
      </c>
      <c r="L88" s="738" t="n">
        <v>0.012</v>
      </c>
      <c r="M88" s="738" t="n">
        <v>0.012</v>
      </c>
      <c r="N88" s="738" t="n">
        <v>0.012</v>
      </c>
      <c r="O88" s="738" t="n">
        <v>0.012</v>
      </c>
      <c r="P88" s="738" t="n">
        <v>0.012</v>
      </c>
      <c r="Q88" s="738" t="n">
        <v>0.012</v>
      </c>
      <c r="R88" s="738" t="n">
        <v>0.012</v>
      </c>
      <c r="S88" s="738" t="n">
        <v>0.012</v>
      </c>
      <c r="T88" s="738" t="n">
        <v>0.012</v>
      </c>
      <c r="U88" s="738" t="n">
        <v>0.012</v>
      </c>
      <c r="V88" s="738" t="n">
        <v>0.012</v>
      </c>
      <c r="W88" s="738" t="n">
        <v>0.012</v>
      </c>
      <c r="X88" s="738" t="n">
        <v>0.012</v>
      </c>
      <c r="Y88" s="738" t="n">
        <v>0.012</v>
      </c>
      <c r="Z88" s="738" t="n">
        <v>0</v>
      </c>
      <c r="AA88" s="373"/>
      <c r="AB88" s="373"/>
      <c r="AC88" s="373"/>
    </row>
    <row r="89" customFormat="false" ht="15.75" hidden="true" customHeight="false" outlineLevel="1" collapsed="false">
      <c r="A89" s="742" t="s">
        <v>487</v>
      </c>
      <c r="B89" s="739"/>
      <c r="C89" s="739"/>
      <c r="D89" s="739"/>
      <c r="E89" s="70"/>
      <c r="F89" s="372" t="n">
        <f aca="false">F87*F88</f>
        <v>135.36</v>
      </c>
      <c r="G89" s="372" t="n">
        <f aca="false">G87*G88</f>
        <v>270.72</v>
      </c>
      <c r="H89" s="372" t="n">
        <f aca="false">H87*H88</f>
        <v>717.612081530577</v>
      </c>
      <c r="I89" s="372" t="n">
        <f aca="false">I87*I88</f>
        <v>460.298843976495</v>
      </c>
      <c r="J89" s="372" t="n">
        <f aca="false">J87*J88</f>
        <v>474.10780929579</v>
      </c>
      <c r="K89" s="372" t="n">
        <f aca="false">K87*K88</f>
        <v>480.818258288899</v>
      </c>
      <c r="L89" s="372" t="n">
        <f aca="false">L87*L88</f>
        <v>487.504637193229</v>
      </c>
      <c r="M89" s="372" t="n">
        <f aca="false">M87*M88</f>
        <v>494.159462399359</v>
      </c>
      <c r="N89" s="372" t="n">
        <f aca="false">N87*N88</f>
        <v>500.774822944383</v>
      </c>
      <c r="O89" s="372" t="n">
        <f aca="false">O87*O88</f>
        <v>507.342361605948</v>
      </c>
      <c r="P89" s="372" t="n">
        <f aca="false">P87*P88</f>
        <v>513.853255246558</v>
      </c>
      <c r="Q89" s="372" t="n">
        <f aca="false">Q87*Q88</f>
        <v>520.298194380159</v>
      </c>
      <c r="R89" s="372" t="n">
        <f aca="false">R87*R88</f>
        <v>517.427583652544</v>
      </c>
      <c r="S89" s="372" t="n">
        <f aca="false">S87*S88</f>
        <v>523.433439534226</v>
      </c>
      <c r="T89" s="372" t="n">
        <f aca="false">T87*T88</f>
        <v>529.333961943521</v>
      </c>
      <c r="U89" s="372" t="n">
        <f aca="false">U87*U88</f>
        <v>535.117425601792</v>
      </c>
      <c r="V89" s="372" t="n">
        <f aca="false">V87*V88</f>
        <v>540.771496513811</v>
      </c>
      <c r="W89" s="372" t="n">
        <f aca="false">W87*W88</f>
        <v>546.28320599751</v>
      </c>
      <c r="X89" s="372" t="n">
        <f aca="false">X87*X88</f>
        <v>540.6061452293</v>
      </c>
      <c r="Y89" s="372" t="n">
        <f aca="false">Y87*Y88</f>
        <v>545.46056775789</v>
      </c>
      <c r="Z89" s="372" t="e">
        <f aca="false">Z87*Z88</f>
        <v>#REF!</v>
      </c>
      <c r="AA89" s="372"/>
      <c r="AB89" s="372"/>
      <c r="AC89" s="372"/>
    </row>
    <row r="90" customFormat="false" ht="15.75" hidden="true" customHeight="false" outlineLevel="0" collapsed="false">
      <c r="A90" s="742"/>
      <c r="B90" s="739"/>
      <c r="C90" s="739"/>
      <c r="D90" s="739"/>
      <c r="E90" s="70"/>
      <c r="F90" s="372"/>
      <c r="G90" s="372"/>
      <c r="H90" s="372"/>
      <c r="I90" s="372"/>
      <c r="J90" s="372"/>
      <c r="K90" s="372"/>
      <c r="L90" s="372"/>
      <c r="M90" s="372"/>
      <c r="N90" s="372"/>
      <c r="O90" s="372"/>
      <c r="P90" s="372"/>
      <c r="Q90" s="372"/>
      <c r="R90" s="372"/>
      <c r="S90" s="372"/>
      <c r="T90" s="372"/>
      <c r="U90" s="372"/>
      <c r="V90" s="372"/>
      <c r="W90" s="372"/>
      <c r="X90" s="372"/>
      <c r="Y90" s="372"/>
      <c r="Z90" s="372"/>
      <c r="AA90" s="372"/>
      <c r="AB90" s="372"/>
      <c r="AC90" s="372"/>
    </row>
    <row r="91" customFormat="false" ht="15.75" hidden="true" customHeight="false" outlineLevel="1" collapsed="false">
      <c r="A91" s="742" t="s">
        <v>488</v>
      </c>
      <c r="B91" s="739"/>
      <c r="C91" s="739"/>
      <c r="D91" s="739"/>
      <c r="E91" s="70"/>
      <c r="F91" s="372" t="n">
        <f aca="false">MAX(F89,F84)</f>
        <v>135.36</v>
      </c>
      <c r="G91" s="372" t="n">
        <f aca="false">MAX(G89,G84)</f>
        <v>270.72</v>
      </c>
      <c r="H91" s="372" t="n">
        <f aca="false">MAX(H89,H84)</f>
        <v>717.612081530577</v>
      </c>
      <c r="I91" s="372" t="n">
        <f aca="false">MAX(I89,I84)</f>
        <v>511.959139325904</v>
      </c>
      <c r="J91" s="372" t="n">
        <f aca="false">MAX(J89,J84)</f>
        <v>543.75559308247</v>
      </c>
      <c r="K91" s="372" t="n">
        <f aca="false">MAX(K89,K84)</f>
        <v>588.82280761215</v>
      </c>
      <c r="L91" s="372" t="n">
        <f aca="false">MAX(L89,L84)</f>
        <v>614.136282250225</v>
      </c>
      <c r="M91" s="372" t="n">
        <f aca="false">MAX(M89,M84)</f>
        <v>640.948224737557</v>
      </c>
      <c r="N91" s="372" t="n">
        <f aca="false">MAX(N89,N84)</f>
        <v>671.346533961762</v>
      </c>
      <c r="O91" s="372" t="n">
        <f aca="false">MAX(O89,O84)</f>
        <v>707.914003000708</v>
      </c>
      <c r="P91" s="372" t="n">
        <f aca="false">MAX(P89,P84)</f>
        <v>742.438320549075</v>
      </c>
      <c r="Q91" s="372" t="n">
        <f aca="false">MAX(Q89,Q84)</f>
        <v>769.956259062268</v>
      </c>
      <c r="R91" s="372" t="n">
        <f aca="false">MAX(R89,R84)</f>
        <v>804.34615636824</v>
      </c>
      <c r="S91" s="372" t="n">
        <f aca="false">MAX(S89,S84)</f>
        <v>814.661621532021</v>
      </c>
      <c r="T91" s="372" t="n">
        <f aca="false">MAX(T89,T84)</f>
        <v>851.038504675301</v>
      </c>
      <c r="U91" s="372" t="n">
        <f aca="false">MAX(U89,U84)</f>
        <v>889.001718241953</v>
      </c>
      <c r="V91" s="372" t="n">
        <f aca="false">MAX(V89,V84)</f>
        <v>928.013622841306</v>
      </c>
      <c r="W91" s="372" t="n">
        <f aca="false">MAX(W89,W84)</f>
        <v>966.1574148665</v>
      </c>
      <c r="X91" s="372" t="n">
        <f aca="false">MAX(X89,X84)</f>
        <v>1001.59283019915</v>
      </c>
      <c r="Y91" s="372" t="n">
        <f aca="false">MAX(Y89,Y84)</f>
        <v>1002.08661430222</v>
      </c>
      <c r="Z91" s="372" t="e">
        <f aca="false">MAX(Z89,Z84)</f>
        <v>#REF!</v>
      </c>
      <c r="AA91" s="372"/>
      <c r="AB91" s="372"/>
      <c r="AC91" s="372"/>
    </row>
    <row r="92" customFormat="false" ht="12.75" hidden="false" customHeight="false" outlineLevel="1" collapsed="false">
      <c r="A92" s="70"/>
      <c r="B92" s="70"/>
      <c r="C92" s="674"/>
      <c r="D92" s="674"/>
      <c r="E92" s="674"/>
      <c r="F92" s="674"/>
      <c r="G92" s="674"/>
      <c r="H92" s="70"/>
      <c r="I92" s="674"/>
      <c r="J92" s="674"/>
      <c r="K92" s="674"/>
      <c r="L92" s="674"/>
      <c r="M92" s="674"/>
      <c r="N92" s="674"/>
      <c r="O92" s="674"/>
      <c r="P92" s="674"/>
      <c r="Q92" s="102"/>
      <c r="R92" s="102"/>
      <c r="S92" s="102"/>
      <c r="T92" s="102"/>
      <c r="U92" s="102"/>
      <c r="V92" s="102"/>
      <c r="W92" s="102"/>
      <c r="X92" s="102"/>
      <c r="Y92" s="102"/>
      <c r="Z92" s="102"/>
    </row>
    <row r="93" customFormat="false" ht="12.75" hidden="false" customHeight="false" outlineLevel="1" collapsed="false">
      <c r="A93" s="70"/>
      <c r="B93" s="70"/>
      <c r="C93" s="674"/>
      <c r="D93" s="674"/>
      <c r="E93" s="674"/>
      <c r="F93" s="674"/>
      <c r="G93" s="674"/>
      <c r="H93" s="674"/>
      <c r="I93" s="674"/>
      <c r="J93" s="674"/>
      <c r="K93" s="674"/>
      <c r="L93" s="674"/>
      <c r="M93" s="674"/>
      <c r="N93" s="674"/>
      <c r="O93" s="674"/>
      <c r="P93" s="674"/>
      <c r="Q93" s="102"/>
      <c r="R93" s="102"/>
      <c r="S93" s="102"/>
      <c r="T93" s="102"/>
      <c r="U93" s="102"/>
      <c r="V93" s="102"/>
      <c r="W93" s="102"/>
      <c r="X93" s="102"/>
      <c r="Y93" s="102"/>
      <c r="Z93" s="102"/>
    </row>
    <row r="94" customFormat="false" ht="12.75" hidden="false" customHeight="false" outlineLevel="1" collapsed="false">
      <c r="A94" s="70"/>
      <c r="B94" s="70"/>
      <c r="C94" s="674"/>
      <c r="D94" s="674"/>
      <c r="E94" s="674"/>
      <c r="F94" s="674"/>
      <c r="G94" s="674"/>
      <c r="H94" s="674"/>
      <c r="I94" s="674"/>
      <c r="J94" s="674"/>
      <c r="K94" s="674"/>
      <c r="L94" s="674"/>
      <c r="M94" s="674"/>
      <c r="N94" s="674"/>
      <c r="O94" s="674"/>
      <c r="P94" s="674"/>
      <c r="Q94" s="102"/>
      <c r="R94" s="102"/>
      <c r="S94" s="102"/>
      <c r="T94" s="102"/>
      <c r="U94" s="102"/>
      <c r="V94" s="102"/>
      <c r="W94" s="102"/>
      <c r="X94" s="102"/>
      <c r="Y94" s="102"/>
      <c r="Z94" s="102"/>
    </row>
    <row r="95" customFormat="false" ht="12.75" hidden="false" customHeight="false" outlineLevel="1" collapsed="false">
      <c r="A95" s="70"/>
      <c r="B95" s="70"/>
      <c r="C95" s="674"/>
      <c r="D95" s="674"/>
      <c r="E95" s="674"/>
      <c r="F95" s="674"/>
      <c r="G95" s="674"/>
      <c r="H95" s="674"/>
      <c r="I95" s="674"/>
      <c r="J95" s="674"/>
      <c r="K95" s="674"/>
      <c r="L95" s="674"/>
      <c r="M95" s="674"/>
      <c r="N95" s="674"/>
      <c r="O95" s="674"/>
      <c r="P95" s="674"/>
      <c r="Q95" s="102"/>
      <c r="R95" s="102"/>
      <c r="S95" s="102"/>
      <c r="T95" s="102"/>
      <c r="U95" s="102"/>
      <c r="V95" s="102"/>
      <c r="W95" s="102"/>
      <c r="X95" s="102"/>
      <c r="Y95" s="102"/>
      <c r="Z95" s="102"/>
    </row>
    <row r="96" customFormat="false" ht="12.75" hidden="false" customHeight="false" outlineLevel="1" collapsed="false">
      <c r="A96" s="395"/>
      <c r="B96" s="70"/>
      <c r="C96" s="674"/>
      <c r="D96" s="674"/>
      <c r="E96" s="674"/>
      <c r="F96" s="674"/>
      <c r="G96" s="674"/>
      <c r="H96" s="674"/>
      <c r="I96" s="674"/>
      <c r="J96" s="674"/>
      <c r="K96" s="674"/>
      <c r="L96" s="674"/>
      <c r="M96" s="674"/>
      <c r="N96" s="674"/>
      <c r="O96" s="674"/>
      <c r="P96" s="674"/>
      <c r="Q96" s="102"/>
      <c r="R96" s="102"/>
      <c r="S96" s="102"/>
      <c r="T96" s="102"/>
      <c r="U96" s="102"/>
      <c r="V96" s="102"/>
      <c r="W96" s="102"/>
      <c r="X96" s="102"/>
      <c r="Y96" s="102"/>
      <c r="Z96" s="102"/>
    </row>
    <row r="97" customFormat="false" ht="12.75" hidden="false" customHeight="false" outlineLevel="1" collapsed="false">
      <c r="A97" s="395"/>
      <c r="B97" s="70"/>
      <c r="C97" s="674"/>
      <c r="D97" s="674"/>
      <c r="E97" s="674"/>
      <c r="F97" s="674"/>
      <c r="G97" s="674"/>
      <c r="H97" s="674"/>
      <c r="I97" s="674"/>
      <c r="J97" s="674"/>
      <c r="K97" s="674"/>
      <c r="L97" s="674"/>
      <c r="M97" s="674"/>
      <c r="N97" s="674"/>
      <c r="O97" s="674"/>
      <c r="P97" s="674"/>
      <c r="Q97" s="102"/>
      <c r="R97" s="102"/>
      <c r="S97" s="102"/>
      <c r="T97" s="102"/>
      <c r="U97" s="102"/>
      <c r="V97" s="102"/>
      <c r="W97" s="102"/>
      <c r="X97" s="102"/>
      <c r="Y97" s="102"/>
      <c r="Z97" s="102"/>
    </row>
    <row r="98" customFormat="false" ht="12.75" hidden="false" customHeight="false" outlineLevel="1" collapsed="false">
      <c r="A98" s="70"/>
      <c r="B98" s="70"/>
      <c r="C98" s="674"/>
      <c r="D98" s="674"/>
      <c r="E98" s="674"/>
      <c r="F98" s="674"/>
      <c r="G98" s="674"/>
      <c r="H98" s="674"/>
      <c r="I98" s="674"/>
      <c r="J98" s="674"/>
      <c r="K98" s="674"/>
      <c r="L98" s="674"/>
      <c r="M98" s="674"/>
      <c r="N98" s="674"/>
      <c r="O98" s="674"/>
      <c r="P98" s="674"/>
      <c r="Q98" s="102"/>
      <c r="R98" s="102"/>
      <c r="S98" s="102"/>
      <c r="T98" s="102"/>
      <c r="U98" s="102"/>
      <c r="V98" s="102"/>
      <c r="W98" s="102"/>
      <c r="X98" s="102"/>
      <c r="Y98" s="102"/>
      <c r="Z98" s="102"/>
    </row>
    <row r="99" customFormat="false" ht="12.75" hidden="false" customHeight="false" outlineLevel="1" collapsed="false">
      <c r="A99" s="395"/>
      <c r="B99" s="70"/>
      <c r="C99" s="674"/>
      <c r="D99" s="674"/>
      <c r="E99" s="674"/>
      <c r="F99" s="674"/>
      <c r="G99" s="674"/>
      <c r="H99" s="674"/>
      <c r="I99" s="674"/>
      <c r="J99" s="674"/>
      <c r="K99" s="674"/>
      <c r="L99" s="674"/>
      <c r="M99" s="674"/>
      <c r="N99" s="674"/>
      <c r="O99" s="674"/>
      <c r="P99" s="674"/>
      <c r="Q99" s="102"/>
      <c r="R99" s="102"/>
      <c r="S99" s="102"/>
      <c r="T99" s="102"/>
      <c r="U99" s="102"/>
      <c r="V99" s="102"/>
      <c r="W99" s="102"/>
      <c r="X99" s="102"/>
      <c r="Y99" s="102"/>
      <c r="Z99" s="102"/>
    </row>
    <row r="100" customFormat="false" ht="12.75" hidden="false" customHeight="false" outlineLevel="1" collapsed="false">
      <c r="A100" s="70"/>
      <c r="B100" s="70"/>
      <c r="C100" s="674"/>
      <c r="D100" s="674"/>
      <c r="E100" s="674"/>
      <c r="F100" s="674"/>
      <c r="G100" s="674"/>
      <c r="H100" s="674"/>
      <c r="I100" s="674"/>
      <c r="J100" s="674"/>
      <c r="K100" s="674"/>
      <c r="L100" s="674"/>
      <c r="M100" s="674"/>
      <c r="N100" s="674"/>
      <c r="O100" s="674"/>
      <c r="P100" s="674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</row>
    <row r="101" customFormat="false" ht="12.75" hidden="false" customHeight="false" outlineLevel="1" collapsed="false">
      <c r="A101" s="70"/>
      <c r="B101" s="395"/>
      <c r="C101" s="675"/>
      <c r="D101" s="675"/>
      <c r="E101" s="675"/>
      <c r="F101" s="675"/>
      <c r="G101" s="675"/>
      <c r="H101" s="675"/>
      <c r="I101" s="675"/>
      <c r="J101" s="675"/>
      <c r="K101" s="675"/>
      <c r="L101" s="675"/>
      <c r="M101" s="675"/>
      <c r="N101" s="675"/>
      <c r="O101" s="675"/>
      <c r="P101" s="675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</row>
    <row r="102" customFormat="false" ht="12.75" hidden="false" customHeight="false" outlineLevel="1" collapsed="false">
      <c r="A102" s="70"/>
      <c r="B102" s="395"/>
      <c r="C102" s="675"/>
      <c r="D102" s="675"/>
      <c r="E102" s="675"/>
      <c r="F102" s="675"/>
      <c r="G102" s="675"/>
      <c r="H102" s="675"/>
      <c r="I102" s="675"/>
      <c r="J102" s="675"/>
      <c r="K102" s="675"/>
      <c r="L102" s="675"/>
      <c r="M102" s="675"/>
      <c r="N102" s="675"/>
      <c r="O102" s="675"/>
      <c r="P102" s="675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</row>
    <row r="103" customFormat="false" ht="12.75" hidden="false" customHeight="false" outlineLevel="1" collapsed="false">
      <c r="A103" s="395"/>
      <c r="B103" s="395"/>
      <c r="C103" s="675"/>
      <c r="D103" s="675"/>
      <c r="E103" s="675"/>
      <c r="F103" s="675"/>
      <c r="G103" s="675"/>
      <c r="H103" s="675"/>
      <c r="I103" s="675"/>
      <c r="J103" s="675"/>
      <c r="K103" s="675"/>
      <c r="L103" s="675"/>
      <c r="M103" s="675"/>
      <c r="N103" s="675"/>
      <c r="O103" s="675"/>
      <c r="P103" s="675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</row>
    <row r="104" customFormat="false" ht="12.75" hidden="false" customHeight="false" outlineLevel="1" collapsed="false">
      <c r="A104" s="395"/>
      <c r="B104" s="70"/>
      <c r="C104" s="675"/>
      <c r="D104" s="675"/>
      <c r="E104" s="675"/>
      <c r="F104" s="675"/>
      <c r="G104" s="675"/>
      <c r="H104" s="675"/>
      <c r="I104" s="675"/>
      <c r="J104" s="675"/>
      <c r="K104" s="675"/>
      <c r="L104" s="675"/>
      <c r="M104" s="675"/>
      <c r="N104" s="675"/>
      <c r="O104" s="675"/>
      <c r="P104" s="675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</row>
    <row r="105" customFormat="false" ht="14.25" hidden="false" customHeight="false" outlineLevel="1" collapsed="false">
      <c r="A105" s="676"/>
      <c r="B105" s="70"/>
      <c r="C105" s="675"/>
      <c r="D105" s="675"/>
      <c r="E105" s="675"/>
      <c r="F105" s="675"/>
      <c r="G105" s="675"/>
      <c r="H105" s="675"/>
      <c r="I105" s="675"/>
      <c r="J105" s="675"/>
      <c r="K105" s="675"/>
      <c r="L105" s="675"/>
      <c r="M105" s="675"/>
      <c r="N105" s="675"/>
      <c r="O105" s="675"/>
      <c r="P105" s="675"/>
      <c r="Q105" s="102"/>
      <c r="R105" s="102"/>
      <c r="S105" s="102"/>
      <c r="T105" s="102"/>
      <c r="U105" s="102"/>
      <c r="V105" s="102"/>
      <c r="W105" s="102"/>
      <c r="X105" s="102"/>
      <c r="Y105" s="102"/>
      <c r="Z105" s="102"/>
    </row>
    <row r="106" customFormat="false" ht="14.25" hidden="false" customHeight="false" outlineLevel="1" collapsed="false">
      <c r="A106" s="70"/>
      <c r="B106" s="676"/>
      <c r="C106" s="675"/>
      <c r="D106" s="675"/>
      <c r="E106" s="675"/>
      <c r="F106" s="675"/>
      <c r="G106" s="675"/>
      <c r="H106" s="675"/>
      <c r="I106" s="675"/>
      <c r="J106" s="675"/>
      <c r="K106" s="675"/>
      <c r="L106" s="675"/>
      <c r="M106" s="675"/>
      <c r="N106" s="675"/>
      <c r="O106" s="675"/>
      <c r="P106" s="675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</row>
    <row r="107" customFormat="false" ht="15.75" hidden="false" customHeight="false" outlineLevel="1" collapsed="false">
      <c r="A107" s="673"/>
      <c r="B107" s="70"/>
      <c r="C107" s="70"/>
      <c r="D107" s="70"/>
      <c r="E107" s="674"/>
      <c r="F107" s="70"/>
      <c r="G107" s="70"/>
      <c r="H107" s="674"/>
      <c r="I107" s="70"/>
      <c r="J107" s="70"/>
      <c r="K107" s="70"/>
      <c r="L107" s="70"/>
      <c r="M107" s="70"/>
      <c r="N107" s="70"/>
      <c r="O107" s="70"/>
      <c r="P107" s="70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</row>
    <row r="108" customFormat="false" ht="12.75" hidden="false" customHeight="false" outlineLevel="1" collapsed="false">
      <c r="A108" s="395"/>
      <c r="B108" s="70"/>
      <c r="C108" s="677"/>
      <c r="D108" s="677"/>
      <c r="E108" s="674"/>
      <c r="F108" s="674"/>
      <c r="G108" s="674"/>
      <c r="H108" s="678"/>
      <c r="I108" s="679"/>
      <c r="J108" s="679"/>
      <c r="K108" s="679"/>
      <c r="L108" s="679"/>
      <c r="M108" s="679"/>
      <c r="N108" s="679"/>
      <c r="O108" s="679"/>
      <c r="P108" s="679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</row>
    <row r="109" customFormat="false" ht="12.75" hidden="false" customHeight="false" outlineLevel="1" collapsed="false">
      <c r="A109" s="395"/>
      <c r="B109" s="198"/>
      <c r="C109" s="680"/>
      <c r="D109" s="680"/>
      <c r="E109" s="680"/>
      <c r="F109" s="680"/>
      <c r="G109" s="680"/>
      <c r="H109" s="680"/>
      <c r="I109" s="680"/>
      <c r="J109" s="680"/>
      <c r="K109" s="680"/>
      <c r="L109" s="680"/>
      <c r="M109" s="680"/>
      <c r="N109" s="680"/>
      <c r="O109" s="680"/>
      <c r="P109" s="680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</row>
    <row r="110" customFormat="false" ht="12.75" hidden="false" customHeight="false" outlineLevel="1" collapsed="false">
      <c r="A110" s="198"/>
      <c r="B110" s="198"/>
      <c r="C110" s="680"/>
      <c r="D110" s="680"/>
      <c r="E110" s="680"/>
      <c r="F110" s="680"/>
      <c r="G110" s="680"/>
      <c r="H110" s="680"/>
      <c r="I110" s="680"/>
      <c r="J110" s="680"/>
      <c r="K110" s="680"/>
      <c r="L110" s="680"/>
      <c r="M110" s="680"/>
      <c r="N110" s="680"/>
      <c r="O110" s="680"/>
      <c r="P110" s="680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</row>
    <row r="111" customFormat="false" ht="12.75" hidden="false" customHeight="false" outlineLevel="1" collapsed="false">
      <c r="A111" s="198"/>
      <c r="B111" s="198"/>
      <c r="C111" s="680"/>
      <c r="D111" s="680"/>
      <c r="E111" s="680"/>
      <c r="F111" s="680"/>
      <c r="G111" s="680"/>
      <c r="H111" s="680"/>
      <c r="I111" s="680"/>
      <c r="J111" s="680"/>
      <c r="K111" s="680"/>
      <c r="L111" s="680"/>
      <c r="M111" s="680"/>
      <c r="N111" s="680"/>
      <c r="O111" s="680"/>
      <c r="P111" s="680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</row>
    <row r="112" customFormat="false" ht="12.75" hidden="false" customHeight="false" outlineLevel="1" collapsed="false">
      <c r="A112" s="198"/>
      <c r="B112" s="70"/>
      <c r="C112" s="674"/>
      <c r="D112" s="674"/>
      <c r="E112" s="674"/>
      <c r="F112" s="674"/>
      <c r="G112" s="674"/>
      <c r="H112" s="674"/>
      <c r="I112" s="674"/>
      <c r="J112" s="674"/>
      <c r="K112" s="674"/>
      <c r="L112" s="674"/>
      <c r="M112" s="674"/>
      <c r="N112" s="674"/>
      <c r="O112" s="674"/>
      <c r="P112" s="674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</row>
    <row r="113" customFormat="false" ht="12.75" hidden="false" customHeight="false" outlineLevel="1" collapsed="false">
      <c r="A113" s="70"/>
      <c r="B113" s="395"/>
      <c r="C113" s="675"/>
      <c r="D113" s="675"/>
      <c r="E113" s="675"/>
      <c r="F113" s="675"/>
      <c r="G113" s="675"/>
      <c r="H113" s="675"/>
      <c r="I113" s="675"/>
      <c r="J113" s="675"/>
      <c r="K113" s="675"/>
      <c r="L113" s="675"/>
      <c r="M113" s="675"/>
      <c r="N113" s="675"/>
      <c r="O113" s="675"/>
      <c r="P113" s="675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</row>
    <row r="114" customFormat="false" ht="12.75" hidden="false" customHeight="false" outlineLevel="1" collapsed="false">
      <c r="A114" s="395"/>
      <c r="B114" s="395"/>
      <c r="C114" s="675"/>
      <c r="D114" s="675"/>
      <c r="E114" s="675"/>
      <c r="F114" s="675"/>
      <c r="G114" s="675"/>
      <c r="H114" s="675"/>
      <c r="I114" s="675"/>
      <c r="J114" s="675"/>
      <c r="K114" s="675"/>
      <c r="L114" s="675"/>
      <c r="M114" s="675"/>
      <c r="N114" s="675"/>
      <c r="O114" s="675"/>
      <c r="P114" s="675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</row>
    <row r="115" customFormat="false" ht="12.75" hidden="false" customHeight="false" outlineLevel="1" collapsed="false">
      <c r="A115" s="395"/>
      <c r="B115" s="70"/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</row>
    <row r="116" customFormat="false" ht="12.75" hidden="false" customHeight="false" outlineLevel="1" collapsed="false">
      <c r="A116" s="70"/>
      <c r="B116" s="70"/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</row>
    <row r="117" customFormat="false" ht="12.75" hidden="false" customHeight="false" outlineLevel="1" collapsed="false">
      <c r="A117" s="70"/>
      <c r="B117" s="395"/>
      <c r="C117" s="675"/>
      <c r="D117" s="675"/>
      <c r="E117" s="675"/>
      <c r="F117" s="675"/>
      <c r="G117" s="675"/>
      <c r="H117" s="675"/>
      <c r="I117" s="675"/>
      <c r="J117" s="675"/>
      <c r="K117" s="675"/>
      <c r="L117" s="675"/>
      <c r="M117" s="675"/>
      <c r="N117" s="675"/>
      <c r="O117" s="675"/>
      <c r="P117" s="675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</row>
    <row r="118" customFormat="false" ht="14.25" hidden="false" customHeight="false" outlineLevel="1" collapsed="false">
      <c r="A118" s="676"/>
      <c r="B118" s="70"/>
      <c r="C118" s="674"/>
      <c r="D118" s="674"/>
      <c r="E118" s="674"/>
      <c r="F118" s="674"/>
      <c r="G118" s="674"/>
      <c r="H118" s="674"/>
      <c r="I118" s="674"/>
      <c r="J118" s="674"/>
      <c r="K118" s="674"/>
      <c r="L118" s="674"/>
      <c r="M118" s="674"/>
      <c r="N118" s="674"/>
      <c r="O118" s="674"/>
      <c r="P118" s="674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</row>
    <row r="119" customFormat="false" ht="12.75" hidden="false" customHeight="false" outlineLevel="1" collapsed="false">
      <c r="A119" s="366"/>
      <c r="B119" s="70"/>
      <c r="C119" s="70"/>
      <c r="D119" s="70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</row>
    <row r="120" customFormat="false" ht="12.75" hidden="false" customHeight="false" outlineLevel="1" collapsed="false">
      <c r="A120" s="367"/>
      <c r="B120" s="70"/>
      <c r="C120" s="70"/>
      <c r="D120" s="70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  <c r="Z120" s="102"/>
    </row>
    <row r="121" customFormat="false" ht="12.75" hidden="false" customHeight="false" outlineLevel="1" collapsed="false">
      <c r="A121" s="367"/>
      <c r="B121" s="70"/>
      <c r="C121" s="70"/>
      <c r="D121" s="70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</row>
    <row r="122" customFormat="false" ht="12.75" hidden="false" customHeight="false" outlineLevel="1" collapsed="false">
      <c r="A122" s="367"/>
      <c r="B122" s="70"/>
      <c r="C122" s="70"/>
      <c r="D122" s="70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</row>
    <row r="123" customFormat="false" ht="12.75" hidden="false" customHeight="false" outlineLevel="1" collapsed="false">
      <c r="A123" s="367"/>
      <c r="B123" s="70"/>
      <c r="C123" s="70"/>
      <c r="D123" s="70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</row>
    <row r="124" customFormat="false" ht="12.75" hidden="false" customHeight="false" outlineLevel="1" collapsed="false">
      <c r="A124" s="367"/>
      <c r="B124" s="70"/>
      <c r="C124" s="70"/>
      <c r="D124" s="70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</row>
    <row r="125" customFormat="false" ht="12.75" hidden="false" customHeight="false" outlineLevel="1" collapsed="false">
      <c r="A125" s="367"/>
      <c r="B125" s="70"/>
      <c r="C125" s="70"/>
      <c r="D125" s="70"/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</row>
    <row r="126" customFormat="false" ht="12.75" hidden="false" customHeight="false" outlineLevel="1" collapsed="false">
      <c r="A126" s="367"/>
      <c r="B126" s="70"/>
      <c r="C126" s="70"/>
      <c r="D126" s="70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</row>
    <row r="127" customFormat="false" ht="12.75" hidden="false" customHeight="false" outlineLevel="1" collapsed="false">
      <c r="A127" s="388"/>
      <c r="B127" s="70"/>
      <c r="C127" s="70"/>
      <c r="D127" s="70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</row>
    <row r="128" customFormat="false" ht="12.75" hidden="false" customHeight="false" outlineLevel="1" collapsed="false">
      <c r="A128" s="670"/>
      <c r="B128" s="70"/>
      <c r="C128" s="70"/>
      <c r="D128" s="70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</row>
    <row r="129" customFormat="false" ht="12.75" hidden="false" customHeight="false" outlineLevel="1" collapsed="false">
      <c r="A129" s="367"/>
      <c r="B129" s="70"/>
      <c r="C129" s="70"/>
      <c r="D129" s="70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  <c r="Z129" s="102"/>
    </row>
    <row r="130" customFormat="false" ht="12.75" hidden="false" customHeight="false" outlineLevel="1" collapsed="false">
      <c r="A130" s="367"/>
      <c r="B130" s="70"/>
      <c r="C130" s="70"/>
      <c r="D130" s="70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  <c r="Z130" s="102"/>
    </row>
    <row r="131" customFormat="false" ht="12.75" hidden="false" customHeight="false" outlineLevel="1" collapsed="false">
      <c r="A131" s="681"/>
      <c r="B131" s="70"/>
      <c r="C131" s="70"/>
      <c r="D131" s="70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</row>
    <row r="132" customFormat="false" ht="12.75" hidden="false" customHeight="false" outlineLevel="1" collapsed="false">
      <c r="A132" s="681"/>
      <c r="B132" s="70"/>
      <c r="C132" s="70"/>
      <c r="D132" s="70"/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</row>
    <row r="133" customFormat="false" ht="12.75" hidden="false" customHeight="false" outlineLevel="1" collapsed="false">
      <c r="A133" s="367"/>
      <c r="B133" s="70"/>
      <c r="C133" s="70"/>
      <c r="D133" s="70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</row>
    <row r="134" customFormat="false" ht="12.75" hidden="false" customHeight="false" outlineLevel="1" collapsed="false">
      <c r="A134" s="681"/>
      <c r="B134" s="70"/>
      <c r="C134" s="70"/>
      <c r="D134" s="70"/>
      <c r="E134" s="102"/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</row>
    <row r="135" customFormat="false" ht="12.75" hidden="false" customHeight="false" outlineLevel="1" collapsed="false">
      <c r="A135" s="367"/>
      <c r="B135" s="70"/>
      <c r="C135" s="70"/>
      <c r="D135" s="70"/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102"/>
      <c r="Y135" s="102"/>
      <c r="Z135" s="102"/>
    </row>
    <row r="136" customFormat="false" ht="12.75" hidden="false" customHeight="false" outlineLevel="1" collapsed="false">
      <c r="A136" s="367"/>
      <c r="B136" s="70"/>
      <c r="C136" s="70"/>
      <c r="D136" s="70"/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102"/>
      <c r="Y136" s="102"/>
      <c r="Z136" s="102"/>
    </row>
    <row r="137" customFormat="false" ht="12.75" hidden="false" customHeight="false" outlineLevel="1" collapsed="false">
      <c r="A137" s="367"/>
      <c r="B137" s="70"/>
      <c r="C137" s="70"/>
      <c r="D137" s="70"/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  <c r="Z137" s="102"/>
    </row>
    <row r="138" customFormat="false" ht="12.75" hidden="false" customHeight="false" outlineLevel="1" collapsed="false">
      <c r="A138" s="681"/>
      <c r="B138" s="70"/>
      <c r="C138" s="70"/>
      <c r="D138" s="70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</row>
    <row r="139" customFormat="false" ht="12.75" hidden="false" customHeight="false" outlineLevel="1" collapsed="false">
      <c r="A139" s="366"/>
      <c r="B139" s="70"/>
      <c r="C139" s="70"/>
      <c r="D139" s="70"/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  <c r="Z139" s="102"/>
    </row>
    <row r="140" customFormat="false" ht="12.75" hidden="false" customHeight="false" outlineLevel="1" collapsed="false">
      <c r="A140" s="388"/>
      <c r="B140" s="70"/>
      <c r="C140" s="70"/>
      <c r="D140" s="70"/>
      <c r="E140" s="102"/>
      <c r="F140" s="102"/>
      <c r="G140" s="102"/>
      <c r="H140" s="102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</row>
    <row r="141" customFormat="false" ht="12.75" hidden="false" customHeight="false" outlineLevel="1" collapsed="false">
      <c r="A141" s="388"/>
      <c r="B141" s="70"/>
      <c r="C141" s="70"/>
      <c r="D141" s="70"/>
      <c r="E141" s="102"/>
      <c r="F141" s="102"/>
      <c r="G141" s="102"/>
      <c r="H141" s="102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102"/>
      <c r="Y141" s="102"/>
      <c r="Z141" s="102"/>
    </row>
    <row r="142" customFormat="false" ht="15" hidden="false" customHeight="true" outlineLevel="1" collapsed="false">
      <c r="A142" s="388"/>
      <c r="B142" s="70"/>
      <c r="C142" s="70"/>
      <c r="D142" s="70"/>
      <c r="E142" s="70"/>
      <c r="F142" s="245"/>
      <c r="G142" s="245"/>
      <c r="H142" s="245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  <c r="Z142" s="102"/>
    </row>
    <row r="143" customFormat="false" ht="12.75" hidden="false" customHeight="false" outlineLevel="1" collapsed="false">
      <c r="A143" s="388"/>
      <c r="B143" s="70"/>
      <c r="C143" s="70"/>
      <c r="D143" s="70"/>
      <c r="E143" s="70"/>
      <c r="F143" s="245"/>
      <c r="G143" s="245"/>
      <c r="H143" s="245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</row>
    <row r="144" customFormat="false" ht="14.25" hidden="false" customHeight="true" outlineLevel="1" collapsed="false">
      <c r="A144" s="388"/>
      <c r="B144" s="70"/>
      <c r="C144" s="70"/>
      <c r="D144" s="70"/>
      <c r="E144" s="70"/>
      <c r="F144" s="245"/>
      <c r="G144" s="245"/>
      <c r="H144" s="245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2"/>
      <c r="T144" s="102"/>
      <c r="U144" s="102"/>
      <c r="V144" s="102"/>
      <c r="W144" s="102"/>
      <c r="X144" s="102"/>
      <c r="Y144" s="102"/>
      <c r="Z144" s="102"/>
    </row>
    <row r="145" customFormat="false" ht="12.75" hidden="false" customHeight="false" outlineLevel="1" collapsed="false">
      <c r="A145" s="388"/>
      <c r="B145" s="70"/>
      <c r="C145" s="70"/>
      <c r="D145" s="70"/>
      <c r="E145" s="70"/>
      <c r="F145" s="245"/>
      <c r="G145" s="245"/>
      <c r="H145" s="245"/>
      <c r="I145" s="102"/>
      <c r="J145" s="102"/>
      <c r="K145" s="102"/>
      <c r="L145" s="102"/>
      <c r="M145" s="102"/>
      <c r="N145" s="102"/>
      <c r="O145" s="102"/>
      <c r="P145" s="102"/>
      <c r="Q145" s="102"/>
      <c r="R145" s="102"/>
      <c r="S145" s="102"/>
      <c r="T145" s="102"/>
      <c r="U145" s="102"/>
      <c r="V145" s="102"/>
      <c r="W145" s="102"/>
      <c r="X145" s="102"/>
      <c r="Y145" s="102"/>
      <c r="Z145" s="102"/>
    </row>
    <row r="146" customFormat="false" ht="12.75" hidden="false" customHeight="false" outlineLevel="1" collapsed="false">
      <c r="A146" s="388"/>
      <c r="B146" s="70"/>
      <c r="C146" s="70"/>
      <c r="D146" s="70"/>
      <c r="E146" s="70"/>
      <c r="F146" s="245"/>
      <c r="G146" s="245"/>
      <c r="H146" s="245"/>
      <c r="I146" s="245"/>
      <c r="J146" s="245"/>
      <c r="K146" s="245"/>
      <c r="L146" s="245"/>
      <c r="M146" s="245"/>
      <c r="N146" s="245"/>
      <c r="O146" s="245"/>
      <c r="P146" s="245"/>
      <c r="Q146" s="245"/>
      <c r="R146" s="245"/>
      <c r="S146" s="245"/>
      <c r="T146" s="245"/>
      <c r="U146" s="245"/>
      <c r="V146" s="245"/>
      <c r="W146" s="245"/>
      <c r="X146" s="245"/>
      <c r="Y146" s="245"/>
      <c r="Z146" s="245"/>
    </row>
    <row r="147" customFormat="false" ht="12.75" hidden="false" customHeight="false" outlineLevel="1" collapsed="false">
      <c r="A147" s="398"/>
      <c r="B147" s="70"/>
      <c r="C147" s="70"/>
      <c r="D147" s="70"/>
      <c r="E147" s="70"/>
      <c r="F147" s="245"/>
      <c r="G147" s="245"/>
      <c r="H147" s="245"/>
      <c r="I147" s="245"/>
      <c r="J147" s="245"/>
      <c r="K147" s="245"/>
      <c r="L147" s="245"/>
      <c r="M147" s="245"/>
      <c r="N147" s="245"/>
      <c r="O147" s="245"/>
      <c r="P147" s="245"/>
      <c r="Q147" s="245"/>
      <c r="R147" s="245"/>
      <c r="S147" s="245"/>
      <c r="T147" s="245"/>
      <c r="U147" s="245"/>
      <c r="V147" s="245"/>
      <c r="W147" s="245"/>
      <c r="X147" s="245"/>
      <c r="Y147" s="245"/>
      <c r="Z147" s="245"/>
    </row>
    <row r="148" customFormat="false" ht="12.75" hidden="false" customHeight="false" outlineLevel="1" collapsed="false">
      <c r="A148" s="398"/>
      <c r="B148" s="70"/>
      <c r="C148" s="70"/>
      <c r="D148" s="70"/>
      <c r="E148" s="70"/>
      <c r="F148" s="245"/>
      <c r="G148" s="245"/>
      <c r="H148" s="245"/>
      <c r="I148" s="245"/>
      <c r="J148" s="245"/>
      <c r="K148" s="245"/>
      <c r="L148" s="245"/>
      <c r="M148" s="245"/>
      <c r="N148" s="245"/>
      <c r="O148" s="245"/>
      <c r="P148" s="245"/>
      <c r="Q148" s="245"/>
      <c r="R148" s="245"/>
      <c r="S148" s="245"/>
      <c r="T148" s="245"/>
      <c r="U148" s="245"/>
      <c r="V148" s="245"/>
      <c r="W148" s="245"/>
      <c r="X148" s="245"/>
      <c r="Y148" s="245"/>
      <c r="Z148" s="245"/>
    </row>
    <row r="149" customFormat="false" ht="12.75" hidden="false" customHeight="false" outlineLevel="1" collapsed="false">
      <c r="A149" s="398"/>
      <c r="B149" s="70"/>
      <c r="C149" s="70"/>
      <c r="D149" s="70"/>
      <c r="E149" s="70"/>
      <c r="F149" s="245"/>
      <c r="G149" s="245"/>
      <c r="H149" s="245"/>
      <c r="I149" s="245"/>
      <c r="J149" s="245"/>
      <c r="K149" s="245"/>
      <c r="L149" s="245"/>
      <c r="M149" s="245"/>
      <c r="N149" s="245"/>
      <c r="O149" s="245"/>
      <c r="P149" s="245"/>
      <c r="Q149" s="245"/>
      <c r="R149" s="245"/>
      <c r="S149" s="245"/>
      <c r="T149" s="245"/>
      <c r="U149" s="245"/>
      <c r="V149" s="245"/>
      <c r="W149" s="245"/>
      <c r="X149" s="245"/>
      <c r="Y149" s="245"/>
      <c r="Z149" s="245"/>
    </row>
    <row r="150" customFormat="false" ht="12.75" hidden="false" customHeight="false" outlineLevel="1" collapsed="false">
      <c r="A150" s="245"/>
      <c r="B150" s="70"/>
      <c r="C150" s="70"/>
      <c r="D150" s="70"/>
      <c r="E150" s="70"/>
      <c r="F150" s="245"/>
      <c r="G150" s="245"/>
      <c r="H150" s="245"/>
      <c r="I150" s="245"/>
      <c r="J150" s="245"/>
      <c r="K150" s="245"/>
      <c r="L150" s="245"/>
      <c r="M150" s="245"/>
      <c r="N150" s="245"/>
      <c r="O150" s="245"/>
      <c r="P150" s="245"/>
      <c r="Q150" s="245"/>
      <c r="R150" s="245"/>
      <c r="S150" s="245"/>
      <c r="T150" s="245"/>
      <c r="U150" s="245"/>
      <c r="V150" s="245"/>
      <c r="W150" s="245"/>
      <c r="X150" s="245"/>
      <c r="Y150" s="245"/>
      <c r="Z150" s="245"/>
    </row>
    <row r="151" customFormat="false" ht="12.75" hidden="false" customHeight="false" outlineLevel="1" collapsed="false">
      <c r="A151" s="70"/>
      <c r="B151" s="70"/>
      <c r="C151" s="70"/>
      <c r="D151" s="70"/>
      <c r="E151" s="70"/>
      <c r="F151" s="245"/>
      <c r="G151" s="245"/>
      <c r="H151" s="245"/>
      <c r="I151" s="245"/>
      <c r="J151" s="245"/>
      <c r="K151" s="245"/>
      <c r="L151" s="245"/>
      <c r="M151" s="245"/>
      <c r="N151" s="245"/>
      <c r="O151" s="245"/>
      <c r="P151" s="245"/>
      <c r="Q151" s="245"/>
      <c r="R151" s="245"/>
      <c r="S151" s="245"/>
      <c r="T151" s="245"/>
      <c r="U151" s="245"/>
      <c r="V151" s="245"/>
      <c r="W151" s="245"/>
      <c r="X151" s="245"/>
      <c r="Y151" s="245"/>
      <c r="Z151" s="245"/>
    </row>
    <row r="152" customFormat="false" ht="12.75" hidden="false" customHeight="false" outlineLevel="1" collapsed="false">
      <c r="A152" s="70"/>
      <c r="B152" s="70"/>
      <c r="C152" s="70"/>
      <c r="D152" s="70"/>
      <c r="E152" s="70"/>
      <c r="F152" s="245"/>
      <c r="G152" s="245"/>
      <c r="H152" s="245"/>
      <c r="I152" s="245"/>
      <c r="J152" s="245"/>
      <c r="K152" s="245"/>
      <c r="L152" s="245"/>
      <c r="M152" s="245"/>
      <c r="N152" s="245"/>
      <c r="O152" s="245"/>
      <c r="P152" s="245"/>
      <c r="Q152" s="245"/>
      <c r="R152" s="245"/>
      <c r="S152" s="245"/>
      <c r="T152" s="245"/>
      <c r="U152" s="245"/>
      <c r="V152" s="245"/>
      <c r="W152" s="245"/>
      <c r="X152" s="245"/>
      <c r="Y152" s="245"/>
      <c r="Z152" s="245"/>
    </row>
    <row r="153" customFormat="false" ht="12.75" hidden="false" customHeight="false" outlineLevel="1" collapsed="false">
      <c r="A153" s="70"/>
      <c r="B153" s="70"/>
      <c r="C153" s="70"/>
      <c r="D153" s="70"/>
      <c r="E153" s="70"/>
      <c r="F153" s="245"/>
      <c r="G153" s="245"/>
      <c r="H153" s="245"/>
      <c r="I153" s="245"/>
      <c r="J153" s="245"/>
      <c r="K153" s="245"/>
      <c r="L153" s="245"/>
      <c r="M153" s="245"/>
      <c r="N153" s="245"/>
      <c r="O153" s="245"/>
      <c r="P153" s="245"/>
      <c r="Q153" s="245"/>
      <c r="R153" s="245"/>
      <c r="S153" s="245"/>
      <c r="T153" s="245"/>
      <c r="U153" s="245"/>
      <c r="V153" s="245"/>
      <c r="W153" s="245"/>
      <c r="X153" s="245"/>
      <c r="Y153" s="245"/>
      <c r="Z153" s="245"/>
    </row>
    <row r="154" customFormat="false" ht="18.75" hidden="false" customHeight="false" outlineLevel="1" collapsed="false">
      <c r="A154" s="682"/>
      <c r="B154" s="70"/>
      <c r="C154" s="70"/>
      <c r="D154" s="70"/>
      <c r="E154" s="70"/>
      <c r="F154" s="245"/>
      <c r="G154" s="245"/>
      <c r="H154" s="245"/>
      <c r="I154" s="245"/>
      <c r="J154" s="245"/>
      <c r="K154" s="245"/>
      <c r="L154" s="245"/>
      <c r="M154" s="245"/>
      <c r="N154" s="245"/>
      <c r="O154" s="245"/>
      <c r="P154" s="245"/>
      <c r="Q154" s="245"/>
      <c r="R154" s="245"/>
      <c r="S154" s="245"/>
      <c r="T154" s="245"/>
      <c r="U154" s="245"/>
      <c r="V154" s="245"/>
      <c r="W154" s="245"/>
      <c r="X154" s="245"/>
      <c r="Y154" s="245"/>
      <c r="Z154" s="245"/>
    </row>
    <row r="155" customFormat="false" ht="12.75" hidden="false" customHeight="false" outlineLevel="1" collapsed="false">
      <c r="A155" s="395"/>
      <c r="B155" s="70"/>
      <c r="C155" s="70"/>
      <c r="D155" s="70"/>
      <c r="E155" s="70"/>
      <c r="F155" s="245"/>
      <c r="G155" s="245"/>
      <c r="H155" s="245"/>
      <c r="I155" s="245"/>
      <c r="J155" s="245"/>
      <c r="K155" s="245"/>
      <c r="L155" s="245"/>
      <c r="M155" s="245"/>
      <c r="N155" s="245"/>
      <c r="O155" s="245"/>
      <c r="P155" s="245"/>
      <c r="Q155" s="245"/>
      <c r="R155" s="245"/>
      <c r="S155" s="245"/>
      <c r="T155" s="245"/>
      <c r="U155" s="245"/>
      <c r="V155" s="245"/>
      <c r="W155" s="245"/>
      <c r="X155" s="245"/>
      <c r="Y155" s="245"/>
      <c r="Z155" s="245"/>
    </row>
    <row r="156" customFormat="false" ht="12.75" hidden="false" customHeight="false" outlineLevel="1" collapsed="false">
      <c r="A156" s="395"/>
      <c r="B156" s="70"/>
      <c r="C156" s="70"/>
      <c r="D156" s="70"/>
      <c r="E156" s="70"/>
      <c r="F156" s="245"/>
      <c r="G156" s="245"/>
      <c r="H156" s="245"/>
      <c r="I156" s="245"/>
      <c r="J156" s="245"/>
      <c r="K156" s="245"/>
      <c r="L156" s="245"/>
      <c r="M156" s="245"/>
      <c r="N156" s="245"/>
      <c r="O156" s="245"/>
      <c r="P156" s="245"/>
      <c r="Q156" s="245"/>
      <c r="R156" s="245"/>
      <c r="S156" s="245"/>
      <c r="T156" s="245"/>
      <c r="U156" s="245"/>
      <c r="V156" s="245"/>
      <c r="W156" s="245"/>
      <c r="X156" s="245"/>
      <c r="Y156" s="245"/>
      <c r="Z156" s="245"/>
    </row>
    <row r="157" customFormat="false" ht="12.75" hidden="false" customHeight="false" outlineLevel="1" collapsed="false">
      <c r="A157" s="70"/>
      <c r="B157" s="70"/>
      <c r="C157" s="70"/>
      <c r="D157" s="70"/>
      <c r="E157" s="70"/>
      <c r="F157" s="245"/>
      <c r="G157" s="245"/>
      <c r="H157" s="245"/>
      <c r="I157" s="245"/>
      <c r="J157" s="245"/>
      <c r="K157" s="245"/>
      <c r="L157" s="245"/>
      <c r="M157" s="245"/>
      <c r="N157" s="245"/>
      <c r="O157" s="245"/>
      <c r="P157" s="245"/>
      <c r="Q157" s="245"/>
      <c r="R157" s="245"/>
      <c r="S157" s="245"/>
      <c r="T157" s="245"/>
      <c r="U157" s="245"/>
      <c r="V157" s="245"/>
      <c r="W157" s="245"/>
      <c r="X157" s="245"/>
      <c r="Y157" s="245"/>
      <c r="Z157" s="245"/>
    </row>
    <row r="158" customFormat="false" ht="12.75" hidden="false" customHeight="false" outlineLevel="1" collapsed="false">
      <c r="A158" s="70"/>
      <c r="B158" s="70"/>
      <c r="C158" s="70"/>
      <c r="D158" s="70"/>
      <c r="E158" s="70"/>
      <c r="F158" s="245"/>
      <c r="G158" s="245"/>
      <c r="H158" s="245"/>
      <c r="I158" s="245"/>
      <c r="J158" s="245"/>
      <c r="K158" s="245"/>
      <c r="L158" s="245"/>
      <c r="M158" s="245"/>
      <c r="N158" s="245"/>
      <c r="O158" s="245"/>
      <c r="P158" s="245"/>
      <c r="Q158" s="245"/>
      <c r="R158" s="245"/>
      <c r="S158" s="245"/>
      <c r="T158" s="245"/>
      <c r="U158" s="245"/>
      <c r="V158" s="245"/>
      <c r="W158" s="245"/>
      <c r="X158" s="245"/>
      <c r="Y158" s="245"/>
      <c r="Z158" s="245"/>
    </row>
    <row r="159" customFormat="false" ht="12.75" hidden="false" customHeight="false" outlineLevel="1" collapsed="false">
      <c r="A159" s="322"/>
      <c r="B159" s="322"/>
      <c r="C159" s="322"/>
      <c r="D159" s="322"/>
      <c r="E159" s="321"/>
      <c r="F159" s="321"/>
      <c r="G159" s="321"/>
      <c r="H159" s="321"/>
      <c r="I159" s="321"/>
      <c r="J159" s="321"/>
      <c r="K159" s="321"/>
      <c r="L159" s="321"/>
      <c r="M159" s="321"/>
      <c r="N159" s="321"/>
      <c r="O159" s="321"/>
      <c r="P159" s="321"/>
      <c r="Q159" s="321"/>
      <c r="R159" s="321"/>
      <c r="S159" s="321"/>
      <c r="T159" s="321"/>
      <c r="U159" s="321"/>
      <c r="V159" s="321"/>
      <c r="W159" s="321"/>
      <c r="X159" s="321"/>
      <c r="Y159" s="321"/>
      <c r="Z159" s="321"/>
    </row>
    <row r="160" customFormat="false" ht="12.75" hidden="false" customHeight="false" outlineLevel="1" collapsed="false">
      <c r="A160" s="388"/>
      <c r="B160" s="70"/>
      <c r="C160" s="70"/>
      <c r="D160" s="70"/>
      <c r="E160" s="70"/>
      <c r="F160" s="245"/>
      <c r="G160" s="245"/>
      <c r="H160" s="245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</row>
    <row r="161" customFormat="false" ht="12.75" hidden="false" customHeight="false" outlineLevel="1" collapsed="false">
      <c r="A161" s="367"/>
      <c r="B161" s="70"/>
      <c r="C161" s="70"/>
      <c r="D161" s="70"/>
      <c r="E161" s="70"/>
      <c r="F161" s="245"/>
      <c r="G161" s="245"/>
      <c r="H161" s="245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</row>
    <row r="162" customFormat="false" ht="12.75" hidden="false" customHeight="false" outlineLevel="1" collapsed="false">
      <c r="A162" s="367"/>
      <c r="B162" s="70"/>
      <c r="C162" s="70"/>
      <c r="D162" s="70"/>
      <c r="E162" s="70"/>
      <c r="F162" s="245"/>
      <c r="G162" s="245"/>
      <c r="H162" s="245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</row>
    <row r="163" customFormat="false" ht="12.75" hidden="false" customHeight="false" outlineLevel="1" collapsed="false">
      <c r="A163" s="366"/>
      <c r="B163" s="70"/>
      <c r="C163" s="70"/>
      <c r="D163" s="70"/>
      <c r="E163" s="70"/>
      <c r="F163" s="245"/>
      <c r="G163" s="245"/>
      <c r="H163" s="245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</row>
    <row r="164" customFormat="false" ht="12.75" hidden="false" customHeight="false" outlineLevel="1" collapsed="false">
      <c r="A164" s="245"/>
      <c r="B164" s="70"/>
      <c r="C164" s="70"/>
      <c r="D164" s="70"/>
      <c r="E164" s="70"/>
      <c r="F164" s="245"/>
      <c r="G164" s="245"/>
      <c r="H164" s="245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</row>
    <row r="165" customFormat="false" ht="12.75" hidden="false" customHeight="false" outlineLevel="1" collapsed="false">
      <c r="A165" s="388"/>
      <c r="B165" s="70"/>
      <c r="C165" s="70"/>
      <c r="D165" s="70"/>
      <c r="E165" s="70"/>
      <c r="F165" s="245"/>
      <c r="G165" s="245"/>
      <c r="H165" s="245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</row>
    <row r="166" customFormat="false" ht="12.75" hidden="false" customHeight="false" outlineLevel="1" collapsed="false">
      <c r="A166" s="367"/>
      <c r="B166" s="70"/>
      <c r="C166" s="70"/>
      <c r="D166" s="70"/>
      <c r="E166" s="70"/>
      <c r="F166" s="245"/>
      <c r="G166" s="245"/>
      <c r="H166" s="245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</row>
    <row r="167" customFormat="false" ht="12.75" hidden="false" customHeight="false" outlineLevel="1" collapsed="false">
      <c r="A167" s="367"/>
      <c r="B167" s="70"/>
      <c r="C167" s="70"/>
      <c r="D167" s="70"/>
      <c r="E167" s="70"/>
      <c r="F167" s="245"/>
      <c r="G167" s="245"/>
      <c r="H167" s="245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</row>
    <row r="168" customFormat="false" ht="12.75" hidden="false" customHeight="false" outlineLevel="1" collapsed="false">
      <c r="A168" s="367"/>
      <c r="B168" s="70"/>
      <c r="C168" s="70"/>
      <c r="D168" s="70"/>
      <c r="E168" s="102"/>
      <c r="F168" s="245"/>
      <c r="G168" s="245"/>
      <c r="H168" s="245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</row>
    <row r="169" customFormat="false" ht="12.75" hidden="false" customHeight="false" outlineLevel="1" collapsed="false">
      <c r="A169" s="367"/>
      <c r="B169" s="70"/>
      <c r="C169" s="70"/>
      <c r="D169" s="70"/>
      <c r="E169" s="70"/>
      <c r="F169" s="245"/>
      <c r="G169" s="245"/>
      <c r="H169" s="245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</row>
    <row r="170" customFormat="false" ht="12.75" hidden="false" customHeight="false" outlineLevel="1" collapsed="false">
      <c r="A170" s="245"/>
      <c r="B170" s="70"/>
      <c r="C170" s="70"/>
      <c r="D170" s="70"/>
      <c r="E170" s="70"/>
      <c r="F170" s="245"/>
      <c r="G170" s="245"/>
      <c r="H170" s="245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</row>
    <row r="171" customFormat="false" ht="12.75" hidden="false" customHeight="false" outlineLevel="1" collapsed="false">
      <c r="A171" s="388"/>
      <c r="B171" s="70"/>
      <c r="C171" s="70"/>
      <c r="D171" s="70"/>
      <c r="E171" s="70"/>
      <c r="F171" s="245"/>
      <c r="G171" s="245"/>
      <c r="H171" s="245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</row>
    <row r="172" customFormat="false" ht="12.75" hidden="false" customHeight="false" outlineLevel="1" collapsed="false">
      <c r="A172" s="245"/>
      <c r="B172" s="70"/>
      <c r="C172" s="70"/>
      <c r="D172" s="70"/>
      <c r="E172" s="70"/>
      <c r="F172" s="245"/>
      <c r="G172" s="245"/>
      <c r="H172" s="245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</row>
    <row r="173" customFormat="false" ht="12.75" hidden="false" customHeight="false" outlineLevel="1" collapsed="false">
      <c r="A173" s="388"/>
      <c r="B173" s="70"/>
      <c r="C173" s="70"/>
      <c r="D173" s="70"/>
      <c r="E173" s="70"/>
      <c r="F173" s="245"/>
      <c r="G173" s="245"/>
      <c r="H173" s="245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</row>
    <row r="174" customFormat="false" ht="12.75" hidden="false" customHeight="false" outlineLevel="1" collapsed="false">
      <c r="A174" s="367"/>
      <c r="B174" s="70"/>
      <c r="C174" s="70"/>
      <c r="D174" s="70"/>
      <c r="E174" s="70"/>
      <c r="F174" s="245"/>
      <c r="G174" s="245"/>
      <c r="H174" s="245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</row>
    <row r="175" customFormat="false" ht="12.75" hidden="false" customHeight="false" outlineLevel="1" collapsed="false">
      <c r="A175" s="388"/>
      <c r="B175" s="70"/>
      <c r="C175" s="70"/>
      <c r="D175" s="70"/>
      <c r="E175" s="70"/>
      <c r="F175" s="245"/>
      <c r="G175" s="245"/>
      <c r="H175" s="245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</row>
    <row r="176" customFormat="false" ht="12.75" hidden="false" customHeight="false" outlineLevel="1" collapsed="false">
      <c r="A176" s="681"/>
      <c r="B176" s="70"/>
      <c r="C176" s="70"/>
      <c r="D176" s="70"/>
      <c r="E176" s="70"/>
      <c r="F176" s="245"/>
      <c r="G176" s="245"/>
      <c r="H176" s="245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</row>
    <row r="177" customFormat="false" ht="12.75" hidden="false" customHeight="false" outlineLevel="1" collapsed="false">
      <c r="A177" s="367"/>
      <c r="B177" s="70"/>
      <c r="C177" s="70"/>
      <c r="D177" s="70"/>
      <c r="E177" s="70"/>
      <c r="F177" s="245"/>
      <c r="G177" s="245"/>
      <c r="H177" s="245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</row>
    <row r="178" customFormat="false" ht="12.75" hidden="false" customHeight="false" outlineLevel="1" collapsed="false">
      <c r="A178" s="366"/>
      <c r="B178" s="70"/>
      <c r="C178" s="70"/>
      <c r="D178" s="70"/>
      <c r="E178" s="70"/>
      <c r="F178" s="245"/>
      <c r="G178" s="245"/>
      <c r="H178" s="245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</row>
    <row r="179" customFormat="false" ht="12.75" hidden="false" customHeight="false" outlineLevel="1" collapsed="false">
      <c r="A179" s="367"/>
      <c r="B179" s="70"/>
      <c r="C179" s="70"/>
      <c r="D179" s="70"/>
      <c r="E179" s="70"/>
      <c r="F179" s="245"/>
      <c r="G179" s="245"/>
      <c r="H179" s="245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</row>
    <row r="180" customFormat="false" ht="12.75" hidden="false" customHeight="false" outlineLevel="1" collapsed="false">
      <c r="A180" s="366"/>
      <c r="B180" s="70"/>
      <c r="C180" s="70"/>
      <c r="D180" s="70"/>
      <c r="E180" s="70"/>
      <c r="F180" s="245"/>
      <c r="G180" s="245"/>
      <c r="H180" s="245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</row>
    <row r="181" customFormat="false" ht="12.75" hidden="false" customHeight="false" outlineLevel="1" collapsed="false">
      <c r="A181" s="367"/>
      <c r="B181" s="70"/>
      <c r="C181" s="70"/>
      <c r="D181" s="70"/>
      <c r="E181" s="70"/>
      <c r="F181" s="245"/>
      <c r="G181" s="245"/>
      <c r="H181" s="245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</row>
    <row r="182" customFormat="false" ht="12.75" hidden="false" customHeight="false" outlineLevel="1" collapsed="false">
      <c r="A182" s="367"/>
      <c r="B182" s="70"/>
      <c r="C182" s="70"/>
      <c r="D182" s="70"/>
      <c r="E182" s="70"/>
      <c r="F182" s="245"/>
      <c r="G182" s="245"/>
      <c r="H182" s="245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</row>
    <row r="183" customFormat="false" ht="12.75" hidden="false" customHeight="false" outlineLevel="1" collapsed="false">
      <c r="A183" s="367"/>
      <c r="B183" s="70"/>
      <c r="C183" s="70"/>
      <c r="D183" s="70"/>
      <c r="E183" s="70"/>
      <c r="F183" s="245"/>
      <c r="G183" s="245"/>
      <c r="H183" s="245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</row>
    <row r="184" customFormat="false" ht="12.75" hidden="false" customHeight="false" outlineLevel="1" collapsed="false">
      <c r="A184" s="367"/>
      <c r="B184" s="70"/>
      <c r="C184" s="70"/>
      <c r="D184" s="70"/>
      <c r="E184" s="70"/>
      <c r="F184" s="245"/>
      <c r="G184" s="245"/>
      <c r="H184" s="245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</row>
    <row r="185" customFormat="false" ht="12.75" hidden="false" customHeight="false" outlineLevel="1" collapsed="false">
      <c r="A185" s="367"/>
      <c r="B185" s="70"/>
      <c r="C185" s="70"/>
      <c r="D185" s="70"/>
      <c r="E185" s="70"/>
      <c r="F185" s="245"/>
      <c r="G185" s="245"/>
      <c r="H185" s="245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</row>
    <row r="186" customFormat="false" ht="12.75" hidden="false" customHeight="false" outlineLevel="1" collapsed="false">
      <c r="A186" s="367"/>
      <c r="B186" s="70"/>
      <c r="C186" s="70"/>
      <c r="D186" s="70"/>
      <c r="E186" s="70"/>
      <c r="F186" s="245"/>
      <c r="G186" s="245"/>
      <c r="H186" s="245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</row>
    <row r="187" customFormat="false" ht="12.75" hidden="false" customHeight="false" outlineLevel="1" collapsed="false">
      <c r="A187" s="388"/>
      <c r="B187" s="70"/>
      <c r="C187" s="70"/>
      <c r="D187" s="70"/>
      <c r="E187" s="70"/>
      <c r="F187" s="245"/>
      <c r="G187" s="245"/>
      <c r="H187" s="245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</row>
    <row r="188" customFormat="false" ht="12.75" hidden="false" customHeight="false" outlineLevel="1" collapsed="false">
      <c r="A188" s="670"/>
      <c r="B188" s="70"/>
      <c r="C188" s="70"/>
      <c r="D188" s="70"/>
      <c r="E188" s="70"/>
      <c r="F188" s="245"/>
      <c r="G188" s="245"/>
      <c r="H188" s="245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</row>
    <row r="189" customFormat="false" ht="12.75" hidden="false" customHeight="false" outlineLevel="1" collapsed="false">
      <c r="A189" s="367"/>
      <c r="B189" s="70"/>
      <c r="C189" s="70"/>
      <c r="D189" s="70"/>
      <c r="E189" s="70"/>
      <c r="F189" s="245"/>
      <c r="G189" s="245"/>
      <c r="H189" s="245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</row>
    <row r="190" customFormat="false" ht="12.75" hidden="false" customHeight="false" outlineLevel="1" collapsed="false">
      <c r="A190" s="681"/>
      <c r="B190" s="70"/>
      <c r="C190" s="70"/>
      <c r="D190" s="70"/>
      <c r="E190" s="70"/>
      <c r="F190" s="245"/>
      <c r="G190" s="245"/>
      <c r="H190" s="245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</row>
    <row r="191" customFormat="false" ht="12.75" hidden="false" customHeight="false" outlineLevel="1" collapsed="false">
      <c r="A191" s="681"/>
      <c r="B191" s="70"/>
      <c r="C191" s="70"/>
      <c r="D191" s="70"/>
      <c r="E191" s="70"/>
      <c r="F191" s="245"/>
      <c r="G191" s="245"/>
      <c r="H191" s="245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</row>
    <row r="192" customFormat="false" ht="12.75" hidden="false" customHeight="false" outlineLevel="1" collapsed="false">
      <c r="A192" s="367"/>
      <c r="B192" s="70"/>
      <c r="C192" s="70"/>
      <c r="D192" s="70"/>
      <c r="E192" s="70"/>
      <c r="F192" s="245"/>
      <c r="G192" s="245"/>
      <c r="H192" s="245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</row>
    <row r="193" customFormat="false" ht="12.75" hidden="false" customHeight="false" outlineLevel="1" collapsed="false">
      <c r="A193" s="367"/>
      <c r="B193" s="70"/>
      <c r="C193" s="70"/>
      <c r="D193" s="70"/>
      <c r="E193" s="70"/>
      <c r="F193" s="245"/>
      <c r="G193" s="245"/>
      <c r="H193" s="245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</row>
    <row r="194" customFormat="false" ht="12.75" hidden="false" customHeight="false" outlineLevel="1" collapsed="false">
      <c r="A194" s="366"/>
      <c r="B194" s="70"/>
      <c r="C194" s="70"/>
      <c r="D194" s="70"/>
      <c r="E194" s="70"/>
      <c r="F194" s="245"/>
      <c r="G194" s="245"/>
      <c r="H194" s="245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</row>
    <row r="195" customFormat="false" ht="12.75" hidden="false" customHeight="false" outlineLevel="1" collapsed="false">
      <c r="A195" s="388"/>
      <c r="B195" s="70"/>
      <c r="C195" s="70"/>
      <c r="D195" s="70"/>
      <c r="E195" s="70"/>
      <c r="F195" s="245"/>
      <c r="G195" s="245"/>
      <c r="H195" s="245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</row>
    <row r="196" customFormat="false" ht="12.75" hidden="false" customHeight="false" outlineLevel="1" collapsed="false">
      <c r="A196" s="388"/>
      <c r="B196" s="70"/>
      <c r="C196" s="70"/>
      <c r="D196" s="70"/>
      <c r="E196" s="70"/>
      <c r="F196" s="245"/>
      <c r="G196" s="245"/>
      <c r="H196" s="245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</row>
    <row r="197" customFormat="false" ht="12.75" hidden="false" customHeight="false" outlineLevel="1" collapsed="false">
      <c r="A197" s="388"/>
      <c r="B197" s="70"/>
      <c r="C197" s="70"/>
      <c r="D197" s="70"/>
      <c r="E197" s="70"/>
      <c r="F197" s="245"/>
      <c r="G197" s="245"/>
      <c r="H197" s="245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</row>
    <row r="198" customFormat="false" ht="12.75" hidden="false" customHeight="false" outlineLevel="1" collapsed="false">
      <c r="A198" s="388"/>
      <c r="B198" s="70"/>
      <c r="C198" s="70"/>
      <c r="D198" s="70"/>
      <c r="E198" s="70"/>
      <c r="F198" s="245"/>
      <c r="G198" s="245"/>
      <c r="H198" s="245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</row>
    <row r="199" customFormat="false" ht="12.75" hidden="false" customHeight="false" outlineLevel="1" collapsed="false">
      <c r="A199" s="388"/>
      <c r="B199" s="70"/>
      <c r="C199" s="70"/>
      <c r="D199" s="70"/>
      <c r="E199" s="70"/>
      <c r="F199" s="245"/>
      <c r="G199" s="245"/>
      <c r="H199" s="245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</row>
    <row r="200" customFormat="false" ht="12.75" hidden="false" customHeight="false" outlineLevel="1" collapsed="false">
      <c r="A200" s="388"/>
      <c r="B200" s="70"/>
      <c r="C200" s="70"/>
      <c r="D200" s="70"/>
      <c r="E200" s="70"/>
      <c r="F200" s="245"/>
      <c r="G200" s="245"/>
      <c r="H200" s="245"/>
      <c r="I200" s="102"/>
      <c r="J200" s="102"/>
      <c r="K200" s="102"/>
      <c r="L200" s="102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102"/>
      <c r="Y200" s="102"/>
      <c r="Z200" s="102"/>
    </row>
    <row r="201" customFormat="false" ht="12.75" hidden="false" customHeight="false" outlineLevel="1" collapsed="false">
      <c r="A201" s="388"/>
      <c r="B201" s="70"/>
      <c r="C201" s="70"/>
      <c r="D201" s="70"/>
      <c r="E201" s="70"/>
      <c r="F201" s="245"/>
      <c r="G201" s="245"/>
      <c r="H201" s="245"/>
      <c r="I201" s="102"/>
      <c r="J201" s="102"/>
      <c r="K201" s="102"/>
      <c r="L201" s="102"/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2"/>
      <c r="X201" s="102"/>
      <c r="Y201" s="102"/>
      <c r="Z201" s="102"/>
    </row>
    <row r="202" customFormat="false" ht="12.75" hidden="false" customHeight="false" outlineLevel="1" collapsed="false">
      <c r="A202" s="70"/>
      <c r="B202" s="70"/>
      <c r="C202" s="70"/>
      <c r="D202" s="70"/>
      <c r="E202" s="70"/>
      <c r="F202" s="245"/>
      <c r="G202" s="245"/>
      <c r="H202" s="245"/>
      <c r="I202" s="245"/>
      <c r="J202" s="245"/>
      <c r="K202" s="245"/>
      <c r="L202" s="245"/>
      <c r="M202" s="245"/>
      <c r="N202" s="245"/>
      <c r="O202" s="245"/>
      <c r="P202" s="245"/>
      <c r="Q202" s="245"/>
      <c r="R202" s="245"/>
      <c r="S202" s="245"/>
      <c r="T202" s="245"/>
      <c r="U202" s="245"/>
      <c r="V202" s="245"/>
      <c r="W202" s="245"/>
      <c r="X202" s="245"/>
      <c r="Y202" s="245"/>
      <c r="Z202" s="245"/>
    </row>
    <row r="203" customFormat="false" ht="12.75" hidden="false" customHeight="false" outlineLevel="1" collapsed="false">
      <c r="A203" s="70"/>
      <c r="B203" s="70"/>
      <c r="C203" s="70"/>
      <c r="D203" s="70"/>
      <c r="E203" s="70"/>
      <c r="F203" s="245"/>
      <c r="G203" s="245"/>
      <c r="H203" s="245"/>
      <c r="I203" s="245"/>
      <c r="J203" s="245"/>
      <c r="K203" s="245"/>
      <c r="L203" s="245"/>
      <c r="M203" s="245"/>
      <c r="N203" s="245"/>
      <c r="O203" s="245"/>
      <c r="P203" s="245"/>
      <c r="Q203" s="245"/>
      <c r="R203" s="245"/>
      <c r="S203" s="245"/>
      <c r="T203" s="245"/>
      <c r="U203" s="245"/>
      <c r="V203" s="245"/>
      <c r="W203" s="245"/>
      <c r="X203" s="245"/>
      <c r="Y203" s="245"/>
      <c r="Z203" s="245"/>
    </row>
    <row r="204" customFormat="false" ht="12.75" hidden="false" customHeight="false" outlineLevel="1" collapsed="false">
      <c r="A204" s="70"/>
      <c r="B204" s="70"/>
      <c r="C204" s="70"/>
      <c r="D204" s="70"/>
      <c r="E204" s="70"/>
      <c r="F204" s="70"/>
      <c r="G204" s="70"/>
      <c r="H204" s="70"/>
      <c r="I204" s="245"/>
      <c r="J204" s="245"/>
      <c r="K204" s="245"/>
      <c r="L204" s="245"/>
      <c r="M204" s="245"/>
      <c r="N204" s="245"/>
      <c r="O204" s="245"/>
      <c r="P204" s="245"/>
      <c r="Q204" s="245"/>
      <c r="R204" s="245"/>
      <c r="S204" s="245"/>
      <c r="T204" s="245"/>
      <c r="U204" s="245"/>
      <c r="V204" s="245"/>
      <c r="W204" s="245"/>
      <c r="X204" s="245"/>
      <c r="Y204" s="245"/>
      <c r="Z204" s="245"/>
    </row>
    <row r="205" customFormat="false" ht="18.75" hidden="false" customHeight="false" outlineLevel="1" collapsed="false">
      <c r="A205" s="683"/>
      <c r="B205" s="683"/>
      <c r="C205" s="683"/>
      <c r="D205" s="683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</row>
    <row r="206" customFormat="false" ht="12.75" hidden="false" customHeight="false" outlineLevel="1" collapsed="false">
      <c r="A206" s="395"/>
      <c r="B206" s="395"/>
      <c r="C206" s="395"/>
      <c r="D206" s="395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</row>
    <row r="207" customFormat="false" ht="12.75" hidden="false" customHeight="false" outlineLevel="1" collapsed="false">
      <c r="A207" s="395"/>
      <c r="B207" s="684"/>
      <c r="C207" s="684"/>
      <c r="D207" s="684"/>
      <c r="E207" s="70"/>
      <c r="F207" s="70"/>
      <c r="G207" s="70"/>
      <c r="H207" s="70"/>
      <c r="I207" s="70"/>
      <c r="J207" s="70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</row>
    <row r="208" customFormat="false" ht="12.75" hidden="false" customHeight="false" outlineLevel="1" collapsed="false">
      <c r="A208" s="70"/>
      <c r="B208" s="70"/>
      <c r="C208" s="70"/>
      <c r="D208" s="70"/>
      <c r="E208" s="70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</row>
    <row r="209" customFormat="false" ht="12.75" hidden="false" customHeight="false" outlineLevel="1" collapsed="false">
      <c r="A209" s="322"/>
      <c r="B209" s="321"/>
      <c r="C209" s="321"/>
      <c r="D209" s="321"/>
      <c r="E209" s="321"/>
      <c r="F209" s="321"/>
      <c r="G209" s="321"/>
      <c r="H209" s="321"/>
      <c r="I209" s="321"/>
      <c r="J209" s="321"/>
      <c r="K209" s="321"/>
      <c r="L209" s="321"/>
      <c r="M209" s="321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</row>
    <row r="210" customFormat="false" ht="12.75" hidden="false" customHeight="false" outlineLevel="1" collapsed="false">
      <c r="A210" s="395"/>
      <c r="B210" s="395"/>
      <c r="C210" s="395"/>
      <c r="D210" s="395"/>
      <c r="E210" s="395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</row>
    <row r="211" customFormat="false" ht="12.75" hidden="false" customHeight="false" outlineLevel="1" collapsed="false">
      <c r="A211" s="685"/>
      <c r="B211" s="395"/>
      <c r="C211" s="395"/>
      <c r="D211" s="395"/>
      <c r="E211" s="395"/>
      <c r="F211" s="686"/>
      <c r="G211" s="686"/>
      <c r="H211" s="686"/>
      <c r="I211" s="686"/>
      <c r="J211" s="686"/>
      <c r="K211" s="686"/>
      <c r="L211" s="686"/>
      <c r="M211" s="686"/>
      <c r="N211" s="70"/>
      <c r="O211" s="686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</row>
    <row r="212" customFormat="false" ht="12.75" hidden="false" customHeight="false" outlineLevel="1" collapsed="false">
      <c r="A212" s="685"/>
      <c r="B212" s="395"/>
      <c r="C212" s="395"/>
      <c r="D212" s="395"/>
      <c r="E212" s="395"/>
      <c r="F212" s="686"/>
      <c r="G212" s="686"/>
      <c r="H212" s="686"/>
      <c r="I212" s="686"/>
      <c r="J212" s="686"/>
      <c r="K212" s="686"/>
      <c r="L212" s="686"/>
      <c r="M212" s="686"/>
      <c r="N212" s="70"/>
      <c r="O212" s="686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</row>
    <row r="213" customFormat="false" ht="12.75" hidden="false" customHeight="false" outlineLevel="1" collapsed="false">
      <c r="A213" s="685"/>
      <c r="B213" s="685"/>
      <c r="C213" s="685"/>
      <c r="D213" s="685"/>
      <c r="E213" s="685"/>
      <c r="F213" s="686"/>
      <c r="G213" s="686"/>
      <c r="H213" s="686"/>
      <c r="I213" s="686"/>
      <c r="J213" s="686"/>
      <c r="K213" s="686"/>
      <c r="L213" s="686"/>
      <c r="M213" s="686"/>
      <c r="N213" s="70"/>
      <c r="O213" s="686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</row>
    <row r="214" customFormat="false" ht="12.75" hidden="false" customHeight="false" outlineLevel="1" collapsed="false">
      <c r="A214" s="685"/>
      <c r="B214" s="685"/>
      <c r="C214" s="685"/>
      <c r="D214" s="685"/>
      <c r="E214" s="685"/>
      <c r="F214" s="686"/>
      <c r="G214" s="686"/>
      <c r="H214" s="686"/>
      <c r="I214" s="686"/>
      <c r="J214" s="686"/>
      <c r="K214" s="686"/>
      <c r="L214" s="686"/>
      <c r="M214" s="686"/>
      <c r="N214" s="70"/>
      <c r="O214" s="686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</row>
    <row r="215" customFormat="false" ht="12.75" hidden="false" customHeight="false" outlineLevel="1" collapsed="false">
      <c r="A215" s="685"/>
      <c r="B215" s="322"/>
      <c r="C215" s="322"/>
      <c r="D215" s="322"/>
      <c r="E215" s="322"/>
      <c r="F215" s="686"/>
      <c r="G215" s="686"/>
      <c r="H215" s="686"/>
      <c r="I215" s="686"/>
      <c r="J215" s="686"/>
      <c r="K215" s="686"/>
      <c r="L215" s="686"/>
      <c r="M215" s="686"/>
      <c r="N215" s="70"/>
      <c r="O215" s="686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</row>
    <row r="216" customFormat="false" ht="12.75" hidden="false" customHeight="false" outlineLevel="1" collapsed="false">
      <c r="A216" s="70"/>
      <c r="B216" s="70"/>
      <c r="C216" s="70"/>
      <c r="D216" s="70"/>
      <c r="E216" s="70"/>
      <c r="F216" s="686"/>
      <c r="G216" s="686"/>
      <c r="H216" s="686"/>
      <c r="I216" s="686"/>
      <c r="J216" s="686"/>
      <c r="K216" s="686"/>
      <c r="L216" s="686"/>
      <c r="M216" s="686"/>
      <c r="N216" s="70"/>
      <c r="O216" s="686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</row>
    <row r="217" customFormat="false" ht="12.75" hidden="false" customHeight="false" outlineLevel="1" collapsed="false">
      <c r="A217" s="395"/>
      <c r="B217" s="395"/>
      <c r="C217" s="395"/>
      <c r="D217" s="395"/>
      <c r="E217" s="395"/>
      <c r="F217" s="686"/>
      <c r="G217" s="686"/>
      <c r="H217" s="686"/>
      <c r="I217" s="686"/>
      <c r="J217" s="686"/>
      <c r="K217" s="686"/>
      <c r="L217" s="686"/>
      <c r="M217" s="686"/>
      <c r="N217" s="70"/>
      <c r="O217" s="686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</row>
    <row r="218" customFormat="false" ht="12.75" hidden="false" customHeight="false" outlineLevel="1" collapsed="false">
      <c r="A218" s="685"/>
      <c r="B218" s="395"/>
      <c r="C218" s="395"/>
      <c r="D218" s="395"/>
      <c r="E218" s="395"/>
      <c r="F218" s="686"/>
      <c r="G218" s="686"/>
      <c r="H218" s="686"/>
      <c r="I218" s="686"/>
      <c r="J218" s="686"/>
      <c r="K218" s="686"/>
      <c r="L218" s="686"/>
      <c r="M218" s="686"/>
      <c r="N218" s="70"/>
      <c r="O218" s="686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</row>
    <row r="219" customFormat="false" ht="12.75" hidden="false" customHeight="false" outlineLevel="1" collapsed="false">
      <c r="A219" s="685"/>
      <c r="B219" s="395"/>
      <c r="C219" s="395"/>
      <c r="D219" s="395"/>
      <c r="E219" s="395"/>
      <c r="F219" s="686"/>
      <c r="G219" s="686"/>
      <c r="H219" s="686"/>
      <c r="I219" s="686"/>
      <c r="J219" s="686"/>
      <c r="K219" s="686"/>
      <c r="L219" s="686"/>
      <c r="M219" s="686"/>
      <c r="N219" s="70"/>
      <c r="O219" s="686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</row>
    <row r="220" customFormat="false" ht="12.75" hidden="false" customHeight="false" outlineLevel="1" collapsed="false">
      <c r="A220" s="685"/>
      <c r="B220" s="395"/>
      <c r="C220" s="395"/>
      <c r="D220" s="395"/>
      <c r="E220" s="395"/>
      <c r="F220" s="686"/>
      <c r="G220" s="686"/>
      <c r="H220" s="686"/>
      <c r="I220" s="686"/>
      <c r="J220" s="686"/>
      <c r="K220" s="686"/>
      <c r="L220" s="686"/>
      <c r="M220" s="686"/>
      <c r="N220" s="70"/>
      <c r="O220" s="686"/>
      <c r="P220" s="70"/>
      <c r="Q220" s="70"/>
      <c r="R220" s="70"/>
      <c r="S220" s="70"/>
      <c r="T220" s="70"/>
      <c r="U220" s="70"/>
      <c r="V220" s="70"/>
      <c r="W220" s="70"/>
      <c r="X220" s="70"/>
      <c r="Y220" s="70"/>
      <c r="Z220" s="70"/>
    </row>
    <row r="221" customFormat="false" ht="12.75" hidden="false" customHeight="false" outlineLevel="1" collapsed="false">
      <c r="A221" s="685"/>
      <c r="B221" s="395"/>
      <c r="C221" s="395"/>
      <c r="D221" s="395"/>
      <c r="E221" s="395"/>
      <c r="F221" s="686"/>
      <c r="G221" s="686"/>
      <c r="H221" s="686"/>
      <c r="I221" s="686"/>
      <c r="J221" s="686"/>
      <c r="K221" s="686"/>
      <c r="L221" s="686"/>
      <c r="M221" s="686"/>
      <c r="N221" s="70"/>
      <c r="O221" s="686"/>
      <c r="P221" s="70"/>
      <c r="Q221" s="70"/>
      <c r="R221" s="70"/>
      <c r="S221" s="70"/>
      <c r="T221" s="70"/>
      <c r="U221" s="70"/>
      <c r="V221" s="70"/>
      <c r="W221" s="70"/>
      <c r="X221" s="70"/>
      <c r="Y221" s="70"/>
      <c r="Z221" s="70"/>
    </row>
    <row r="222" customFormat="false" ht="12.75" hidden="false" customHeight="false" outlineLevel="1" collapsed="false">
      <c r="A222" s="685"/>
      <c r="B222" s="395"/>
      <c r="C222" s="395"/>
      <c r="D222" s="395"/>
      <c r="E222" s="395"/>
      <c r="F222" s="686"/>
      <c r="G222" s="686"/>
      <c r="H222" s="686"/>
      <c r="I222" s="686"/>
      <c r="J222" s="686"/>
      <c r="K222" s="686"/>
      <c r="L222" s="686"/>
      <c r="M222" s="686"/>
      <c r="N222" s="70"/>
      <c r="O222" s="686"/>
      <c r="P222" s="70"/>
      <c r="Q222" s="70"/>
      <c r="R222" s="70"/>
      <c r="S222" s="70"/>
      <c r="T222" s="70"/>
      <c r="U222" s="70"/>
      <c r="V222" s="70"/>
      <c r="W222" s="70"/>
      <c r="X222" s="70"/>
      <c r="Y222" s="70"/>
      <c r="Z222" s="70"/>
    </row>
    <row r="223" customFormat="false" ht="12.75" hidden="false" customHeight="false" outlineLevel="1" collapsed="false">
      <c r="A223" s="685"/>
      <c r="B223" s="395"/>
      <c r="C223" s="395"/>
      <c r="D223" s="395"/>
      <c r="E223" s="395"/>
      <c r="F223" s="686"/>
      <c r="G223" s="686"/>
      <c r="H223" s="686"/>
      <c r="I223" s="686"/>
      <c r="J223" s="686"/>
      <c r="K223" s="686"/>
      <c r="L223" s="686"/>
      <c r="M223" s="686"/>
      <c r="N223" s="70"/>
      <c r="O223" s="686"/>
      <c r="P223" s="70"/>
      <c r="Q223" s="70"/>
      <c r="R223" s="70"/>
      <c r="S223" s="70"/>
      <c r="T223" s="70"/>
      <c r="U223" s="70"/>
      <c r="V223" s="70"/>
      <c r="W223" s="70"/>
      <c r="X223" s="70"/>
      <c r="Y223" s="70"/>
      <c r="Z223" s="70"/>
    </row>
    <row r="224" customFormat="false" ht="12.75" hidden="false" customHeight="false" outlineLevel="1" collapsed="false">
      <c r="A224" s="685"/>
      <c r="B224" s="395"/>
      <c r="C224" s="395"/>
      <c r="D224" s="395"/>
      <c r="E224" s="395"/>
      <c r="F224" s="686"/>
      <c r="G224" s="686"/>
      <c r="H224" s="686"/>
      <c r="I224" s="686"/>
      <c r="J224" s="686"/>
      <c r="K224" s="686"/>
      <c r="L224" s="686"/>
      <c r="M224" s="686"/>
      <c r="N224" s="70"/>
      <c r="O224" s="686"/>
      <c r="P224" s="70"/>
      <c r="Q224" s="70"/>
      <c r="R224" s="70"/>
      <c r="S224" s="70"/>
      <c r="T224" s="70"/>
      <c r="U224" s="70"/>
      <c r="V224" s="70"/>
      <c r="W224" s="70"/>
      <c r="X224" s="70"/>
      <c r="Y224" s="70"/>
      <c r="Z224" s="70"/>
    </row>
    <row r="225" customFormat="false" ht="12.75" hidden="false" customHeight="false" outlineLevel="1" collapsed="false">
      <c r="A225" s="685"/>
      <c r="B225" s="395"/>
      <c r="C225" s="395"/>
      <c r="D225" s="395"/>
      <c r="E225" s="395"/>
      <c r="F225" s="686"/>
      <c r="G225" s="686"/>
      <c r="H225" s="686"/>
      <c r="I225" s="686"/>
      <c r="J225" s="686"/>
      <c r="K225" s="686"/>
      <c r="L225" s="686"/>
      <c r="M225" s="686"/>
      <c r="N225" s="70"/>
      <c r="O225" s="686"/>
      <c r="P225" s="70"/>
      <c r="Q225" s="70"/>
      <c r="R225" s="70"/>
      <c r="S225" s="70"/>
      <c r="T225" s="70"/>
      <c r="U225" s="70"/>
      <c r="V225" s="70"/>
      <c r="W225" s="70"/>
      <c r="X225" s="70"/>
      <c r="Y225" s="70"/>
      <c r="Z225" s="70"/>
    </row>
    <row r="226" customFormat="false" ht="12.75" hidden="false" customHeight="false" outlineLevel="1" collapsed="false">
      <c r="A226" s="685"/>
      <c r="B226" s="395"/>
      <c r="C226" s="395"/>
      <c r="D226" s="395"/>
      <c r="E226" s="395"/>
      <c r="F226" s="686"/>
      <c r="G226" s="686"/>
      <c r="H226" s="686"/>
      <c r="I226" s="686"/>
      <c r="J226" s="686"/>
      <c r="K226" s="686"/>
      <c r="L226" s="686"/>
      <c r="M226" s="686"/>
      <c r="N226" s="70"/>
      <c r="O226" s="686"/>
      <c r="P226" s="70"/>
      <c r="Q226" s="70"/>
      <c r="R226" s="70"/>
      <c r="S226" s="70"/>
      <c r="T226" s="70"/>
      <c r="U226" s="70"/>
      <c r="V226" s="70"/>
      <c r="W226" s="70"/>
      <c r="X226" s="70"/>
      <c r="Y226" s="70"/>
      <c r="Z226" s="70"/>
    </row>
    <row r="227" customFormat="false" ht="12.75" hidden="false" customHeight="false" outlineLevel="1" collapsed="false">
      <c r="A227" s="685"/>
      <c r="B227" s="685"/>
      <c r="C227" s="685"/>
      <c r="D227" s="685"/>
      <c r="E227" s="685"/>
      <c r="F227" s="686"/>
      <c r="G227" s="686"/>
      <c r="H227" s="686"/>
      <c r="I227" s="686"/>
      <c r="J227" s="686"/>
      <c r="K227" s="686"/>
      <c r="L227" s="686"/>
      <c r="M227" s="686"/>
      <c r="N227" s="70"/>
      <c r="O227" s="686"/>
      <c r="P227" s="70"/>
      <c r="Q227" s="70"/>
      <c r="R227" s="70"/>
      <c r="S227" s="70"/>
      <c r="T227" s="70"/>
      <c r="U227" s="70"/>
      <c r="V227" s="70"/>
      <c r="W227" s="70"/>
      <c r="X227" s="70"/>
      <c r="Y227" s="70"/>
      <c r="Z227" s="70"/>
    </row>
    <row r="228" customFormat="false" ht="12.75" hidden="false" customHeight="false" outlineLevel="1" collapsed="false">
      <c r="A228" s="685"/>
      <c r="B228" s="685"/>
      <c r="C228" s="685"/>
      <c r="D228" s="685"/>
      <c r="E228" s="685"/>
      <c r="F228" s="686"/>
      <c r="G228" s="686"/>
      <c r="H228" s="686"/>
      <c r="I228" s="686"/>
      <c r="J228" s="686"/>
      <c r="K228" s="686"/>
      <c r="L228" s="686"/>
      <c r="M228" s="686"/>
      <c r="N228" s="70"/>
      <c r="O228" s="686"/>
      <c r="P228" s="70"/>
      <c r="Q228" s="70"/>
      <c r="R228" s="70"/>
      <c r="S228" s="70"/>
      <c r="T228" s="70"/>
      <c r="U228" s="70"/>
      <c r="V228" s="70"/>
      <c r="W228" s="70"/>
      <c r="X228" s="70"/>
      <c r="Y228" s="70"/>
      <c r="Z228" s="70"/>
    </row>
    <row r="229" customFormat="false" ht="12.75" hidden="false" customHeight="false" outlineLevel="1" collapsed="false">
      <c r="A229" s="395"/>
      <c r="B229" s="395"/>
      <c r="C229" s="395"/>
      <c r="D229" s="395"/>
      <c r="E229" s="395"/>
      <c r="F229" s="686"/>
      <c r="G229" s="686"/>
      <c r="H229" s="686"/>
      <c r="I229" s="686"/>
      <c r="J229" s="686"/>
      <c r="K229" s="686"/>
      <c r="L229" s="686"/>
      <c r="M229" s="686"/>
      <c r="N229" s="70"/>
      <c r="O229" s="686"/>
      <c r="P229" s="70"/>
      <c r="Q229" s="70"/>
      <c r="R229" s="70"/>
      <c r="S229" s="70"/>
      <c r="T229" s="70"/>
      <c r="U229" s="70"/>
      <c r="V229" s="70"/>
      <c r="W229" s="70"/>
      <c r="X229" s="70"/>
      <c r="Y229" s="70"/>
      <c r="Z229" s="70"/>
    </row>
    <row r="230" customFormat="false" ht="12.75" hidden="false" customHeight="false" outlineLevel="1" collapsed="false">
      <c r="A230" s="685"/>
      <c r="B230" s="685"/>
      <c r="C230" s="685"/>
      <c r="D230" s="685"/>
      <c r="E230" s="685"/>
      <c r="F230" s="686"/>
      <c r="G230" s="686"/>
      <c r="H230" s="686"/>
      <c r="I230" s="686"/>
      <c r="J230" s="686"/>
      <c r="K230" s="686"/>
      <c r="L230" s="686"/>
      <c r="M230" s="686"/>
      <c r="N230" s="70"/>
      <c r="O230" s="686"/>
      <c r="P230" s="70"/>
      <c r="Q230" s="70"/>
      <c r="R230" s="70"/>
      <c r="S230" s="70"/>
      <c r="T230" s="70"/>
      <c r="U230" s="70"/>
      <c r="V230" s="70"/>
      <c r="W230" s="70"/>
      <c r="X230" s="70"/>
      <c r="Y230" s="70"/>
      <c r="Z230" s="70"/>
    </row>
    <row r="231" customFormat="false" ht="12.75" hidden="false" customHeight="false" outlineLevel="1" collapsed="false">
      <c r="A231" s="685"/>
      <c r="B231" s="685"/>
      <c r="C231" s="685"/>
      <c r="D231" s="685"/>
      <c r="E231" s="685"/>
      <c r="F231" s="686"/>
      <c r="G231" s="686"/>
      <c r="H231" s="686"/>
      <c r="I231" s="686"/>
      <c r="J231" s="686"/>
      <c r="K231" s="686"/>
      <c r="L231" s="686"/>
      <c r="M231" s="686"/>
      <c r="N231" s="70"/>
      <c r="O231" s="686"/>
      <c r="P231" s="70"/>
      <c r="Q231" s="70"/>
      <c r="R231" s="70"/>
      <c r="S231" s="70"/>
      <c r="T231" s="70"/>
      <c r="U231" s="70"/>
      <c r="V231" s="70"/>
      <c r="W231" s="70"/>
      <c r="X231" s="70"/>
      <c r="Y231" s="70"/>
      <c r="Z231" s="70"/>
    </row>
    <row r="232" customFormat="false" ht="12.75" hidden="false" customHeight="false" outlineLevel="1" collapsed="false">
      <c r="A232" s="395"/>
      <c r="B232" s="395"/>
      <c r="C232" s="395"/>
      <c r="D232" s="395"/>
      <c r="E232" s="395"/>
      <c r="F232" s="686"/>
      <c r="G232" s="686"/>
      <c r="H232" s="686"/>
      <c r="I232" s="686"/>
      <c r="J232" s="686"/>
      <c r="K232" s="686"/>
      <c r="L232" s="686"/>
      <c r="M232" s="686"/>
      <c r="N232" s="70"/>
      <c r="O232" s="686"/>
      <c r="P232" s="70"/>
      <c r="Q232" s="70"/>
      <c r="R232" s="70"/>
      <c r="S232" s="70"/>
      <c r="T232" s="70"/>
      <c r="U232" s="70"/>
      <c r="V232" s="70"/>
      <c r="W232" s="70"/>
      <c r="X232" s="70"/>
      <c r="Y232" s="70"/>
      <c r="Z232" s="70"/>
    </row>
    <row r="233" customFormat="false" ht="12.75" hidden="false" customHeight="false" outlineLevel="1" collapsed="false">
      <c r="A233" s="395"/>
      <c r="B233" s="395"/>
      <c r="C233" s="395"/>
      <c r="D233" s="395"/>
      <c r="E233" s="395"/>
      <c r="F233" s="686"/>
      <c r="G233" s="686"/>
      <c r="H233" s="686"/>
      <c r="I233" s="686"/>
      <c r="J233" s="686"/>
      <c r="K233" s="686"/>
      <c r="L233" s="686"/>
      <c r="M233" s="686"/>
      <c r="N233" s="70"/>
      <c r="O233" s="686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</row>
    <row r="234" customFormat="false" ht="12.75" hidden="false" customHeight="false" outlineLevel="1" collapsed="false">
      <c r="A234" s="70"/>
      <c r="B234" s="395"/>
      <c r="C234" s="395"/>
      <c r="D234" s="395"/>
      <c r="E234" s="395"/>
      <c r="F234" s="686"/>
      <c r="G234" s="686"/>
      <c r="H234" s="686"/>
      <c r="I234" s="686"/>
      <c r="J234" s="686"/>
      <c r="K234" s="686"/>
      <c r="L234" s="686"/>
      <c r="M234" s="686"/>
      <c r="N234" s="70"/>
      <c r="O234" s="686"/>
      <c r="P234" s="70"/>
      <c r="Q234" s="70"/>
      <c r="R234" s="70"/>
      <c r="S234" s="70"/>
      <c r="T234" s="70"/>
      <c r="U234" s="70"/>
      <c r="V234" s="70"/>
      <c r="W234" s="70"/>
      <c r="X234" s="70"/>
      <c r="Y234" s="70"/>
      <c r="Z234" s="70"/>
    </row>
    <row r="235" customFormat="false" ht="12.75" hidden="false" customHeight="false" outlineLevel="1" collapsed="false">
      <c r="A235" s="70"/>
      <c r="B235" s="687"/>
      <c r="C235" s="687"/>
      <c r="D235" s="687"/>
      <c r="E235" s="687"/>
      <c r="F235" s="686"/>
      <c r="G235" s="686"/>
      <c r="H235" s="686"/>
      <c r="I235" s="686"/>
      <c r="J235" s="686"/>
      <c r="K235" s="686"/>
      <c r="L235" s="686"/>
      <c r="M235" s="686"/>
      <c r="N235" s="70"/>
      <c r="O235" s="686"/>
      <c r="P235" s="70"/>
      <c r="Q235" s="70"/>
      <c r="R235" s="70"/>
      <c r="S235" s="70"/>
      <c r="T235" s="70"/>
      <c r="U235" s="70"/>
      <c r="V235" s="70"/>
      <c r="W235" s="70"/>
      <c r="X235" s="70"/>
      <c r="Y235" s="70"/>
      <c r="Z235" s="70"/>
    </row>
    <row r="236" customFormat="false" ht="12.75" hidden="false" customHeight="false" outlineLevel="1" collapsed="false">
      <c r="A236" s="395"/>
      <c r="B236" s="687"/>
      <c r="C236" s="687"/>
      <c r="D236" s="687"/>
      <c r="E236" s="687"/>
      <c r="F236" s="686"/>
      <c r="G236" s="686"/>
      <c r="H236" s="686"/>
      <c r="I236" s="686"/>
      <c r="J236" s="686"/>
      <c r="K236" s="686"/>
      <c r="L236" s="686"/>
      <c r="M236" s="686"/>
      <c r="N236" s="70"/>
      <c r="O236" s="686"/>
      <c r="P236" s="70"/>
      <c r="Q236" s="70"/>
      <c r="R236" s="70"/>
      <c r="S236" s="70"/>
      <c r="T236" s="70"/>
      <c r="U236" s="70"/>
      <c r="V236" s="70"/>
      <c r="W236" s="70"/>
      <c r="X236" s="70"/>
      <c r="Y236" s="70"/>
      <c r="Z236" s="70"/>
    </row>
    <row r="237" customFormat="false" ht="12.75" hidden="false" customHeight="false" outlineLevel="1" collapsed="false">
      <c r="A237" s="685"/>
      <c r="B237" s="687"/>
      <c r="C237" s="687"/>
      <c r="D237" s="687"/>
      <c r="E237" s="687"/>
      <c r="F237" s="686"/>
      <c r="G237" s="686"/>
      <c r="H237" s="686"/>
      <c r="I237" s="686"/>
      <c r="J237" s="686"/>
      <c r="K237" s="686"/>
      <c r="L237" s="686"/>
      <c r="M237" s="686"/>
      <c r="N237" s="70"/>
      <c r="O237" s="686"/>
      <c r="P237" s="70"/>
      <c r="Q237" s="70"/>
      <c r="R237" s="70"/>
      <c r="S237" s="70"/>
      <c r="T237" s="70"/>
      <c r="U237" s="70"/>
      <c r="V237" s="70"/>
      <c r="W237" s="70"/>
      <c r="X237" s="70"/>
      <c r="Y237" s="70"/>
      <c r="Z237" s="70"/>
    </row>
    <row r="238" customFormat="false" ht="12.75" hidden="false" customHeight="false" outlineLevel="1" collapsed="false">
      <c r="A238" s="395"/>
      <c r="B238" s="395"/>
      <c r="C238" s="395"/>
      <c r="D238" s="395"/>
      <c r="E238" s="395"/>
      <c r="F238" s="686"/>
      <c r="G238" s="686"/>
      <c r="H238" s="686"/>
      <c r="I238" s="686"/>
      <c r="J238" s="686"/>
      <c r="K238" s="686"/>
      <c r="L238" s="686"/>
      <c r="M238" s="686"/>
      <c r="N238" s="70"/>
      <c r="O238" s="686"/>
      <c r="P238" s="70"/>
      <c r="Q238" s="70"/>
      <c r="R238" s="70"/>
      <c r="S238" s="70"/>
      <c r="T238" s="70"/>
      <c r="U238" s="70"/>
      <c r="V238" s="70"/>
      <c r="W238" s="70"/>
      <c r="X238" s="70"/>
      <c r="Y238" s="70"/>
      <c r="Z238" s="70"/>
    </row>
    <row r="239" customFormat="false" ht="12.75" hidden="false" customHeight="false" outlineLevel="1" collapsed="false">
      <c r="A239" s="70"/>
      <c r="B239" s="70"/>
      <c r="C239" s="70"/>
      <c r="D239" s="70"/>
      <c r="E239" s="70"/>
      <c r="F239" s="686"/>
      <c r="G239" s="686"/>
      <c r="H239" s="686"/>
      <c r="I239" s="686"/>
      <c r="J239" s="686"/>
      <c r="K239" s="686"/>
      <c r="L239" s="686"/>
      <c r="M239" s="686"/>
      <c r="N239" s="70"/>
      <c r="O239" s="686"/>
      <c r="P239" s="70"/>
      <c r="Q239" s="70"/>
      <c r="R239" s="70"/>
      <c r="S239" s="70"/>
      <c r="T239" s="70"/>
      <c r="U239" s="70"/>
      <c r="V239" s="70"/>
      <c r="W239" s="70"/>
      <c r="X239" s="70"/>
      <c r="Y239" s="70"/>
      <c r="Z239" s="70"/>
    </row>
    <row r="240" customFormat="false" ht="12.75" hidden="false" customHeight="false" outlineLevel="1" collapsed="false">
      <c r="A240" s="395"/>
      <c r="B240" s="395"/>
      <c r="C240" s="395"/>
      <c r="D240" s="395"/>
      <c r="E240" s="395"/>
      <c r="F240" s="686"/>
      <c r="G240" s="686"/>
      <c r="H240" s="686"/>
      <c r="I240" s="686"/>
      <c r="J240" s="686"/>
      <c r="K240" s="686"/>
      <c r="L240" s="686"/>
      <c r="M240" s="686"/>
      <c r="N240" s="70"/>
      <c r="O240" s="686"/>
      <c r="P240" s="70"/>
      <c r="Q240" s="70"/>
      <c r="R240" s="70"/>
      <c r="S240" s="70"/>
      <c r="T240" s="70"/>
      <c r="U240" s="70"/>
      <c r="V240" s="70"/>
      <c r="W240" s="70"/>
      <c r="X240" s="70"/>
      <c r="Y240" s="70"/>
      <c r="Z240" s="70"/>
    </row>
    <row r="241" customFormat="false" ht="12.75" hidden="false" customHeight="false" outlineLevel="1" collapsed="false">
      <c r="A241" s="685"/>
      <c r="B241" s="685"/>
      <c r="C241" s="685"/>
      <c r="D241" s="685"/>
      <c r="E241" s="685"/>
      <c r="F241" s="686"/>
      <c r="G241" s="686"/>
      <c r="H241" s="686"/>
      <c r="I241" s="686"/>
      <c r="J241" s="686"/>
      <c r="K241" s="686"/>
      <c r="L241" s="686"/>
      <c r="M241" s="686"/>
      <c r="N241" s="70"/>
      <c r="O241" s="686"/>
      <c r="P241" s="70"/>
      <c r="Q241" s="70"/>
      <c r="R241" s="70"/>
      <c r="S241" s="70"/>
      <c r="T241" s="70"/>
      <c r="U241" s="70"/>
      <c r="V241" s="70"/>
      <c r="W241" s="70"/>
      <c r="X241" s="70"/>
      <c r="Y241" s="70"/>
      <c r="Z241" s="70"/>
    </row>
    <row r="242" customFormat="false" ht="12.75" hidden="false" customHeight="false" outlineLevel="1" collapsed="false">
      <c r="A242" s="685"/>
      <c r="B242" s="685"/>
      <c r="C242" s="685"/>
      <c r="D242" s="685"/>
      <c r="E242" s="685"/>
      <c r="F242" s="686"/>
      <c r="G242" s="686"/>
      <c r="H242" s="686"/>
      <c r="I242" s="686"/>
      <c r="J242" s="686"/>
      <c r="K242" s="686"/>
      <c r="L242" s="686"/>
      <c r="M242" s="686"/>
      <c r="N242" s="70"/>
      <c r="O242" s="686"/>
      <c r="P242" s="70"/>
      <c r="Q242" s="70"/>
      <c r="R242" s="70"/>
      <c r="S242" s="70"/>
      <c r="T242" s="70"/>
      <c r="U242" s="70"/>
      <c r="V242" s="70"/>
      <c r="W242" s="70"/>
      <c r="X242" s="70"/>
      <c r="Y242" s="70"/>
      <c r="Z242" s="70"/>
    </row>
    <row r="243" customFormat="false" ht="12.75" hidden="false" customHeight="false" outlineLevel="1" collapsed="false">
      <c r="A243" s="685"/>
      <c r="B243" s="685"/>
      <c r="C243" s="685"/>
      <c r="D243" s="685"/>
      <c r="E243" s="685"/>
      <c r="F243" s="686"/>
      <c r="G243" s="686"/>
      <c r="H243" s="686"/>
      <c r="I243" s="686"/>
      <c r="J243" s="686"/>
      <c r="K243" s="686"/>
      <c r="L243" s="686"/>
      <c r="M243" s="686"/>
      <c r="N243" s="70"/>
      <c r="O243" s="686"/>
      <c r="P243" s="70"/>
      <c r="Q243" s="70"/>
      <c r="R243" s="70"/>
      <c r="S243" s="70"/>
      <c r="T243" s="70"/>
      <c r="U243" s="70"/>
      <c r="V243" s="70"/>
      <c r="W243" s="70"/>
      <c r="X243" s="70"/>
      <c r="Y243" s="70"/>
      <c r="Z243" s="70"/>
    </row>
    <row r="244" customFormat="false" ht="12.75" hidden="false" customHeight="false" outlineLevel="1" collapsed="false">
      <c r="A244" s="685"/>
      <c r="B244" s="685"/>
      <c r="C244" s="685"/>
      <c r="D244" s="685"/>
      <c r="E244" s="685"/>
      <c r="F244" s="686"/>
      <c r="G244" s="686"/>
      <c r="H244" s="686"/>
      <c r="I244" s="686"/>
      <c r="J244" s="686"/>
      <c r="K244" s="686"/>
      <c r="L244" s="686"/>
      <c r="M244" s="686"/>
      <c r="N244" s="70"/>
      <c r="O244" s="686"/>
      <c r="P244" s="70"/>
      <c r="Q244" s="70"/>
      <c r="R244" s="70"/>
      <c r="S244" s="70"/>
      <c r="T244" s="70"/>
      <c r="U244" s="70"/>
      <c r="V244" s="70"/>
      <c r="W244" s="70"/>
      <c r="X244" s="70"/>
      <c r="Y244" s="70"/>
      <c r="Z244" s="70"/>
    </row>
    <row r="245" customFormat="false" ht="12.75" hidden="false" customHeight="false" outlineLevel="1" collapsed="false">
      <c r="A245" s="685"/>
      <c r="B245" s="685"/>
      <c r="C245" s="685"/>
      <c r="D245" s="685"/>
      <c r="E245" s="685"/>
      <c r="F245" s="686"/>
      <c r="G245" s="686"/>
      <c r="H245" s="686"/>
      <c r="I245" s="686"/>
      <c r="J245" s="686"/>
      <c r="K245" s="686"/>
      <c r="L245" s="686"/>
      <c r="M245" s="686"/>
      <c r="N245" s="70"/>
      <c r="O245" s="686"/>
      <c r="P245" s="70"/>
      <c r="Q245" s="70"/>
      <c r="R245" s="70"/>
      <c r="S245" s="70"/>
      <c r="T245" s="70"/>
      <c r="U245" s="70"/>
      <c r="V245" s="70"/>
      <c r="W245" s="70"/>
      <c r="X245" s="70"/>
      <c r="Y245" s="70"/>
      <c r="Z245" s="70"/>
    </row>
    <row r="246" customFormat="false" ht="12.75" hidden="false" customHeight="false" outlineLevel="1" collapsed="false">
      <c r="A246" s="685"/>
      <c r="B246" s="70"/>
      <c r="C246" s="70"/>
      <c r="D246" s="70"/>
      <c r="E246" s="70"/>
      <c r="F246" s="686"/>
      <c r="G246" s="686"/>
      <c r="H246" s="686"/>
      <c r="I246" s="686"/>
      <c r="J246" s="686"/>
      <c r="K246" s="686"/>
      <c r="L246" s="686"/>
      <c r="M246" s="686"/>
      <c r="N246" s="70"/>
      <c r="O246" s="686"/>
      <c r="P246" s="70"/>
      <c r="Q246" s="70"/>
      <c r="R246" s="70"/>
      <c r="S246" s="70"/>
      <c r="T246" s="70"/>
      <c r="U246" s="70"/>
      <c r="V246" s="70"/>
      <c r="W246" s="70"/>
      <c r="X246" s="70"/>
      <c r="Y246" s="70"/>
      <c r="Z246" s="70"/>
    </row>
    <row r="247" customFormat="false" ht="12.75" hidden="false" customHeight="false" outlineLevel="1" collapsed="false">
      <c r="A247" s="395"/>
      <c r="B247" s="395"/>
      <c r="C247" s="395"/>
      <c r="D247" s="395"/>
      <c r="E247" s="395"/>
      <c r="F247" s="686"/>
      <c r="G247" s="686"/>
      <c r="H247" s="686"/>
      <c r="I247" s="686"/>
      <c r="J247" s="686"/>
      <c r="K247" s="686"/>
      <c r="L247" s="686"/>
      <c r="M247" s="686"/>
      <c r="N247" s="70"/>
      <c r="O247" s="686"/>
      <c r="P247" s="70"/>
      <c r="Q247" s="70"/>
      <c r="R247" s="70"/>
      <c r="S247" s="70"/>
      <c r="T247" s="70"/>
      <c r="U247" s="70"/>
      <c r="V247" s="70"/>
      <c r="W247" s="70"/>
      <c r="X247" s="70"/>
      <c r="Y247" s="70"/>
      <c r="Z247" s="70"/>
    </row>
    <row r="248" customFormat="false" ht="12.75" hidden="false" customHeight="false" outlineLevel="1" collapsed="false">
      <c r="A248" s="395"/>
      <c r="B248" s="395"/>
      <c r="C248" s="395"/>
      <c r="D248" s="395"/>
      <c r="E248" s="395"/>
      <c r="F248" s="686"/>
      <c r="G248" s="686"/>
      <c r="H248" s="686"/>
      <c r="I248" s="686"/>
      <c r="J248" s="686"/>
      <c r="K248" s="686"/>
      <c r="L248" s="686"/>
      <c r="M248" s="686"/>
      <c r="N248" s="70"/>
      <c r="O248" s="686"/>
      <c r="P248" s="70"/>
      <c r="Q248" s="70"/>
      <c r="R248" s="70"/>
      <c r="S248" s="70"/>
      <c r="T248" s="70"/>
      <c r="U248" s="70"/>
      <c r="V248" s="70"/>
      <c r="W248" s="70"/>
      <c r="X248" s="70"/>
      <c r="Y248" s="70"/>
      <c r="Z248" s="70"/>
    </row>
    <row r="249" customFormat="false" ht="12.75" hidden="false" customHeight="false" outlineLevel="1" collapsed="false">
      <c r="A249" s="70"/>
      <c r="B249" s="70"/>
      <c r="C249" s="70"/>
      <c r="D249" s="70"/>
      <c r="E249" s="70"/>
      <c r="F249" s="686"/>
      <c r="G249" s="686"/>
      <c r="H249" s="686"/>
      <c r="I249" s="686"/>
      <c r="J249" s="686"/>
      <c r="K249" s="686"/>
      <c r="L249" s="686"/>
      <c r="M249" s="686"/>
      <c r="N249" s="70"/>
      <c r="O249" s="686"/>
      <c r="P249" s="70"/>
      <c r="Q249" s="70"/>
      <c r="R249" s="70"/>
      <c r="S249" s="70"/>
      <c r="T249" s="70"/>
      <c r="U249" s="70"/>
      <c r="V249" s="70"/>
      <c r="W249" s="70"/>
      <c r="X249" s="70"/>
      <c r="Y249" s="70"/>
      <c r="Z249" s="70"/>
    </row>
    <row r="250" customFormat="false" ht="12.75" hidden="false" customHeight="false" outlineLevel="1" collapsed="false">
      <c r="A250" s="395"/>
      <c r="B250" s="688"/>
      <c r="C250" s="688"/>
      <c r="D250" s="688"/>
      <c r="E250" s="70"/>
      <c r="F250" s="686"/>
      <c r="G250" s="686"/>
      <c r="H250" s="686"/>
      <c r="I250" s="686"/>
      <c r="J250" s="686"/>
      <c r="K250" s="686"/>
      <c r="L250" s="686"/>
      <c r="M250" s="686"/>
      <c r="N250" s="70"/>
      <c r="O250" s="686"/>
      <c r="P250" s="70"/>
      <c r="Q250" s="70"/>
      <c r="R250" s="70"/>
      <c r="S250" s="70"/>
      <c r="T250" s="70"/>
      <c r="U250" s="70"/>
      <c r="V250" s="70"/>
      <c r="W250" s="70"/>
      <c r="X250" s="70"/>
      <c r="Y250" s="70"/>
      <c r="Z250" s="70"/>
    </row>
    <row r="251" customFormat="false" ht="12.75" hidden="false" customHeight="false" outlineLevel="1" collapsed="false">
      <c r="A251" s="395"/>
      <c r="B251" s="684"/>
      <c r="C251" s="684"/>
      <c r="D251" s="684"/>
      <c r="E251" s="684"/>
      <c r="F251" s="686"/>
      <c r="G251" s="686"/>
      <c r="H251" s="686"/>
      <c r="I251" s="686"/>
      <c r="J251" s="686"/>
      <c r="K251" s="686"/>
      <c r="L251" s="686"/>
      <c r="M251" s="686"/>
      <c r="N251" s="70"/>
      <c r="O251" s="686"/>
      <c r="P251" s="70"/>
      <c r="Q251" s="70"/>
      <c r="R251" s="70"/>
      <c r="S251" s="70"/>
      <c r="T251" s="70"/>
      <c r="U251" s="70"/>
      <c r="V251" s="70"/>
      <c r="W251" s="70"/>
      <c r="X251" s="70"/>
      <c r="Y251" s="70"/>
      <c r="Z251" s="70"/>
    </row>
    <row r="252" customFormat="false" ht="12.75" hidden="false" customHeight="false" outlineLevel="1" collapsed="false">
      <c r="A252" s="70"/>
      <c r="B252" s="70"/>
      <c r="C252" s="70"/>
      <c r="D252" s="70"/>
      <c r="E252" s="70"/>
      <c r="F252" s="70"/>
      <c r="G252" s="70"/>
      <c r="H252" s="70"/>
      <c r="I252" s="70"/>
      <c r="J252" s="70"/>
      <c r="K252" s="70"/>
      <c r="L252" s="70"/>
      <c r="M252" s="70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  <c r="Z252" s="70"/>
    </row>
    <row r="253" customFormat="false" ht="12.75" hidden="false" customHeight="false" outlineLevel="1" collapsed="false">
      <c r="A253" s="395"/>
      <c r="B253" s="689"/>
      <c r="C253" s="689"/>
      <c r="D253" s="689"/>
      <c r="E253" s="70"/>
      <c r="F253" s="70"/>
      <c r="G253" s="70"/>
      <c r="H253" s="102"/>
      <c r="I253" s="102"/>
      <c r="J253" s="102"/>
      <c r="K253" s="102"/>
      <c r="L253" s="102"/>
      <c r="M253" s="102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  <c r="Z253" s="70"/>
    </row>
    <row r="254" customFormat="false" ht="12.75" hidden="false" customHeight="false" outlineLevel="1" collapsed="false">
      <c r="A254" s="395"/>
      <c r="B254" s="70"/>
      <c r="C254" s="70"/>
      <c r="D254" s="70"/>
      <c r="E254" s="70"/>
      <c r="F254" s="70"/>
      <c r="G254" s="70"/>
      <c r="H254" s="102"/>
      <c r="I254" s="102"/>
      <c r="J254" s="102"/>
      <c r="K254" s="102"/>
      <c r="L254" s="102"/>
      <c r="M254" s="102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  <c r="Z254" s="70"/>
    </row>
    <row r="255" customFormat="false" ht="12.75" hidden="false" customHeight="false" outlineLevel="1" collapsed="false">
      <c r="A255" s="395"/>
      <c r="B255" s="70"/>
      <c r="C255" s="70"/>
      <c r="D255" s="70"/>
      <c r="E255" s="70"/>
      <c r="F255" s="70"/>
      <c r="G255" s="70"/>
      <c r="H255" s="102"/>
      <c r="I255" s="102"/>
      <c r="J255" s="102"/>
      <c r="K255" s="102"/>
      <c r="L255" s="102"/>
      <c r="M255" s="102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  <c r="Z255" s="70"/>
    </row>
    <row r="256" customFormat="false" ht="12.75" hidden="false" customHeight="false" outlineLevel="1" collapsed="false">
      <c r="A256" s="395"/>
      <c r="B256" s="70"/>
      <c r="C256" s="70"/>
      <c r="D256" s="70"/>
      <c r="E256" s="70"/>
      <c r="F256" s="70"/>
      <c r="G256" s="70"/>
      <c r="H256" s="102"/>
      <c r="I256" s="102"/>
      <c r="J256" s="102"/>
      <c r="K256" s="102"/>
      <c r="L256" s="102"/>
      <c r="M256" s="102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  <c r="Z256" s="70"/>
    </row>
    <row r="257" customFormat="false" ht="12.75" hidden="false" customHeight="false" outlineLevel="1" collapsed="false">
      <c r="A257" s="70"/>
      <c r="B257" s="70"/>
      <c r="C257" s="70"/>
      <c r="D257" s="70"/>
      <c r="E257" s="70"/>
      <c r="F257" s="70"/>
      <c r="G257" s="70"/>
      <c r="H257" s="70"/>
      <c r="I257" s="70"/>
      <c r="J257" s="70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  <c r="Z257" s="70"/>
    </row>
    <row r="258" customFormat="false" ht="18.75" hidden="false" customHeight="false" outlineLevel="1" collapsed="false">
      <c r="A258" s="682"/>
      <c r="B258" s="70"/>
      <c r="C258" s="70"/>
      <c r="D258" s="70"/>
      <c r="E258" s="70"/>
      <c r="F258" s="70"/>
      <c r="G258" s="70"/>
      <c r="H258" s="70"/>
      <c r="I258" s="70"/>
      <c r="J258" s="70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  <c r="Z258" s="70"/>
    </row>
    <row r="259" customFormat="false" ht="12.75" hidden="false" customHeight="false" outlineLevel="1" collapsed="false">
      <c r="A259" s="395"/>
      <c r="B259" s="70"/>
      <c r="C259" s="70"/>
      <c r="D259" s="70"/>
      <c r="E259" s="70"/>
      <c r="F259" s="70"/>
      <c r="G259" s="70"/>
      <c r="H259" s="70"/>
      <c r="I259" s="70"/>
      <c r="J259" s="70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  <c r="Z259" s="70"/>
    </row>
    <row r="260" customFormat="false" ht="12.75" hidden="false" customHeight="false" outlineLevel="1" collapsed="false">
      <c r="A260" s="70"/>
      <c r="B260" s="70"/>
      <c r="C260" s="70"/>
      <c r="D260" s="70"/>
      <c r="E260" s="70"/>
      <c r="F260" s="70"/>
      <c r="G260" s="70"/>
      <c r="H260" s="70"/>
      <c r="I260" s="70"/>
      <c r="J260" s="70"/>
      <c r="K260" s="70"/>
      <c r="L260" s="70"/>
      <c r="M260" s="70"/>
      <c r="N260" s="70"/>
      <c r="O260" s="70"/>
      <c r="P260" s="70"/>
      <c r="Q260" s="70"/>
      <c r="R260" s="70"/>
      <c r="S260" s="70"/>
      <c r="T260" s="70"/>
      <c r="U260" s="70"/>
      <c r="V260" s="70"/>
      <c r="W260" s="70"/>
      <c r="X260" s="70"/>
      <c r="Y260" s="70"/>
      <c r="Z260" s="70"/>
    </row>
    <row r="261" customFormat="false" ht="12.75" hidden="false" customHeight="false" outlineLevel="1" collapsed="false">
      <c r="A261" s="70"/>
      <c r="B261" s="70"/>
      <c r="C261" s="70"/>
      <c r="D261" s="70"/>
      <c r="E261" s="70"/>
      <c r="F261" s="70"/>
      <c r="G261" s="70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  <c r="Z261" s="70"/>
    </row>
    <row r="262" customFormat="false" ht="12.75" hidden="false" customHeight="false" outlineLevel="1" collapsed="false">
      <c r="A262" s="690"/>
      <c r="B262" s="691"/>
      <c r="C262" s="691"/>
      <c r="D262" s="691"/>
      <c r="E262" s="691"/>
      <c r="F262" s="691"/>
      <c r="G262" s="691"/>
      <c r="H262" s="691"/>
      <c r="I262" s="691"/>
      <c r="J262" s="691"/>
      <c r="K262" s="691"/>
      <c r="L262" s="691"/>
      <c r="M262" s="691"/>
      <c r="N262" s="691"/>
      <c r="O262" s="691"/>
      <c r="P262" s="691"/>
      <c r="Q262" s="691"/>
      <c r="R262" s="691"/>
      <c r="S262" s="691"/>
      <c r="T262" s="691"/>
      <c r="U262" s="691"/>
      <c r="V262" s="691"/>
      <c r="W262" s="691"/>
      <c r="X262" s="691"/>
      <c r="Y262" s="691"/>
      <c r="Z262" s="691"/>
      <c r="AA262" s="691"/>
      <c r="AB262" s="691"/>
      <c r="AC262" s="691"/>
      <c r="AD262" s="691"/>
      <c r="AE262" s="691"/>
      <c r="AF262" s="691"/>
      <c r="AG262" s="691"/>
      <c r="AH262" s="691"/>
      <c r="AI262" s="691"/>
      <c r="AJ262" s="691"/>
      <c r="AK262" s="691"/>
      <c r="AL262" s="691"/>
      <c r="AM262" s="691"/>
      <c r="AN262" s="691"/>
      <c r="AO262" s="691"/>
      <c r="AP262" s="691"/>
      <c r="AQ262" s="691"/>
      <c r="AR262" s="691"/>
      <c r="AS262" s="691"/>
      <c r="AT262" s="691"/>
      <c r="AU262" s="691"/>
      <c r="AV262" s="691"/>
      <c r="AW262" s="691"/>
      <c r="AX262" s="691"/>
      <c r="AY262" s="691"/>
      <c r="AZ262" s="691"/>
      <c r="BA262" s="691"/>
      <c r="BB262" s="691"/>
      <c r="BC262" s="691"/>
      <c r="BD262" s="691"/>
      <c r="BE262" s="691"/>
      <c r="BF262" s="691"/>
      <c r="BG262" s="691"/>
      <c r="BH262" s="691"/>
      <c r="BI262" s="691"/>
      <c r="BJ262" s="691"/>
      <c r="BK262" s="691"/>
      <c r="BL262" s="691"/>
      <c r="BM262" s="691"/>
      <c r="BN262" s="691"/>
      <c r="BO262" s="691"/>
      <c r="BP262" s="691"/>
      <c r="BQ262" s="691"/>
      <c r="BR262" s="691"/>
      <c r="BS262" s="691"/>
      <c r="BT262" s="691"/>
      <c r="BU262" s="691"/>
      <c r="BV262" s="691"/>
      <c r="BW262" s="691"/>
      <c r="BX262" s="691"/>
      <c r="BY262" s="691"/>
      <c r="BZ262" s="691"/>
      <c r="CA262" s="691"/>
      <c r="CB262" s="691"/>
      <c r="CC262" s="691"/>
      <c r="CD262" s="691"/>
      <c r="CE262" s="691"/>
      <c r="CF262" s="691"/>
      <c r="CG262" s="691"/>
      <c r="CH262" s="691"/>
      <c r="CI262" s="691"/>
      <c r="CJ262" s="691"/>
      <c r="CK262" s="691"/>
      <c r="CL262" s="691"/>
      <c r="CM262" s="691"/>
      <c r="CN262" s="691"/>
      <c r="CO262" s="691"/>
      <c r="CP262" s="691"/>
      <c r="CQ262" s="691"/>
      <c r="CR262" s="691"/>
      <c r="CS262" s="691"/>
      <c r="CT262" s="691"/>
      <c r="CU262" s="691"/>
      <c r="CV262" s="691"/>
      <c r="CW262" s="691"/>
      <c r="CX262" s="691"/>
      <c r="CY262" s="691"/>
      <c r="CZ262" s="691"/>
      <c r="DA262" s="691"/>
      <c r="DB262" s="691"/>
      <c r="DC262" s="691"/>
      <c r="DD262" s="691"/>
      <c r="DE262" s="691"/>
      <c r="DF262" s="691"/>
      <c r="DG262" s="691"/>
      <c r="DH262" s="691"/>
      <c r="DI262" s="691"/>
      <c r="DJ262" s="691"/>
      <c r="DK262" s="691"/>
      <c r="DL262" s="691"/>
      <c r="DM262" s="691"/>
      <c r="DN262" s="691"/>
      <c r="DO262" s="691"/>
      <c r="DP262" s="691"/>
      <c r="DQ262" s="691"/>
      <c r="DR262" s="691"/>
      <c r="DS262" s="691"/>
      <c r="DT262" s="691"/>
      <c r="DU262" s="691"/>
      <c r="DV262" s="691"/>
      <c r="DW262" s="691"/>
      <c r="DX262" s="691"/>
      <c r="DY262" s="691"/>
      <c r="DZ262" s="691"/>
      <c r="EA262" s="691"/>
      <c r="EB262" s="691"/>
      <c r="EC262" s="691"/>
      <c r="ED262" s="691"/>
      <c r="EE262" s="691"/>
      <c r="EF262" s="691"/>
      <c r="EG262" s="691"/>
      <c r="EH262" s="691"/>
      <c r="EI262" s="691"/>
      <c r="EJ262" s="691"/>
      <c r="EK262" s="691"/>
      <c r="EL262" s="691"/>
      <c r="EM262" s="691"/>
      <c r="EN262" s="691"/>
      <c r="EO262" s="691"/>
      <c r="EP262" s="691"/>
      <c r="EQ262" s="691"/>
      <c r="ER262" s="691"/>
      <c r="ES262" s="691"/>
      <c r="ET262" s="691"/>
      <c r="EU262" s="691"/>
      <c r="EV262" s="691"/>
      <c r="EW262" s="691"/>
      <c r="EX262" s="691"/>
      <c r="EY262" s="691"/>
      <c r="EZ262" s="691"/>
      <c r="FA262" s="691"/>
      <c r="FB262" s="691"/>
      <c r="FC262" s="691"/>
      <c r="FD262" s="691"/>
      <c r="FE262" s="691"/>
      <c r="FF262" s="691"/>
      <c r="FG262" s="691"/>
      <c r="FH262" s="691"/>
      <c r="FI262" s="691"/>
      <c r="FJ262" s="691"/>
      <c r="FK262" s="691"/>
      <c r="FL262" s="691"/>
      <c r="FM262" s="691"/>
      <c r="FN262" s="691"/>
      <c r="FO262" s="691"/>
      <c r="FP262" s="691"/>
      <c r="FQ262" s="691"/>
      <c r="FR262" s="691"/>
      <c r="FS262" s="691"/>
      <c r="FT262" s="691"/>
      <c r="FU262" s="691"/>
      <c r="FV262" s="691"/>
      <c r="FW262" s="691"/>
      <c r="FX262" s="691"/>
      <c r="FY262" s="691"/>
      <c r="FZ262" s="691"/>
      <c r="GA262" s="691"/>
      <c r="GB262" s="691"/>
      <c r="GC262" s="691"/>
      <c r="GD262" s="691"/>
      <c r="GE262" s="691"/>
      <c r="GF262" s="691"/>
      <c r="GG262" s="691"/>
      <c r="GH262" s="691"/>
      <c r="GI262" s="691"/>
      <c r="GJ262" s="691"/>
      <c r="GK262" s="691"/>
      <c r="GL262" s="691"/>
      <c r="GM262" s="691"/>
      <c r="GN262" s="691"/>
      <c r="GO262" s="691"/>
      <c r="GP262" s="691"/>
      <c r="GQ262" s="691"/>
      <c r="GR262" s="691"/>
      <c r="GS262" s="691"/>
      <c r="GT262" s="691"/>
      <c r="GU262" s="691"/>
      <c r="GV262" s="691"/>
      <c r="GW262" s="691"/>
      <c r="GX262" s="691"/>
      <c r="GY262" s="691"/>
      <c r="GZ262" s="691"/>
      <c r="HA262" s="691"/>
      <c r="HB262" s="691"/>
      <c r="HC262" s="691"/>
      <c r="HD262" s="691"/>
      <c r="HE262" s="691"/>
      <c r="HF262" s="691"/>
      <c r="HG262" s="691"/>
      <c r="HH262" s="691"/>
      <c r="HI262" s="691"/>
      <c r="HJ262" s="691"/>
      <c r="HK262" s="691"/>
      <c r="HL262" s="691"/>
      <c r="HM262" s="691"/>
      <c r="HN262" s="691"/>
      <c r="HO262" s="691"/>
      <c r="HP262" s="691"/>
      <c r="HQ262" s="691"/>
      <c r="HR262" s="691"/>
      <c r="HS262" s="691"/>
      <c r="HT262" s="691"/>
      <c r="HU262" s="691"/>
      <c r="HV262" s="691"/>
      <c r="HW262" s="691"/>
      <c r="HX262" s="691"/>
      <c r="HY262" s="691"/>
      <c r="HZ262" s="691"/>
      <c r="IA262" s="691"/>
      <c r="IB262" s="691"/>
      <c r="IC262" s="691"/>
      <c r="ID262" s="691"/>
      <c r="IE262" s="691"/>
      <c r="IF262" s="691"/>
      <c r="IG262" s="691"/>
      <c r="IH262" s="691"/>
      <c r="II262" s="691"/>
      <c r="IJ262" s="691"/>
      <c r="IK262" s="691"/>
      <c r="IL262" s="691"/>
      <c r="IM262" s="691"/>
      <c r="IN262" s="691"/>
      <c r="IO262" s="691"/>
      <c r="IP262" s="691"/>
      <c r="IQ262" s="691"/>
      <c r="IR262" s="691"/>
      <c r="IS262" s="691"/>
      <c r="IT262" s="691"/>
      <c r="IU262" s="691"/>
      <c r="IV262" s="691"/>
      <c r="IW262" s="691"/>
    </row>
    <row r="263" customFormat="false" ht="12.75" hidden="false" customHeight="false" outlineLevel="1" collapsed="false">
      <c r="A263" s="395"/>
      <c r="B263" s="70"/>
      <c r="C263" s="70"/>
      <c r="D263" s="70"/>
      <c r="E263" s="70"/>
      <c r="F263" s="70"/>
      <c r="G263" s="70"/>
      <c r="H263" s="70"/>
      <c r="I263" s="70"/>
      <c r="J263" s="70"/>
      <c r="K263" s="70"/>
      <c r="L263" s="70"/>
      <c r="M263" s="70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  <c r="Z263" s="70"/>
    </row>
    <row r="264" customFormat="false" ht="12.75" hidden="false" customHeight="false" outlineLevel="1" collapsed="false">
      <c r="A264" s="395"/>
      <c r="B264" s="70"/>
      <c r="C264" s="70"/>
      <c r="D264" s="70"/>
      <c r="E264" s="70"/>
      <c r="F264" s="70"/>
      <c r="G264" s="70"/>
      <c r="H264" s="417"/>
      <c r="I264" s="417"/>
      <c r="J264" s="417"/>
      <c r="K264" s="417"/>
      <c r="L264" s="417"/>
      <c r="M264" s="417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  <c r="Z264" s="70"/>
    </row>
    <row r="265" customFormat="false" ht="12.75" hidden="false" customHeight="false" outlineLevel="1" collapsed="false">
      <c r="A265" s="395"/>
      <c r="B265" s="70"/>
      <c r="C265" s="70"/>
      <c r="D265" s="70"/>
      <c r="E265" s="70"/>
      <c r="F265" s="70"/>
      <c r="G265" s="70"/>
      <c r="H265" s="417"/>
      <c r="I265" s="417"/>
      <c r="J265" s="417"/>
      <c r="K265" s="417"/>
      <c r="L265" s="417"/>
      <c r="M265" s="417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  <c r="Z265" s="70"/>
    </row>
    <row r="266" customFormat="false" ht="12.75" hidden="false" customHeight="false" outlineLevel="1" collapsed="false">
      <c r="A266" s="70"/>
      <c r="B266" s="692"/>
      <c r="C266" s="692"/>
      <c r="D266" s="692"/>
      <c r="E266" s="692"/>
      <c r="F266" s="70"/>
      <c r="G266" s="70"/>
      <c r="H266" s="693"/>
      <c r="I266" s="693"/>
      <c r="J266" s="693"/>
      <c r="K266" s="693"/>
      <c r="L266" s="693"/>
      <c r="M266" s="693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  <c r="Z266" s="70"/>
    </row>
    <row r="267" customFormat="false" ht="12.75" hidden="false" customHeight="false" outlineLevel="1" collapsed="false">
      <c r="A267" s="395"/>
      <c r="B267" s="694"/>
      <c r="C267" s="694"/>
      <c r="D267" s="694"/>
      <c r="E267" s="694"/>
      <c r="F267" s="70"/>
      <c r="G267" s="70"/>
      <c r="H267" s="70"/>
      <c r="I267" s="70"/>
      <c r="J267" s="70"/>
      <c r="K267" s="70"/>
      <c r="L267" s="70"/>
      <c r="M267" s="70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  <c r="Z267" s="70"/>
    </row>
    <row r="268" customFormat="false" ht="12.75" hidden="false" customHeight="false" outlineLevel="1" collapsed="false">
      <c r="A268" s="690"/>
      <c r="B268" s="70"/>
      <c r="C268" s="70"/>
      <c r="D268" s="70"/>
      <c r="E268" s="70"/>
      <c r="F268" s="70"/>
      <c r="G268" s="70"/>
      <c r="H268" s="70"/>
      <c r="I268" s="70"/>
      <c r="J268" s="70"/>
      <c r="K268" s="70"/>
      <c r="L268" s="70"/>
      <c r="M268" s="70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  <c r="Y268" s="70"/>
      <c r="Z268" s="70"/>
    </row>
    <row r="269" customFormat="false" ht="12.75" hidden="false" customHeight="false" outlineLevel="1" collapsed="false">
      <c r="A269" s="695"/>
      <c r="B269" s="70"/>
      <c r="C269" s="70"/>
      <c r="D269" s="70"/>
      <c r="E269" s="70"/>
      <c r="F269" s="70"/>
      <c r="G269" s="70"/>
      <c r="H269" s="102"/>
      <c r="I269" s="102"/>
      <c r="J269" s="102"/>
      <c r="K269" s="102"/>
      <c r="L269" s="102"/>
      <c r="M269" s="102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  <c r="Z269" s="70"/>
    </row>
    <row r="270" customFormat="false" ht="12.75" hidden="false" customHeight="false" outlineLevel="1" collapsed="false">
      <c r="A270" s="695"/>
      <c r="B270" s="70"/>
      <c r="C270" s="70"/>
      <c r="D270" s="70"/>
      <c r="E270" s="70"/>
      <c r="F270" s="70"/>
      <c r="G270" s="70"/>
      <c r="H270" s="102"/>
      <c r="I270" s="102"/>
      <c r="J270" s="102"/>
      <c r="K270" s="102"/>
      <c r="L270" s="102"/>
      <c r="M270" s="102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  <c r="Z270" s="70"/>
    </row>
    <row r="271" customFormat="false" ht="12.75" hidden="false" customHeight="false" outlineLevel="1" collapsed="false">
      <c r="A271" s="695"/>
      <c r="B271" s="70"/>
      <c r="C271" s="70"/>
      <c r="D271" s="70"/>
      <c r="E271" s="70"/>
      <c r="F271" s="70"/>
      <c r="G271" s="70"/>
      <c r="H271" s="102"/>
      <c r="I271" s="102"/>
      <c r="J271" s="102"/>
      <c r="K271" s="102"/>
      <c r="L271" s="102"/>
      <c r="M271" s="102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  <c r="Z271" s="70"/>
    </row>
    <row r="272" customFormat="false" ht="12.75" hidden="false" customHeight="false" outlineLevel="1" collapsed="false">
      <c r="A272" s="695"/>
      <c r="B272" s="70"/>
      <c r="C272" s="70"/>
      <c r="D272" s="70"/>
      <c r="E272" s="70"/>
      <c r="F272" s="70"/>
      <c r="G272" s="70"/>
      <c r="H272" s="102"/>
      <c r="I272" s="102"/>
      <c r="J272" s="102"/>
      <c r="K272" s="102"/>
      <c r="L272" s="102"/>
      <c r="M272" s="102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  <c r="Z272" s="70"/>
    </row>
    <row r="273" customFormat="false" ht="12.75" hidden="false" customHeight="false" outlineLevel="1" collapsed="false">
      <c r="A273" s="695"/>
      <c r="B273" s="70"/>
      <c r="C273" s="70"/>
      <c r="D273" s="70"/>
      <c r="E273" s="70"/>
      <c r="F273" s="70"/>
      <c r="G273" s="70"/>
      <c r="H273" s="417"/>
      <c r="I273" s="417"/>
      <c r="J273" s="417"/>
      <c r="K273" s="417"/>
      <c r="L273" s="417"/>
      <c r="M273" s="417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  <c r="Z273" s="70"/>
    </row>
    <row r="274" customFormat="false" ht="12.75" hidden="false" customHeight="false" outlineLevel="1" collapsed="false">
      <c r="A274" s="395"/>
      <c r="B274" s="70"/>
      <c r="C274" s="70"/>
      <c r="D274" s="70"/>
      <c r="E274" s="70"/>
      <c r="F274" s="70"/>
      <c r="G274" s="70"/>
      <c r="H274" s="696"/>
      <c r="I274" s="696"/>
      <c r="J274" s="696"/>
      <c r="K274" s="696"/>
      <c r="L274" s="696"/>
      <c r="M274" s="696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  <c r="Z274" s="70"/>
    </row>
    <row r="275" customFormat="false" ht="12.75" hidden="false" customHeight="false" outlineLevel="1" collapsed="false">
      <c r="A275" s="695"/>
      <c r="B275" s="697"/>
      <c r="C275" s="697"/>
      <c r="D275" s="697"/>
      <c r="E275" s="697"/>
      <c r="F275" s="70"/>
      <c r="G275" s="70"/>
      <c r="H275" s="698"/>
      <c r="I275" s="698"/>
      <c r="J275" s="698"/>
      <c r="K275" s="698"/>
      <c r="L275" s="698"/>
      <c r="M275" s="698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  <c r="Z275" s="70"/>
    </row>
    <row r="276" customFormat="false" ht="12.75" hidden="false" customHeight="false" outlineLevel="1" collapsed="false">
      <c r="A276" s="695"/>
      <c r="B276" s="70"/>
      <c r="C276" s="70"/>
      <c r="D276" s="70"/>
      <c r="E276" s="70"/>
      <c r="F276" s="70"/>
      <c r="G276" s="70"/>
      <c r="H276" s="698"/>
      <c r="I276" s="698"/>
      <c r="J276" s="698"/>
      <c r="K276" s="698"/>
      <c r="L276" s="698"/>
      <c r="M276" s="698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/>
    </row>
    <row r="277" customFormat="false" ht="12.75" hidden="false" customHeight="false" outlineLevel="1" collapsed="false">
      <c r="A277" s="695"/>
      <c r="B277" s="70"/>
      <c r="C277" s="70"/>
      <c r="D277" s="70"/>
      <c r="E277" s="70"/>
      <c r="F277" s="70"/>
      <c r="G277" s="70"/>
      <c r="H277" s="698"/>
      <c r="I277" s="698"/>
      <c r="J277" s="698"/>
      <c r="K277" s="698"/>
      <c r="L277" s="698"/>
      <c r="M277" s="698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/>
    </row>
    <row r="278" customFormat="false" ht="12.75" hidden="false" customHeight="false" outlineLevel="1" collapsed="false">
      <c r="A278" s="695"/>
      <c r="B278" s="70"/>
      <c r="C278" s="70"/>
      <c r="D278" s="70"/>
      <c r="E278" s="70"/>
      <c r="F278" s="70"/>
      <c r="G278" s="70"/>
      <c r="H278" s="698"/>
      <c r="I278" s="698"/>
      <c r="J278" s="698"/>
      <c r="K278" s="698"/>
      <c r="L278" s="698"/>
      <c r="M278" s="698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/>
    </row>
    <row r="279" customFormat="false" ht="12.75" hidden="false" customHeight="false" outlineLevel="1" collapsed="false">
      <c r="A279" s="695"/>
      <c r="B279" s="70"/>
      <c r="C279" s="70"/>
      <c r="D279" s="70"/>
      <c r="E279" s="70"/>
      <c r="F279" s="70"/>
      <c r="G279" s="70"/>
      <c r="H279" s="696"/>
      <c r="I279" s="696"/>
      <c r="J279" s="696"/>
      <c r="K279" s="696"/>
      <c r="L279" s="696"/>
      <c r="M279" s="696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/>
    </row>
    <row r="280" customFormat="false" ht="12.75" hidden="false" customHeight="false" outlineLevel="1" collapsed="false">
      <c r="A280" s="395"/>
      <c r="B280" s="70"/>
      <c r="C280" s="70"/>
      <c r="D280" s="70"/>
      <c r="E280" s="70"/>
      <c r="F280" s="70"/>
      <c r="G280" s="70"/>
      <c r="H280" s="70"/>
      <c r="I280" s="70"/>
      <c r="J280" s="70"/>
      <c r="K280" s="70"/>
      <c r="L280" s="70"/>
      <c r="M280" s="70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  <c r="Z280" s="70"/>
    </row>
    <row r="281" customFormat="false" ht="12.75" hidden="false" customHeight="false" outlineLevel="1" collapsed="false">
      <c r="A281" s="70"/>
      <c r="B281" s="70"/>
      <c r="C281" s="70"/>
      <c r="D281" s="70"/>
      <c r="E281" s="70"/>
      <c r="F281" s="70"/>
      <c r="G281" s="70"/>
      <c r="H281" s="102"/>
      <c r="I281" s="102"/>
      <c r="J281" s="102"/>
      <c r="K281" s="102"/>
      <c r="L281" s="102"/>
      <c r="M281" s="102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  <c r="Z281" s="70"/>
    </row>
    <row r="282" customFormat="false" ht="12.75" hidden="false" customHeight="false" outlineLevel="1" collapsed="false">
      <c r="A282" s="70"/>
      <c r="B282" s="70"/>
      <c r="C282" s="70"/>
      <c r="D282" s="70"/>
      <c r="E282" s="70"/>
      <c r="F282" s="70"/>
      <c r="G282" s="70"/>
      <c r="H282" s="102"/>
      <c r="I282" s="102"/>
      <c r="J282" s="102"/>
      <c r="K282" s="102"/>
      <c r="L282" s="102"/>
      <c r="M282" s="102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  <c r="Z282" s="70"/>
    </row>
    <row r="283" customFormat="false" ht="12.75" hidden="false" customHeight="false" outlineLevel="1" collapsed="false">
      <c r="A283" s="70"/>
      <c r="B283" s="70"/>
      <c r="C283" s="70"/>
      <c r="D283" s="70"/>
      <c r="E283" s="70"/>
      <c r="F283" s="70"/>
      <c r="G283" s="70"/>
      <c r="H283" s="102"/>
      <c r="I283" s="102"/>
      <c r="J283" s="102"/>
      <c r="K283" s="102"/>
      <c r="L283" s="102"/>
      <c r="M283" s="102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  <c r="Z283" s="70"/>
    </row>
    <row r="284" customFormat="false" ht="12.75" hidden="false" customHeight="false" outlineLevel="1" collapsed="false">
      <c r="A284" s="70"/>
      <c r="B284" s="70"/>
      <c r="C284" s="70"/>
      <c r="D284" s="70"/>
      <c r="E284" s="70"/>
      <c r="F284" s="639"/>
      <c r="G284" s="639"/>
      <c r="H284" s="102"/>
      <c r="I284" s="102"/>
      <c r="J284" s="102"/>
      <c r="K284" s="102"/>
      <c r="L284" s="102"/>
      <c r="M284" s="102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  <c r="Z284" s="70"/>
    </row>
    <row r="285" customFormat="false" ht="12.75" hidden="false" customHeight="false" outlineLevel="1" collapsed="false">
      <c r="A285" s="70"/>
      <c r="B285" s="70"/>
      <c r="C285" s="70"/>
      <c r="D285" s="70"/>
      <c r="E285" s="70"/>
      <c r="F285" s="70"/>
      <c r="G285" s="70"/>
      <c r="H285" s="70"/>
      <c r="I285" s="70"/>
      <c r="J285" s="70"/>
      <c r="K285" s="70"/>
      <c r="L285" s="70"/>
      <c r="M285" s="70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  <c r="Z285" s="70"/>
    </row>
    <row r="286" customFormat="false" ht="12.75" hidden="false" customHeight="false" outlineLevel="1" collapsed="false">
      <c r="A286" s="395"/>
      <c r="B286" s="70"/>
      <c r="C286" s="70"/>
      <c r="D286" s="70"/>
      <c r="E286" s="70"/>
      <c r="F286" s="70"/>
      <c r="G286" s="70"/>
      <c r="H286" s="70"/>
      <c r="I286" s="70"/>
      <c r="J286" s="70"/>
      <c r="K286" s="70"/>
      <c r="L286" s="70"/>
      <c r="M286" s="70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  <c r="Z286" s="70"/>
    </row>
    <row r="287" customFormat="false" ht="12.75" hidden="false" customHeight="false" outlineLevel="1" collapsed="false">
      <c r="A287" s="70"/>
      <c r="B287" s="70"/>
      <c r="C287" s="70"/>
      <c r="D287" s="70"/>
      <c r="E287" s="70"/>
      <c r="F287" s="70"/>
      <c r="G287" s="70"/>
      <c r="H287" s="417"/>
      <c r="I287" s="417"/>
      <c r="J287" s="417"/>
      <c r="K287" s="417"/>
      <c r="L287" s="417"/>
      <c r="M287" s="417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  <c r="Z287" s="70"/>
    </row>
    <row r="288" customFormat="false" ht="12.75" hidden="false" customHeight="false" outlineLevel="1" collapsed="false">
      <c r="A288" s="695"/>
      <c r="B288" s="70"/>
      <c r="C288" s="70"/>
      <c r="D288" s="70"/>
      <c r="E288" s="70"/>
      <c r="F288" s="70"/>
      <c r="G288" s="70"/>
      <c r="H288" s="417"/>
      <c r="I288" s="417"/>
      <c r="J288" s="417"/>
      <c r="K288" s="417"/>
      <c r="L288" s="417"/>
      <c r="M288" s="417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  <c r="Z288" s="70"/>
    </row>
    <row r="289" customFormat="false" ht="12.75" hidden="false" customHeight="false" outlineLevel="1" collapsed="false">
      <c r="A289" s="695"/>
      <c r="B289" s="70"/>
      <c r="C289" s="70"/>
      <c r="D289" s="70"/>
      <c r="E289" s="70"/>
      <c r="F289" s="70"/>
      <c r="G289" s="70"/>
      <c r="H289" s="417"/>
      <c r="I289" s="417"/>
      <c r="J289" s="417"/>
      <c r="K289" s="417"/>
      <c r="L289" s="417"/>
      <c r="M289" s="417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  <c r="Z289" s="70"/>
    </row>
    <row r="290" customFormat="false" ht="12.75" hidden="false" customHeight="false" outlineLevel="1" collapsed="false">
      <c r="A290" s="695"/>
      <c r="B290" s="70"/>
      <c r="C290" s="70"/>
      <c r="D290" s="70"/>
      <c r="E290" s="70"/>
      <c r="F290" s="639"/>
      <c r="G290" s="639"/>
      <c r="H290" s="417"/>
      <c r="I290" s="417"/>
      <c r="J290" s="417"/>
      <c r="K290" s="417"/>
      <c r="L290" s="417"/>
      <c r="M290" s="417"/>
      <c r="N290" s="70"/>
      <c r="O290" s="70"/>
      <c r="P290" s="70"/>
      <c r="Q290" s="70"/>
      <c r="R290" s="70"/>
      <c r="S290" s="70"/>
      <c r="T290" s="70"/>
      <c r="U290" s="70"/>
      <c r="V290" s="70"/>
      <c r="W290" s="70"/>
      <c r="X290" s="70"/>
      <c r="Y290" s="70"/>
      <c r="Z290" s="70"/>
    </row>
    <row r="291" customFormat="false" ht="12.75" hidden="false" customHeight="false" outlineLevel="1" collapsed="false">
      <c r="A291" s="70"/>
      <c r="B291" s="70"/>
      <c r="C291" s="70"/>
      <c r="D291" s="70"/>
      <c r="E291" s="70"/>
      <c r="F291" s="70"/>
      <c r="G291" s="70"/>
      <c r="H291" s="417"/>
      <c r="I291" s="417"/>
      <c r="J291" s="417"/>
      <c r="K291" s="417"/>
      <c r="L291" s="417"/>
      <c r="M291" s="417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  <c r="Y291" s="70"/>
      <c r="Z291" s="70"/>
    </row>
    <row r="292" customFormat="false" ht="12.75" hidden="false" customHeight="false" outlineLevel="1" collapsed="false">
      <c r="A292" s="70"/>
      <c r="B292" s="70"/>
      <c r="C292" s="70"/>
      <c r="D292" s="70"/>
      <c r="E292" s="70"/>
      <c r="F292" s="70"/>
      <c r="G292" s="70"/>
      <c r="H292" s="417"/>
      <c r="I292" s="417"/>
      <c r="J292" s="417"/>
      <c r="K292" s="417"/>
      <c r="L292" s="417"/>
      <c r="M292" s="417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  <c r="Z292" s="70"/>
    </row>
    <row r="293" customFormat="false" ht="12.75" hidden="false" customHeight="false" outlineLevel="1" collapsed="false">
      <c r="A293" s="70"/>
      <c r="B293" s="70"/>
      <c r="C293" s="70"/>
      <c r="D293" s="70"/>
      <c r="E293" s="70"/>
      <c r="F293" s="70"/>
      <c r="G293" s="70"/>
      <c r="H293" s="417"/>
      <c r="I293" s="417"/>
      <c r="J293" s="417"/>
      <c r="K293" s="417"/>
      <c r="L293" s="417"/>
      <c r="M293" s="417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  <c r="Z293" s="70"/>
    </row>
    <row r="294" customFormat="false" ht="12.75" hidden="false" customHeight="false" outlineLevel="1" collapsed="false">
      <c r="A294" s="70"/>
      <c r="B294" s="70"/>
      <c r="C294" s="70"/>
      <c r="D294" s="70"/>
      <c r="E294" s="70"/>
      <c r="F294" s="70"/>
      <c r="G294" s="70"/>
      <c r="H294" s="417"/>
      <c r="I294" s="417"/>
      <c r="J294" s="417"/>
      <c r="K294" s="417"/>
      <c r="L294" s="417"/>
      <c r="M294" s="417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  <c r="Y294" s="70"/>
      <c r="Z294" s="70"/>
    </row>
    <row r="295" customFormat="false" ht="12.75" hidden="false" customHeight="false" outlineLevel="1" collapsed="false">
      <c r="A295" s="70"/>
      <c r="B295" s="70"/>
      <c r="C295" s="70"/>
      <c r="D295" s="70"/>
      <c r="E295" s="70"/>
      <c r="F295" s="70"/>
      <c r="G295" s="70"/>
      <c r="H295" s="417"/>
      <c r="I295" s="417"/>
      <c r="J295" s="417"/>
      <c r="K295" s="417"/>
      <c r="L295" s="417"/>
      <c r="M295" s="417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  <c r="Y295" s="70"/>
      <c r="Z295" s="70"/>
    </row>
    <row r="296" customFormat="false" ht="12.75" hidden="false" customHeight="false" outlineLevel="1" collapsed="false">
      <c r="A296" s="70"/>
      <c r="B296" s="70"/>
      <c r="C296" s="70"/>
      <c r="D296" s="70"/>
      <c r="E296" s="70"/>
      <c r="F296" s="70"/>
      <c r="G296" s="70"/>
      <c r="H296" s="417"/>
      <c r="I296" s="417"/>
      <c r="J296" s="417"/>
      <c r="K296" s="417"/>
      <c r="L296" s="417"/>
      <c r="M296" s="417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  <c r="Y296" s="70"/>
      <c r="Z296" s="70"/>
    </row>
    <row r="297" customFormat="false" ht="12.75" hidden="false" customHeight="false" outlineLevel="1" collapsed="false">
      <c r="A297" s="70"/>
      <c r="B297" s="70"/>
      <c r="C297" s="70"/>
      <c r="D297" s="70"/>
      <c r="E297" s="70"/>
      <c r="F297" s="70"/>
      <c r="G297" s="70"/>
      <c r="H297" s="70"/>
      <c r="I297" s="70"/>
      <c r="J297" s="70"/>
      <c r="K297" s="70"/>
      <c r="L297" s="70"/>
      <c r="M297" s="70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  <c r="Y297" s="70"/>
      <c r="Z297" s="70"/>
    </row>
    <row r="298" customFormat="false" ht="12.75" hidden="false" customHeight="false" outlineLevel="1" collapsed="false">
      <c r="A298" s="395"/>
      <c r="B298" s="70"/>
      <c r="C298" s="70"/>
      <c r="D298" s="70"/>
      <c r="E298" s="70"/>
      <c r="F298" s="399"/>
      <c r="G298" s="399"/>
      <c r="H298" s="399"/>
      <c r="I298" s="399"/>
      <c r="J298" s="399"/>
      <c r="K298" s="399"/>
      <c r="L298" s="399"/>
      <c r="M298" s="399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  <c r="Y298" s="70"/>
      <c r="Z298" s="70"/>
    </row>
    <row r="299" customFormat="false" ht="12.75" hidden="false" customHeight="false" outlineLevel="1" collapsed="false">
      <c r="A299" s="395"/>
      <c r="B299" s="70"/>
      <c r="C299" s="70"/>
      <c r="D299" s="70"/>
      <c r="E299" s="697"/>
      <c r="F299" s="639"/>
      <c r="G299" s="639"/>
      <c r="H299" s="399"/>
      <c r="I299" s="399"/>
      <c r="J299" s="399"/>
      <c r="K299" s="399"/>
      <c r="L299" s="399"/>
      <c r="M299" s="399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  <c r="Y299" s="70"/>
      <c r="Z299" s="70"/>
    </row>
    <row r="300" customFormat="false" ht="12.75" hidden="false" customHeight="false" outlineLevel="1" collapsed="false">
      <c r="A300" s="395"/>
      <c r="B300" s="70"/>
      <c r="C300" s="70"/>
      <c r="D300" s="70"/>
      <c r="E300" s="70"/>
      <c r="F300" s="399"/>
      <c r="G300" s="399"/>
      <c r="H300" s="399"/>
      <c r="I300" s="399"/>
      <c r="J300" s="399"/>
      <c r="K300" s="399"/>
      <c r="L300" s="399"/>
      <c r="M300" s="399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  <c r="Y300" s="70"/>
      <c r="Z300" s="70"/>
    </row>
    <row r="301" customFormat="false" ht="12.75" hidden="false" customHeight="false" outlineLevel="1" collapsed="false">
      <c r="A301" s="395"/>
      <c r="B301" s="70"/>
      <c r="C301" s="70"/>
      <c r="D301" s="70"/>
      <c r="E301" s="70"/>
      <c r="F301" s="70"/>
      <c r="G301" s="70"/>
      <c r="H301" s="399"/>
      <c r="I301" s="399"/>
      <c r="J301" s="399"/>
      <c r="K301" s="399"/>
      <c r="L301" s="399"/>
      <c r="M301" s="399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  <c r="Y301" s="70"/>
      <c r="Z301" s="70"/>
    </row>
    <row r="302" customFormat="false" ht="12.75" hidden="false" customHeight="false" outlineLevel="1" collapsed="false">
      <c r="A302" s="70"/>
      <c r="B302" s="70"/>
      <c r="C302" s="70"/>
      <c r="D302" s="70"/>
      <c r="E302" s="70"/>
      <c r="F302" s="70"/>
      <c r="G302" s="70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  <c r="Y302" s="70"/>
      <c r="Z302" s="70"/>
    </row>
    <row r="303" customFormat="false" ht="12.75" hidden="false" customHeight="false" outlineLevel="1" collapsed="false">
      <c r="A303" s="395"/>
      <c r="B303" s="70"/>
      <c r="C303" s="70"/>
      <c r="D303" s="70"/>
      <c r="E303" s="70"/>
      <c r="F303" s="70"/>
      <c r="G303" s="70"/>
      <c r="H303" s="70"/>
      <c r="I303" s="70"/>
      <c r="J303" s="70"/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  <c r="Y303" s="70"/>
      <c r="Z303" s="70"/>
    </row>
    <row r="304" customFormat="false" ht="12.75" hidden="false" customHeight="false" outlineLevel="1" collapsed="false">
      <c r="A304" s="395"/>
      <c r="B304" s="70"/>
      <c r="C304" s="70"/>
      <c r="D304" s="70"/>
      <c r="E304" s="70"/>
      <c r="F304" s="70"/>
      <c r="G304" s="70"/>
      <c r="H304" s="70"/>
      <c r="I304" s="70"/>
      <c r="J304" s="70"/>
      <c r="K304" s="70"/>
      <c r="L304" s="70"/>
      <c r="M304" s="70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  <c r="Z304" s="70"/>
    </row>
    <row r="305" customFormat="false" ht="12.75" hidden="false" customHeight="false" outlineLevel="1" collapsed="false">
      <c r="A305" s="70"/>
      <c r="B305" s="70"/>
      <c r="C305" s="70"/>
      <c r="D305" s="70"/>
      <c r="E305" s="70"/>
      <c r="F305" s="70"/>
      <c r="G305" s="70"/>
      <c r="H305" s="70"/>
      <c r="I305" s="70"/>
      <c r="J305" s="70"/>
      <c r="K305" s="70"/>
      <c r="L305" s="70"/>
      <c r="M305" s="70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  <c r="Y305" s="70"/>
      <c r="Z305" s="70"/>
    </row>
    <row r="306" customFormat="false" ht="12.75" hidden="false" customHeight="false" outlineLevel="1" collapsed="false">
      <c r="A306" s="70"/>
      <c r="B306" s="70"/>
      <c r="C306" s="70"/>
      <c r="D306" s="70"/>
      <c r="E306" s="70"/>
      <c r="F306" s="70"/>
      <c r="G306" s="70"/>
      <c r="H306" s="686"/>
      <c r="I306" s="686"/>
      <c r="J306" s="686"/>
      <c r="K306" s="686"/>
      <c r="L306" s="686"/>
      <c r="M306" s="686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  <c r="Y306" s="70"/>
      <c r="Z306" s="70"/>
    </row>
    <row r="307" customFormat="false" ht="12.75" hidden="false" customHeight="false" outlineLevel="1" collapsed="false">
      <c r="A307" s="70"/>
      <c r="B307" s="70"/>
      <c r="C307" s="70"/>
      <c r="D307" s="70"/>
      <c r="E307" s="70"/>
      <c r="F307" s="70"/>
      <c r="G307" s="70"/>
      <c r="H307" s="399"/>
      <c r="I307" s="399"/>
      <c r="J307" s="399"/>
      <c r="K307" s="399"/>
      <c r="L307" s="399"/>
      <c r="M307" s="399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  <c r="Z307" s="70"/>
    </row>
    <row r="308" customFormat="false" ht="12.75" hidden="false" customHeight="false" outlineLevel="1" collapsed="false">
      <c r="A308" s="70"/>
      <c r="B308" s="70"/>
      <c r="C308" s="70"/>
      <c r="D308" s="70"/>
      <c r="E308" s="70"/>
      <c r="F308" s="70"/>
      <c r="G308" s="70"/>
      <c r="H308" s="699"/>
      <c r="I308" s="699"/>
      <c r="J308" s="699"/>
      <c r="K308" s="699"/>
      <c r="L308" s="699"/>
      <c r="M308" s="699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  <c r="Y308" s="70"/>
      <c r="Z308" s="70"/>
    </row>
    <row r="309" customFormat="false" ht="12.75" hidden="false" customHeight="false" outlineLevel="1" collapsed="false">
      <c r="A309" s="70"/>
      <c r="B309" s="70"/>
      <c r="C309" s="70"/>
      <c r="D309" s="70"/>
      <c r="E309" s="70"/>
      <c r="F309" s="70"/>
      <c r="G309" s="70"/>
      <c r="H309" s="686"/>
      <c r="I309" s="686"/>
      <c r="J309" s="686"/>
      <c r="K309" s="686"/>
      <c r="L309" s="686"/>
      <c r="M309" s="686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  <c r="Y309" s="70"/>
      <c r="Z309" s="70"/>
    </row>
    <row r="310" customFormat="false" ht="12.75" hidden="false" customHeight="false" outlineLevel="1" collapsed="false">
      <c r="A310" s="70"/>
      <c r="B310" s="70"/>
      <c r="C310" s="70"/>
      <c r="D310" s="70"/>
      <c r="E310" s="70"/>
      <c r="F310" s="70"/>
      <c r="G310" s="70"/>
      <c r="H310" s="699"/>
      <c r="I310" s="699"/>
      <c r="J310" s="699"/>
      <c r="K310" s="699"/>
      <c r="L310" s="699"/>
      <c r="M310" s="699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  <c r="Y310" s="70"/>
      <c r="Z310" s="70"/>
    </row>
    <row r="311" customFormat="false" ht="12.75" hidden="false" customHeight="false" outlineLevel="1" collapsed="false">
      <c r="A311" s="70"/>
      <c r="B311" s="70"/>
      <c r="C311" s="70"/>
      <c r="D311" s="70"/>
      <c r="E311" s="70"/>
      <c r="F311" s="70"/>
      <c r="G311" s="70"/>
      <c r="H311" s="700"/>
      <c r="I311" s="700"/>
      <c r="J311" s="700"/>
      <c r="K311" s="700"/>
      <c r="L311" s="700"/>
      <c r="M311" s="700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  <c r="Y311" s="70"/>
      <c r="Z311" s="70"/>
    </row>
    <row r="312" customFormat="false" ht="12.75" hidden="false" customHeight="false" outlineLevel="1" collapsed="false">
      <c r="A312" s="70"/>
      <c r="B312" s="70"/>
      <c r="C312" s="70"/>
      <c r="D312" s="70"/>
      <c r="E312" s="70"/>
      <c r="F312" s="70"/>
      <c r="G312" s="70"/>
      <c r="H312" s="700"/>
      <c r="I312" s="700"/>
      <c r="J312" s="700"/>
      <c r="K312" s="700"/>
      <c r="L312" s="700"/>
      <c r="M312" s="700"/>
      <c r="N312" s="70"/>
      <c r="O312" s="70"/>
      <c r="P312" s="70"/>
      <c r="Q312" s="70"/>
      <c r="R312" s="70"/>
      <c r="S312" s="70"/>
      <c r="T312" s="70"/>
      <c r="U312" s="70"/>
      <c r="V312" s="70"/>
      <c r="W312" s="70"/>
      <c r="X312" s="70"/>
      <c r="Y312" s="70"/>
      <c r="Z312" s="70"/>
    </row>
    <row r="313" customFormat="false" ht="18.75" hidden="true" customHeight="false" outlineLevel="2" collapsed="false">
      <c r="A313" s="682"/>
      <c r="B313" s="70"/>
      <c r="C313" s="70"/>
      <c r="D313" s="70"/>
      <c r="E313" s="70"/>
      <c r="F313" s="70"/>
      <c r="G313" s="70"/>
      <c r="H313" s="700"/>
      <c r="I313" s="700"/>
      <c r="J313" s="700"/>
      <c r="K313" s="700"/>
      <c r="L313" s="700"/>
      <c r="M313" s="700"/>
      <c r="N313" s="70"/>
      <c r="O313" s="70"/>
      <c r="P313" s="70"/>
      <c r="Q313" s="70"/>
      <c r="R313" s="70"/>
      <c r="S313" s="70"/>
      <c r="T313" s="70"/>
      <c r="U313" s="70"/>
      <c r="V313" s="70"/>
      <c r="W313" s="70"/>
      <c r="X313" s="70"/>
      <c r="Y313" s="70"/>
      <c r="Z313" s="70"/>
    </row>
    <row r="314" customFormat="false" ht="12.75" hidden="true" customHeight="false" outlineLevel="2" collapsed="false">
      <c r="A314" s="395"/>
      <c r="B314" s="70"/>
      <c r="C314" s="70"/>
      <c r="D314" s="70"/>
      <c r="E314" s="70"/>
      <c r="F314" s="70"/>
      <c r="G314" s="70"/>
      <c r="H314" s="700"/>
      <c r="I314" s="700"/>
      <c r="J314" s="700"/>
      <c r="K314" s="700"/>
      <c r="L314" s="700"/>
      <c r="M314" s="700"/>
      <c r="N314" s="70"/>
      <c r="O314" s="70"/>
      <c r="P314" s="70"/>
      <c r="Q314" s="70"/>
      <c r="R314" s="70"/>
      <c r="S314" s="70"/>
      <c r="T314" s="70"/>
      <c r="U314" s="70"/>
      <c r="V314" s="70"/>
      <c r="W314" s="70"/>
      <c r="X314" s="70"/>
      <c r="Y314" s="70"/>
      <c r="Z314" s="70"/>
    </row>
    <row r="315" customFormat="false" ht="12.75" hidden="true" customHeight="false" outlineLevel="2" collapsed="false">
      <c r="A315" s="70"/>
      <c r="B315" s="70"/>
      <c r="C315" s="70"/>
      <c r="D315" s="70"/>
      <c r="E315" s="70"/>
      <c r="F315" s="70"/>
      <c r="G315" s="70"/>
      <c r="H315" s="700"/>
      <c r="I315" s="700"/>
      <c r="J315" s="700"/>
      <c r="K315" s="700"/>
      <c r="L315" s="700"/>
      <c r="M315" s="70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  <c r="Z315" s="70"/>
    </row>
    <row r="316" customFormat="false" ht="12.75" hidden="true" customHeight="false" outlineLevel="2" collapsed="false">
      <c r="A316" s="395"/>
      <c r="B316" s="321"/>
      <c r="C316" s="321"/>
      <c r="D316" s="321"/>
      <c r="E316" s="321"/>
      <c r="F316" s="474"/>
      <c r="G316" s="474"/>
      <c r="H316" s="474"/>
      <c r="I316" s="321"/>
      <c r="J316" s="321"/>
      <c r="K316" s="474"/>
      <c r="L316" s="474"/>
      <c r="M316" s="321"/>
      <c r="N316" s="474"/>
      <c r="O316" s="474"/>
      <c r="P316" s="474"/>
      <c r="Q316" s="321"/>
      <c r="R316" s="474"/>
      <c r="S316" s="474"/>
      <c r="T316" s="70"/>
      <c r="U316" s="70"/>
      <c r="V316" s="70"/>
      <c r="W316" s="70"/>
      <c r="X316" s="70"/>
      <c r="Y316" s="474"/>
      <c r="Z316" s="70"/>
    </row>
    <row r="317" customFormat="false" ht="12.75" hidden="true" customHeight="false" outlineLevel="2" collapsed="false">
      <c r="A317" s="395"/>
      <c r="B317" s="70"/>
      <c r="C317" s="70"/>
      <c r="D317" s="70"/>
      <c r="E317" s="70"/>
      <c r="F317" s="70"/>
      <c r="G317" s="70"/>
      <c r="H317" s="70"/>
      <c r="I317" s="70"/>
      <c r="J317" s="70"/>
      <c r="K317" s="70"/>
      <c r="L317" s="70"/>
      <c r="M317" s="70"/>
      <c r="N317" s="70"/>
      <c r="O317" s="70"/>
      <c r="P317" s="70"/>
      <c r="Q317" s="70"/>
      <c r="R317" s="70"/>
      <c r="S317" s="70"/>
      <c r="T317" s="70"/>
      <c r="U317" s="70"/>
      <c r="V317" s="70"/>
      <c r="W317" s="70"/>
      <c r="X317" s="70"/>
      <c r="Y317" s="70"/>
      <c r="Z317" s="70"/>
    </row>
    <row r="318" customFormat="false" ht="12.75" hidden="true" customHeight="false" outlineLevel="2" collapsed="false">
      <c r="A318" s="70"/>
      <c r="B318" s="70"/>
      <c r="C318" s="70"/>
      <c r="D318" s="70"/>
      <c r="E318" s="70"/>
      <c r="F318" s="70"/>
      <c r="G318" s="70"/>
      <c r="H318" s="70"/>
      <c r="I318" s="70"/>
      <c r="J318" s="70"/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  <c r="Y318" s="70"/>
      <c r="Z318" s="70"/>
    </row>
    <row r="319" customFormat="false" ht="12.75" hidden="true" customHeight="false" outlineLevel="2" collapsed="false">
      <c r="A319" s="70"/>
      <c r="B319" s="686"/>
      <c r="C319" s="686"/>
      <c r="D319" s="686"/>
      <c r="E319" s="686"/>
      <c r="F319" s="686"/>
      <c r="G319" s="686"/>
      <c r="H319" s="686"/>
      <c r="I319" s="686"/>
      <c r="J319" s="686"/>
      <c r="K319" s="686"/>
      <c r="L319" s="686"/>
      <c r="M319" s="686"/>
      <c r="N319" s="686"/>
      <c r="O319" s="686"/>
      <c r="P319" s="686"/>
      <c r="Q319" s="686"/>
      <c r="R319" s="686"/>
      <c r="S319" s="686"/>
      <c r="T319" s="70"/>
      <c r="U319" s="70"/>
      <c r="V319" s="70"/>
      <c r="W319" s="70"/>
      <c r="X319" s="70"/>
      <c r="Y319" s="686"/>
      <c r="Z319" s="70"/>
    </row>
    <row r="320" customFormat="false" ht="12.75" hidden="true" customHeight="false" outlineLevel="2" collapsed="false">
      <c r="A320" s="70"/>
      <c r="B320" s="70"/>
      <c r="C320" s="70"/>
      <c r="D320" s="70"/>
      <c r="E320" s="70"/>
      <c r="F320" s="70"/>
      <c r="G320" s="70"/>
      <c r="H320" s="70"/>
      <c r="I320" s="70"/>
      <c r="J320" s="70"/>
      <c r="K320" s="70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0"/>
      <c r="X320" s="70"/>
      <c r="Y320" s="70"/>
      <c r="Z320" s="70"/>
    </row>
    <row r="321" customFormat="false" ht="12.75" hidden="true" customHeight="false" outlineLevel="2" collapsed="false">
      <c r="A321" s="70"/>
      <c r="B321" s="399"/>
      <c r="C321" s="399"/>
      <c r="D321" s="399"/>
      <c r="E321" s="399"/>
      <c r="F321" s="399"/>
      <c r="G321" s="399"/>
      <c r="H321" s="399"/>
      <c r="I321" s="686"/>
      <c r="J321" s="686"/>
      <c r="K321" s="686"/>
      <c r="L321" s="686"/>
      <c r="M321" s="686"/>
      <c r="N321" s="686"/>
      <c r="O321" s="686"/>
      <c r="P321" s="686"/>
      <c r="Q321" s="686"/>
      <c r="R321" s="686"/>
      <c r="S321" s="686"/>
      <c r="T321" s="70"/>
      <c r="U321" s="70"/>
      <c r="V321" s="70"/>
      <c r="W321" s="70"/>
      <c r="X321" s="70"/>
      <c r="Y321" s="686"/>
      <c r="Z321" s="70"/>
    </row>
    <row r="322" customFormat="false" ht="12.75" hidden="true" customHeight="false" outlineLevel="2" collapsed="false">
      <c r="A322" s="70"/>
      <c r="B322" s="70"/>
      <c r="C322" s="70"/>
      <c r="D322" s="70"/>
      <c r="E322" s="70"/>
      <c r="F322" s="70"/>
      <c r="G322" s="70"/>
      <c r="H322" s="70"/>
      <c r="I322" s="70"/>
      <c r="J322" s="70"/>
      <c r="K322" s="70"/>
      <c r="L322" s="70"/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  <c r="Y322" s="70"/>
      <c r="Z322" s="70"/>
    </row>
    <row r="323" customFormat="false" ht="12.75" hidden="true" customHeight="false" outlineLevel="2" collapsed="false">
      <c r="A323" s="70"/>
      <c r="B323" s="686"/>
      <c r="C323" s="686"/>
      <c r="D323" s="686"/>
      <c r="E323" s="686"/>
      <c r="F323" s="686"/>
      <c r="G323" s="686"/>
      <c r="H323" s="686"/>
      <c r="I323" s="686"/>
      <c r="J323" s="686"/>
      <c r="K323" s="686"/>
      <c r="L323" s="686"/>
      <c r="M323" s="686"/>
      <c r="N323" s="686"/>
      <c r="O323" s="686"/>
      <c r="P323" s="686"/>
      <c r="Q323" s="686"/>
      <c r="R323" s="686"/>
      <c r="S323" s="686"/>
      <c r="T323" s="70"/>
      <c r="U323" s="70"/>
      <c r="V323" s="70"/>
      <c r="W323" s="70"/>
      <c r="X323" s="70"/>
      <c r="Y323" s="686"/>
      <c r="Z323" s="686"/>
      <c r="AA323" s="686"/>
      <c r="AB323" s="686"/>
      <c r="AC323" s="686"/>
      <c r="AD323" s="686"/>
      <c r="AE323" s="686"/>
    </row>
    <row r="324" customFormat="false" ht="12.75" hidden="true" customHeight="false" outlineLevel="2" collapsed="false">
      <c r="A324" s="70"/>
      <c r="B324" s="70"/>
      <c r="C324" s="70"/>
      <c r="D324" s="70"/>
      <c r="E324" s="70"/>
      <c r="F324" s="70"/>
      <c r="G324" s="70"/>
      <c r="H324" s="70"/>
      <c r="I324" s="70"/>
      <c r="J324" s="70"/>
      <c r="K324" s="70"/>
      <c r="L324" s="70"/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70"/>
      <c r="X324" s="70"/>
      <c r="Y324" s="70"/>
      <c r="Z324" s="70"/>
    </row>
    <row r="325" customFormat="false" ht="12.75" hidden="true" customHeight="false" outlineLevel="2" collapsed="false">
      <c r="A325" s="70"/>
      <c r="B325" s="686"/>
      <c r="C325" s="686"/>
      <c r="D325" s="686"/>
      <c r="E325" s="686"/>
      <c r="F325" s="686"/>
      <c r="G325" s="686"/>
      <c r="H325" s="686"/>
      <c r="I325" s="686"/>
      <c r="J325" s="686"/>
      <c r="K325" s="686"/>
      <c r="L325" s="686"/>
      <c r="M325" s="686"/>
      <c r="N325" s="686"/>
      <c r="O325" s="686"/>
      <c r="P325" s="686"/>
      <c r="Q325" s="686"/>
      <c r="R325" s="686"/>
      <c r="S325" s="686"/>
      <c r="T325" s="70"/>
      <c r="U325" s="70"/>
      <c r="V325" s="70"/>
      <c r="W325" s="70"/>
      <c r="X325" s="70"/>
      <c r="Y325" s="686"/>
      <c r="Z325" s="70"/>
    </row>
    <row r="326" customFormat="false" ht="12.75" hidden="true" customHeight="false" outlineLevel="2" collapsed="false">
      <c r="A326" s="70"/>
      <c r="B326" s="70"/>
      <c r="C326" s="70"/>
      <c r="D326" s="70"/>
      <c r="E326" s="70"/>
      <c r="F326" s="70"/>
      <c r="G326" s="70"/>
      <c r="H326" s="70"/>
      <c r="I326" s="70"/>
      <c r="J326" s="70"/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0"/>
      <c r="X326" s="70"/>
      <c r="Y326" s="70"/>
      <c r="Z326" s="70"/>
    </row>
    <row r="327" customFormat="false" ht="12.75" hidden="true" customHeight="false" outlineLevel="2" collapsed="false">
      <c r="A327" s="70"/>
      <c r="B327" s="686"/>
      <c r="C327" s="686"/>
      <c r="D327" s="686"/>
      <c r="E327" s="686"/>
      <c r="F327" s="686"/>
      <c r="G327" s="686"/>
      <c r="H327" s="686"/>
      <c r="I327" s="686"/>
      <c r="J327" s="686"/>
      <c r="K327" s="686"/>
      <c r="L327" s="686"/>
      <c r="M327" s="686"/>
      <c r="N327" s="686"/>
      <c r="O327" s="686"/>
      <c r="P327" s="686"/>
      <c r="Q327" s="686"/>
      <c r="R327" s="686"/>
      <c r="S327" s="686"/>
      <c r="T327" s="70"/>
      <c r="U327" s="70"/>
      <c r="V327" s="70"/>
      <c r="W327" s="70"/>
      <c r="X327" s="70"/>
      <c r="Y327" s="686"/>
      <c r="Z327" s="686"/>
    </row>
    <row r="328" customFormat="false" ht="12.75" hidden="true" customHeight="false" outlineLevel="2" collapsed="false">
      <c r="A328" s="70"/>
      <c r="B328" s="70"/>
      <c r="C328" s="70"/>
      <c r="D328" s="70"/>
      <c r="E328" s="70"/>
      <c r="F328" s="70"/>
      <c r="G328" s="70"/>
      <c r="H328" s="70"/>
      <c r="I328" s="70"/>
      <c r="J328" s="70"/>
      <c r="K328" s="70"/>
      <c r="L328" s="70"/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70"/>
      <c r="X328" s="70"/>
      <c r="Y328" s="70"/>
      <c r="Z328" s="70"/>
    </row>
    <row r="329" customFormat="false" ht="12.75" hidden="true" customHeight="false" outlineLevel="2" collapsed="false">
      <c r="A329" s="70"/>
      <c r="B329" s="686"/>
      <c r="C329" s="686"/>
      <c r="D329" s="686"/>
      <c r="E329" s="686"/>
      <c r="F329" s="686"/>
      <c r="G329" s="686"/>
      <c r="H329" s="686"/>
      <c r="I329" s="686"/>
      <c r="J329" s="686"/>
      <c r="K329" s="686"/>
      <c r="L329" s="686"/>
      <c r="M329" s="686"/>
      <c r="N329" s="686"/>
      <c r="O329" s="686"/>
      <c r="P329" s="686"/>
      <c r="Q329" s="686"/>
      <c r="R329" s="686"/>
      <c r="S329" s="686"/>
      <c r="T329" s="70"/>
      <c r="U329" s="70"/>
      <c r="V329" s="70"/>
      <c r="W329" s="70"/>
      <c r="X329" s="70"/>
      <c r="Y329" s="686"/>
      <c r="Z329" s="686"/>
    </row>
    <row r="330" customFormat="false" ht="12.75" hidden="true" customHeight="false" outlineLevel="2" collapsed="false">
      <c r="A330" s="70"/>
      <c r="B330" s="70"/>
      <c r="C330" s="70"/>
      <c r="D330" s="70"/>
      <c r="E330" s="70"/>
      <c r="F330" s="70"/>
      <c r="G330" s="70"/>
      <c r="H330" s="70"/>
      <c r="I330" s="70"/>
      <c r="J330" s="70"/>
      <c r="K330" s="70"/>
      <c r="L330" s="70"/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  <c r="Y330" s="70"/>
      <c r="Z330" s="70"/>
    </row>
    <row r="331" customFormat="false" ht="12.75" hidden="false" customHeight="false" outlineLevel="1" collapsed="true">
      <c r="A331" s="70"/>
      <c r="B331" s="70"/>
      <c r="C331" s="70"/>
      <c r="D331" s="70"/>
      <c r="E331" s="70"/>
      <c r="F331" s="70"/>
      <c r="G331" s="70"/>
      <c r="H331" s="70"/>
      <c r="I331" s="70"/>
      <c r="J331" s="70"/>
      <c r="K331" s="70"/>
      <c r="L331" s="70"/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70"/>
      <c r="X331" s="70"/>
      <c r="Y331" s="70"/>
      <c r="Z331" s="70"/>
    </row>
    <row r="332" customFormat="false" ht="12.75" hidden="false" customHeight="false" outlineLevel="1" collapsed="false">
      <c r="A332" s="70"/>
      <c r="B332" s="70"/>
      <c r="C332" s="70"/>
      <c r="D332" s="70"/>
      <c r="E332" s="70"/>
      <c r="F332" s="70"/>
      <c r="G332" s="70"/>
      <c r="H332" s="70"/>
      <c r="I332" s="70"/>
      <c r="J332" s="70"/>
      <c r="K332" s="70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0"/>
      <c r="X332" s="70"/>
      <c r="Y332" s="70"/>
      <c r="Z332" s="70"/>
    </row>
    <row r="333" customFormat="false" ht="12.75" hidden="false" customHeight="false" outlineLevel="1" collapsed="false">
      <c r="A333" s="70"/>
      <c r="B333" s="70"/>
      <c r="C333" s="70"/>
      <c r="D333" s="70"/>
      <c r="E333" s="70"/>
      <c r="F333" s="70"/>
      <c r="G333" s="70"/>
      <c r="H333" s="70"/>
      <c r="I333" s="70"/>
      <c r="J333" s="70"/>
      <c r="K333" s="70"/>
      <c r="L333" s="70"/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70"/>
      <c r="X333" s="70"/>
      <c r="Y333" s="70"/>
      <c r="Z333" s="70"/>
    </row>
    <row r="334" customFormat="false" ht="18.75" hidden="false" customHeight="false" outlineLevel="1" collapsed="false">
      <c r="A334" s="683"/>
      <c r="B334" s="683"/>
      <c r="C334" s="683"/>
      <c r="D334" s="683"/>
      <c r="E334" s="70"/>
      <c r="F334" s="70"/>
      <c r="G334" s="70"/>
      <c r="H334" s="70"/>
      <c r="I334" s="70"/>
      <c r="J334" s="70"/>
      <c r="K334" s="70"/>
      <c r="L334" s="70"/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70"/>
      <c r="X334" s="70"/>
      <c r="Y334" s="70"/>
      <c r="Z334" s="70"/>
    </row>
    <row r="335" customFormat="false" ht="12.75" hidden="false" customHeight="false" outlineLevel="1" collapsed="false">
      <c r="A335" s="395"/>
      <c r="B335" s="395"/>
      <c r="C335" s="395"/>
      <c r="D335" s="395"/>
      <c r="E335" s="70"/>
      <c r="F335" s="70"/>
      <c r="G335" s="70"/>
      <c r="H335" s="70"/>
      <c r="I335" s="70"/>
      <c r="J335" s="70"/>
      <c r="K335" s="70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0"/>
      <c r="X335" s="70"/>
      <c r="Y335" s="70"/>
      <c r="Z335" s="70"/>
    </row>
    <row r="336" customFormat="false" ht="12.75" hidden="false" customHeight="false" outlineLevel="1" collapsed="false">
      <c r="A336" s="395"/>
      <c r="B336" s="684"/>
      <c r="C336" s="684"/>
      <c r="D336" s="684"/>
      <c r="E336" s="70"/>
      <c r="F336" s="70"/>
      <c r="G336" s="70"/>
      <c r="H336" s="70"/>
      <c r="I336" s="70"/>
      <c r="J336" s="70"/>
      <c r="K336" s="70"/>
      <c r="L336" s="70"/>
      <c r="M336" s="70"/>
      <c r="N336" s="70"/>
      <c r="O336" s="70"/>
      <c r="P336" s="70"/>
      <c r="Q336" s="70"/>
      <c r="R336" s="70"/>
      <c r="S336" s="70"/>
      <c r="T336" s="70"/>
      <c r="U336" s="70"/>
      <c r="V336" s="70"/>
      <c r="W336" s="70"/>
      <c r="X336" s="70"/>
      <c r="Y336" s="70"/>
      <c r="Z336" s="70"/>
    </row>
    <row r="337" customFormat="false" ht="12.75" hidden="false" customHeight="false" outlineLevel="1" collapsed="false">
      <c r="A337" s="70"/>
      <c r="B337" s="70"/>
      <c r="C337" s="70"/>
      <c r="D337" s="70"/>
      <c r="E337" s="70"/>
      <c r="F337" s="70"/>
      <c r="G337" s="70"/>
      <c r="H337" s="70"/>
      <c r="I337" s="70"/>
      <c r="J337" s="70"/>
      <c r="K337" s="70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70"/>
      <c r="X337" s="70"/>
      <c r="Y337" s="70"/>
      <c r="Z337" s="70"/>
    </row>
    <row r="338" customFormat="false" ht="12.75" hidden="false" customHeight="false" outlineLevel="1" collapsed="false">
      <c r="A338" s="322"/>
      <c r="B338" s="321"/>
      <c r="C338" s="321"/>
      <c r="D338" s="321"/>
      <c r="E338" s="321"/>
      <c r="F338" s="321"/>
      <c r="G338" s="321"/>
      <c r="H338" s="321"/>
      <c r="I338" s="321"/>
      <c r="J338" s="321"/>
      <c r="K338" s="321"/>
      <c r="L338" s="321"/>
      <c r="M338" s="321"/>
      <c r="N338" s="321"/>
      <c r="O338" s="321"/>
      <c r="P338" s="321"/>
      <c r="Q338" s="321"/>
      <c r="R338" s="321"/>
      <c r="S338" s="321"/>
      <c r="T338" s="321"/>
      <c r="U338" s="321"/>
      <c r="V338" s="321"/>
      <c r="W338" s="321"/>
      <c r="X338" s="321"/>
      <c r="Y338" s="321"/>
      <c r="Z338" s="321"/>
    </row>
    <row r="339" customFormat="false" ht="12.75" hidden="false" customHeight="false" outlineLevel="1" collapsed="false">
      <c r="A339" s="395"/>
      <c r="B339" s="395"/>
      <c r="C339" s="395"/>
      <c r="D339" s="395"/>
      <c r="E339" s="70"/>
      <c r="F339" s="70"/>
      <c r="G339" s="70"/>
      <c r="H339" s="70"/>
      <c r="I339" s="70"/>
      <c r="J339" s="70"/>
      <c r="K339" s="70"/>
      <c r="L339" s="70"/>
      <c r="M339" s="70"/>
      <c r="N339" s="70"/>
      <c r="O339" s="70"/>
      <c r="P339" s="70"/>
      <c r="Q339" s="70"/>
      <c r="R339" s="70"/>
      <c r="S339" s="70"/>
      <c r="T339" s="70"/>
      <c r="U339" s="70"/>
      <c r="V339" s="70"/>
      <c r="W339" s="70"/>
      <c r="X339" s="70"/>
      <c r="Y339" s="70"/>
      <c r="Z339" s="70"/>
    </row>
    <row r="340" customFormat="false" ht="12.75" hidden="false" customHeight="false" outlineLevel="1" collapsed="false">
      <c r="A340" s="685"/>
      <c r="B340" s="395"/>
      <c r="C340" s="395"/>
      <c r="D340" s="395"/>
      <c r="E340" s="686"/>
      <c r="F340" s="686"/>
      <c r="G340" s="686"/>
      <c r="H340" s="686"/>
      <c r="I340" s="686"/>
      <c r="J340" s="686"/>
      <c r="K340" s="686"/>
      <c r="L340" s="686"/>
      <c r="M340" s="686"/>
      <c r="N340" s="686"/>
      <c r="O340" s="686"/>
      <c r="P340" s="686"/>
      <c r="Q340" s="686"/>
      <c r="R340" s="686"/>
      <c r="S340" s="686"/>
      <c r="T340" s="686"/>
      <c r="U340" s="686"/>
      <c r="V340" s="686"/>
      <c r="W340" s="686"/>
      <c r="X340" s="686"/>
      <c r="Y340" s="686"/>
      <c r="Z340" s="686"/>
    </row>
    <row r="341" customFormat="false" ht="12.75" hidden="false" customHeight="false" outlineLevel="1" collapsed="false">
      <c r="A341" s="685"/>
      <c r="B341" s="395"/>
      <c r="C341" s="395"/>
      <c r="D341" s="395"/>
      <c r="E341" s="686"/>
      <c r="F341" s="686"/>
      <c r="G341" s="686"/>
      <c r="H341" s="686"/>
      <c r="I341" s="686"/>
      <c r="J341" s="686"/>
      <c r="K341" s="686"/>
      <c r="L341" s="686"/>
      <c r="M341" s="686"/>
      <c r="N341" s="686"/>
      <c r="O341" s="686"/>
      <c r="P341" s="686"/>
      <c r="Q341" s="686"/>
      <c r="R341" s="686"/>
      <c r="S341" s="686"/>
      <c r="T341" s="686"/>
      <c r="U341" s="686"/>
      <c r="V341" s="686"/>
      <c r="W341" s="686"/>
      <c r="X341" s="686"/>
      <c r="Y341" s="686"/>
      <c r="Z341" s="686"/>
    </row>
    <row r="342" customFormat="false" ht="12.75" hidden="false" customHeight="false" outlineLevel="1" collapsed="false">
      <c r="A342" s="685"/>
      <c r="B342" s="685"/>
      <c r="C342" s="685"/>
      <c r="D342" s="685"/>
      <c r="E342" s="686"/>
      <c r="F342" s="686"/>
      <c r="G342" s="686"/>
      <c r="H342" s="686"/>
      <c r="I342" s="686"/>
      <c r="J342" s="686"/>
      <c r="K342" s="686"/>
      <c r="L342" s="686"/>
      <c r="M342" s="686"/>
      <c r="N342" s="686"/>
      <c r="O342" s="686"/>
      <c r="P342" s="686"/>
      <c r="Q342" s="686"/>
      <c r="R342" s="686"/>
      <c r="S342" s="686"/>
      <c r="T342" s="686"/>
      <c r="U342" s="686"/>
      <c r="V342" s="686"/>
      <c r="W342" s="686"/>
      <c r="X342" s="686"/>
      <c r="Y342" s="686"/>
      <c r="Z342" s="686"/>
    </row>
    <row r="343" customFormat="false" ht="12.75" hidden="false" customHeight="false" outlineLevel="1" collapsed="false">
      <c r="A343" s="685"/>
      <c r="B343" s="685"/>
      <c r="C343" s="685"/>
      <c r="D343" s="685"/>
      <c r="E343" s="686"/>
      <c r="F343" s="686"/>
      <c r="G343" s="686"/>
      <c r="H343" s="686"/>
      <c r="I343" s="686"/>
      <c r="J343" s="686"/>
      <c r="K343" s="686"/>
      <c r="L343" s="686"/>
      <c r="M343" s="686"/>
      <c r="N343" s="686"/>
      <c r="O343" s="686"/>
      <c r="P343" s="686"/>
      <c r="Q343" s="686"/>
      <c r="R343" s="686"/>
      <c r="S343" s="686"/>
      <c r="T343" s="686"/>
      <c r="U343" s="686"/>
      <c r="V343" s="686"/>
      <c r="W343" s="686"/>
      <c r="X343" s="686"/>
      <c r="Y343" s="686"/>
      <c r="Z343" s="686"/>
    </row>
    <row r="344" customFormat="false" ht="12.75" hidden="false" customHeight="false" outlineLevel="1" collapsed="false">
      <c r="A344" s="685"/>
      <c r="B344" s="322"/>
      <c r="C344" s="322"/>
      <c r="D344" s="322"/>
      <c r="E344" s="686"/>
      <c r="F344" s="686"/>
      <c r="G344" s="686"/>
      <c r="H344" s="686"/>
      <c r="I344" s="686"/>
      <c r="J344" s="686"/>
      <c r="K344" s="686"/>
      <c r="L344" s="686"/>
      <c r="M344" s="686"/>
      <c r="N344" s="686"/>
      <c r="O344" s="686"/>
      <c r="P344" s="686"/>
      <c r="Q344" s="686"/>
      <c r="R344" s="686"/>
      <c r="S344" s="686"/>
      <c r="T344" s="686"/>
      <c r="U344" s="686"/>
      <c r="V344" s="686"/>
      <c r="W344" s="686"/>
      <c r="X344" s="686"/>
      <c r="Y344" s="686"/>
      <c r="Z344" s="686"/>
    </row>
    <row r="345" customFormat="false" ht="12.75" hidden="false" customHeight="false" outlineLevel="1" collapsed="false">
      <c r="A345" s="70"/>
      <c r="B345" s="70"/>
      <c r="C345" s="70"/>
      <c r="D345" s="70"/>
      <c r="E345" s="686"/>
      <c r="F345" s="686"/>
      <c r="G345" s="686"/>
      <c r="H345" s="686"/>
      <c r="I345" s="686"/>
      <c r="J345" s="686"/>
      <c r="K345" s="686"/>
      <c r="L345" s="686"/>
      <c r="M345" s="686"/>
      <c r="N345" s="686"/>
      <c r="O345" s="686"/>
      <c r="P345" s="686"/>
      <c r="Q345" s="686"/>
      <c r="R345" s="686"/>
      <c r="S345" s="686"/>
      <c r="T345" s="686"/>
      <c r="U345" s="686"/>
      <c r="V345" s="686"/>
      <c r="W345" s="686"/>
      <c r="X345" s="686"/>
      <c r="Y345" s="686"/>
      <c r="Z345" s="686"/>
    </row>
    <row r="346" customFormat="false" ht="12.75" hidden="false" customHeight="false" outlineLevel="1" collapsed="false">
      <c r="A346" s="395"/>
      <c r="B346" s="395"/>
      <c r="C346" s="395"/>
      <c r="D346" s="395"/>
      <c r="E346" s="686"/>
      <c r="F346" s="686"/>
      <c r="G346" s="686"/>
      <c r="H346" s="686"/>
      <c r="I346" s="686"/>
      <c r="J346" s="686"/>
      <c r="K346" s="686"/>
      <c r="L346" s="686"/>
      <c r="M346" s="686"/>
      <c r="N346" s="686"/>
      <c r="O346" s="686"/>
      <c r="P346" s="686"/>
      <c r="Q346" s="686"/>
      <c r="R346" s="686"/>
      <c r="S346" s="686"/>
      <c r="T346" s="686"/>
      <c r="U346" s="686"/>
      <c r="V346" s="686"/>
      <c r="W346" s="686"/>
      <c r="X346" s="686"/>
      <c r="Y346" s="686"/>
      <c r="Z346" s="686"/>
    </row>
    <row r="347" customFormat="false" ht="12.75" hidden="false" customHeight="false" outlineLevel="1" collapsed="false">
      <c r="A347" s="685"/>
      <c r="B347" s="395"/>
      <c r="C347" s="395"/>
      <c r="D347" s="395"/>
      <c r="E347" s="686"/>
      <c r="F347" s="686"/>
      <c r="G347" s="686"/>
      <c r="H347" s="686"/>
      <c r="I347" s="686"/>
      <c r="J347" s="686"/>
      <c r="K347" s="686"/>
      <c r="L347" s="686"/>
      <c r="M347" s="686"/>
      <c r="N347" s="686"/>
      <c r="O347" s="686"/>
      <c r="P347" s="686"/>
      <c r="Q347" s="686"/>
      <c r="R347" s="686"/>
      <c r="S347" s="686"/>
      <c r="T347" s="686"/>
      <c r="U347" s="686"/>
      <c r="V347" s="686"/>
      <c r="W347" s="686"/>
      <c r="X347" s="686"/>
      <c r="Y347" s="686"/>
      <c r="Z347" s="686"/>
    </row>
    <row r="348" customFormat="false" ht="12.75" hidden="false" customHeight="false" outlineLevel="1" collapsed="false">
      <c r="A348" s="685"/>
      <c r="B348" s="395"/>
      <c r="C348" s="395"/>
      <c r="D348" s="395"/>
      <c r="E348" s="686"/>
      <c r="F348" s="686"/>
      <c r="G348" s="686"/>
      <c r="H348" s="686"/>
      <c r="I348" s="686"/>
      <c r="J348" s="686"/>
      <c r="K348" s="686"/>
      <c r="L348" s="686"/>
      <c r="M348" s="686"/>
      <c r="N348" s="686"/>
      <c r="O348" s="686"/>
      <c r="P348" s="686"/>
      <c r="Q348" s="686"/>
      <c r="R348" s="686"/>
      <c r="S348" s="686"/>
      <c r="T348" s="686"/>
      <c r="U348" s="686"/>
      <c r="V348" s="686"/>
      <c r="W348" s="686"/>
      <c r="X348" s="686"/>
      <c r="Y348" s="686"/>
      <c r="Z348" s="686"/>
    </row>
    <row r="349" customFormat="false" ht="12.75" hidden="false" customHeight="false" outlineLevel="1" collapsed="false">
      <c r="A349" s="685"/>
      <c r="B349" s="395"/>
      <c r="C349" s="395"/>
      <c r="D349" s="395"/>
      <c r="E349" s="686"/>
      <c r="F349" s="686"/>
      <c r="G349" s="686"/>
      <c r="H349" s="686"/>
      <c r="I349" s="686"/>
      <c r="J349" s="686"/>
      <c r="K349" s="686"/>
      <c r="L349" s="686"/>
      <c r="M349" s="686"/>
      <c r="N349" s="686"/>
      <c r="O349" s="686"/>
      <c r="P349" s="686"/>
      <c r="Q349" s="686"/>
      <c r="R349" s="686"/>
      <c r="S349" s="686"/>
      <c r="T349" s="686"/>
      <c r="U349" s="686"/>
      <c r="V349" s="686"/>
      <c r="W349" s="686"/>
      <c r="X349" s="686"/>
      <c r="Y349" s="686"/>
      <c r="Z349" s="686"/>
    </row>
    <row r="350" customFormat="false" ht="12.75" hidden="false" customHeight="false" outlineLevel="1" collapsed="false">
      <c r="A350" s="685"/>
      <c r="B350" s="395"/>
      <c r="C350" s="395"/>
      <c r="D350" s="395"/>
      <c r="E350" s="686"/>
      <c r="F350" s="686"/>
      <c r="G350" s="686"/>
      <c r="H350" s="686"/>
      <c r="I350" s="686"/>
      <c r="J350" s="686"/>
      <c r="K350" s="686"/>
      <c r="L350" s="686"/>
      <c r="M350" s="686"/>
      <c r="N350" s="686"/>
      <c r="O350" s="686"/>
      <c r="P350" s="686"/>
      <c r="Q350" s="686"/>
      <c r="R350" s="686"/>
      <c r="S350" s="686"/>
      <c r="T350" s="686"/>
      <c r="U350" s="686"/>
      <c r="V350" s="686"/>
      <c r="W350" s="686"/>
      <c r="X350" s="686"/>
      <c r="Y350" s="686"/>
      <c r="Z350" s="686"/>
    </row>
    <row r="351" customFormat="false" ht="12.75" hidden="false" customHeight="false" outlineLevel="1" collapsed="false">
      <c r="A351" s="685"/>
      <c r="B351" s="395"/>
      <c r="C351" s="395"/>
      <c r="D351" s="395"/>
      <c r="E351" s="686"/>
      <c r="F351" s="686"/>
      <c r="G351" s="686"/>
      <c r="H351" s="686"/>
      <c r="I351" s="686"/>
      <c r="J351" s="686"/>
      <c r="K351" s="686"/>
      <c r="L351" s="686"/>
      <c r="M351" s="686"/>
      <c r="N351" s="686"/>
      <c r="O351" s="686"/>
      <c r="P351" s="686"/>
      <c r="Q351" s="686"/>
      <c r="R351" s="686"/>
      <c r="S351" s="686"/>
      <c r="T351" s="686"/>
      <c r="U351" s="686"/>
      <c r="V351" s="686"/>
      <c r="W351" s="686"/>
      <c r="X351" s="686"/>
      <c r="Y351" s="686"/>
      <c r="Z351" s="686"/>
    </row>
    <row r="352" customFormat="false" ht="12.75" hidden="false" customHeight="false" outlineLevel="1" collapsed="false">
      <c r="A352" s="685"/>
      <c r="B352" s="395"/>
      <c r="C352" s="395"/>
      <c r="D352" s="395"/>
      <c r="E352" s="686"/>
      <c r="F352" s="686"/>
      <c r="G352" s="686"/>
      <c r="H352" s="686"/>
      <c r="I352" s="686"/>
      <c r="J352" s="686"/>
      <c r="K352" s="686"/>
      <c r="L352" s="686"/>
      <c r="M352" s="686"/>
      <c r="N352" s="686"/>
      <c r="O352" s="686"/>
      <c r="P352" s="686"/>
      <c r="Q352" s="686"/>
      <c r="R352" s="686"/>
      <c r="S352" s="686"/>
      <c r="T352" s="686"/>
      <c r="U352" s="686"/>
      <c r="V352" s="686"/>
      <c r="W352" s="686"/>
      <c r="X352" s="686"/>
      <c r="Y352" s="686"/>
      <c r="Z352" s="686"/>
    </row>
    <row r="353" customFormat="false" ht="12.75" hidden="false" customHeight="false" outlineLevel="1" collapsed="false">
      <c r="A353" s="685"/>
      <c r="B353" s="395"/>
      <c r="C353" s="395"/>
      <c r="D353" s="395"/>
      <c r="E353" s="686"/>
      <c r="F353" s="686"/>
      <c r="G353" s="686"/>
      <c r="H353" s="686"/>
      <c r="I353" s="686"/>
      <c r="J353" s="686"/>
      <c r="K353" s="686"/>
      <c r="L353" s="686"/>
      <c r="M353" s="686"/>
      <c r="N353" s="686"/>
      <c r="O353" s="686"/>
      <c r="P353" s="686"/>
      <c r="Q353" s="686"/>
      <c r="R353" s="686"/>
      <c r="S353" s="686"/>
      <c r="T353" s="686"/>
      <c r="U353" s="686"/>
      <c r="V353" s="686"/>
      <c r="W353" s="686"/>
      <c r="X353" s="686"/>
      <c r="Y353" s="686"/>
      <c r="Z353" s="686"/>
    </row>
    <row r="354" customFormat="false" ht="12.75" hidden="false" customHeight="false" outlineLevel="1" collapsed="false">
      <c r="A354" s="685"/>
      <c r="B354" s="395"/>
      <c r="C354" s="395"/>
      <c r="D354" s="395"/>
      <c r="E354" s="686"/>
      <c r="F354" s="686"/>
      <c r="G354" s="686"/>
      <c r="H354" s="686"/>
      <c r="I354" s="686"/>
      <c r="J354" s="686"/>
      <c r="K354" s="686"/>
      <c r="L354" s="686"/>
      <c r="M354" s="686"/>
      <c r="N354" s="686"/>
      <c r="O354" s="686"/>
      <c r="P354" s="686"/>
      <c r="Q354" s="686"/>
      <c r="R354" s="686"/>
      <c r="S354" s="686"/>
      <c r="T354" s="686"/>
      <c r="U354" s="686"/>
      <c r="V354" s="686"/>
      <c r="W354" s="686"/>
      <c r="X354" s="686"/>
      <c r="Y354" s="686"/>
      <c r="Z354" s="686"/>
    </row>
    <row r="355" customFormat="false" ht="12.75" hidden="false" customHeight="false" outlineLevel="1" collapsed="false">
      <c r="A355" s="685"/>
      <c r="B355" s="395"/>
      <c r="C355" s="395"/>
      <c r="D355" s="395"/>
      <c r="E355" s="686"/>
      <c r="F355" s="686"/>
      <c r="G355" s="686"/>
      <c r="H355" s="686"/>
      <c r="I355" s="686"/>
      <c r="J355" s="686"/>
      <c r="K355" s="686"/>
      <c r="L355" s="686"/>
      <c r="M355" s="686"/>
      <c r="N355" s="686"/>
      <c r="O355" s="686"/>
      <c r="P355" s="686"/>
      <c r="Q355" s="686"/>
      <c r="R355" s="686"/>
      <c r="S355" s="686"/>
      <c r="T355" s="686"/>
      <c r="U355" s="686"/>
      <c r="V355" s="686"/>
      <c r="W355" s="686"/>
      <c r="X355" s="686"/>
      <c r="Y355" s="686"/>
      <c r="Z355" s="686"/>
    </row>
    <row r="356" customFormat="false" ht="12.75" hidden="false" customHeight="false" outlineLevel="1" collapsed="false">
      <c r="A356" s="685"/>
      <c r="B356" s="685"/>
      <c r="C356" s="685"/>
      <c r="D356" s="685"/>
      <c r="E356" s="686"/>
      <c r="F356" s="686"/>
      <c r="G356" s="686"/>
      <c r="H356" s="686"/>
      <c r="I356" s="686"/>
      <c r="J356" s="686"/>
      <c r="K356" s="686"/>
      <c r="L356" s="686"/>
      <c r="M356" s="686"/>
      <c r="N356" s="686"/>
      <c r="O356" s="686"/>
      <c r="P356" s="686"/>
      <c r="Q356" s="686"/>
      <c r="R356" s="686"/>
      <c r="S356" s="686"/>
      <c r="T356" s="686"/>
      <c r="U356" s="686"/>
      <c r="V356" s="686"/>
      <c r="W356" s="686"/>
      <c r="X356" s="686"/>
      <c r="Y356" s="686"/>
      <c r="Z356" s="686"/>
    </row>
    <row r="357" customFormat="false" ht="12.75" hidden="false" customHeight="false" outlineLevel="1" collapsed="false">
      <c r="A357" s="685"/>
      <c r="B357" s="685"/>
      <c r="C357" s="685"/>
      <c r="D357" s="685"/>
      <c r="E357" s="686"/>
      <c r="F357" s="686"/>
      <c r="G357" s="686"/>
      <c r="H357" s="686"/>
      <c r="I357" s="686"/>
      <c r="J357" s="686"/>
      <c r="K357" s="686"/>
      <c r="L357" s="686"/>
      <c r="M357" s="686"/>
      <c r="N357" s="686"/>
      <c r="O357" s="686"/>
      <c r="P357" s="686"/>
      <c r="Q357" s="686"/>
      <c r="R357" s="686"/>
      <c r="S357" s="686"/>
      <c r="T357" s="686"/>
      <c r="U357" s="686"/>
      <c r="V357" s="686"/>
      <c r="W357" s="686"/>
      <c r="X357" s="686"/>
      <c r="Y357" s="686"/>
      <c r="Z357" s="686"/>
    </row>
    <row r="358" customFormat="false" ht="12.75" hidden="false" customHeight="false" outlineLevel="1" collapsed="false">
      <c r="A358" s="395"/>
      <c r="B358" s="395"/>
      <c r="C358" s="395"/>
      <c r="D358" s="395"/>
      <c r="E358" s="686"/>
      <c r="F358" s="686"/>
      <c r="G358" s="686"/>
      <c r="H358" s="686"/>
      <c r="I358" s="686"/>
      <c r="J358" s="686"/>
      <c r="K358" s="686"/>
      <c r="L358" s="686"/>
      <c r="M358" s="686"/>
      <c r="N358" s="686"/>
      <c r="O358" s="686"/>
      <c r="P358" s="686"/>
      <c r="Q358" s="686"/>
      <c r="R358" s="686"/>
      <c r="S358" s="686"/>
      <c r="T358" s="686"/>
      <c r="U358" s="686"/>
      <c r="V358" s="686"/>
      <c r="W358" s="686"/>
      <c r="X358" s="686"/>
      <c r="Y358" s="686"/>
      <c r="Z358" s="686"/>
    </row>
    <row r="359" customFormat="false" ht="12.75" hidden="false" customHeight="false" outlineLevel="1" collapsed="false">
      <c r="A359" s="685"/>
      <c r="B359" s="685"/>
      <c r="C359" s="685"/>
      <c r="D359" s="685"/>
      <c r="E359" s="686"/>
      <c r="F359" s="686"/>
      <c r="G359" s="686"/>
      <c r="H359" s="686"/>
      <c r="I359" s="686"/>
      <c r="J359" s="686"/>
      <c r="K359" s="686"/>
      <c r="L359" s="686"/>
      <c r="M359" s="686"/>
      <c r="N359" s="686"/>
      <c r="O359" s="686"/>
      <c r="P359" s="686"/>
      <c r="Q359" s="686"/>
      <c r="R359" s="686"/>
      <c r="S359" s="686"/>
      <c r="T359" s="686"/>
      <c r="U359" s="686"/>
      <c r="V359" s="686"/>
      <c r="W359" s="686"/>
      <c r="X359" s="686"/>
      <c r="Y359" s="686"/>
      <c r="Z359" s="686"/>
    </row>
    <row r="360" customFormat="false" ht="12.75" hidden="false" customHeight="false" outlineLevel="1" collapsed="false">
      <c r="A360" s="395"/>
      <c r="B360" s="395"/>
      <c r="C360" s="395"/>
      <c r="D360" s="395"/>
      <c r="E360" s="686"/>
      <c r="F360" s="686"/>
      <c r="G360" s="686"/>
      <c r="H360" s="686"/>
      <c r="I360" s="686"/>
      <c r="J360" s="686"/>
      <c r="K360" s="686"/>
      <c r="L360" s="686"/>
      <c r="M360" s="686"/>
      <c r="N360" s="686"/>
      <c r="O360" s="686"/>
      <c r="P360" s="686"/>
      <c r="Q360" s="686"/>
      <c r="R360" s="686"/>
      <c r="S360" s="686"/>
      <c r="T360" s="686"/>
      <c r="U360" s="686"/>
      <c r="V360" s="686"/>
      <c r="W360" s="686"/>
      <c r="X360" s="686"/>
      <c r="Y360" s="686"/>
      <c r="Z360" s="686"/>
    </row>
    <row r="361" customFormat="false" ht="12.75" hidden="false" customHeight="false" outlineLevel="1" collapsed="false">
      <c r="A361" s="685"/>
      <c r="B361" s="687"/>
      <c r="C361" s="687"/>
      <c r="D361" s="687"/>
      <c r="E361" s="686"/>
      <c r="F361" s="686"/>
      <c r="G361" s="686"/>
      <c r="H361" s="686"/>
      <c r="I361" s="686"/>
      <c r="J361" s="686"/>
      <c r="K361" s="686"/>
      <c r="L361" s="686"/>
      <c r="M361" s="686"/>
      <c r="N361" s="686"/>
      <c r="O361" s="686"/>
      <c r="P361" s="686"/>
      <c r="Q361" s="686"/>
      <c r="R361" s="686"/>
      <c r="S361" s="686"/>
      <c r="T361" s="686"/>
      <c r="U361" s="686"/>
      <c r="V361" s="686"/>
      <c r="W361" s="686"/>
      <c r="X361" s="686"/>
      <c r="Y361" s="686"/>
      <c r="Z361" s="686"/>
    </row>
    <row r="362" customFormat="false" ht="12.75" hidden="false" customHeight="false" outlineLevel="1" collapsed="false">
      <c r="A362" s="395"/>
      <c r="B362" s="395"/>
      <c r="C362" s="395"/>
      <c r="D362" s="395"/>
      <c r="E362" s="686"/>
      <c r="F362" s="686"/>
      <c r="G362" s="686"/>
      <c r="H362" s="686"/>
      <c r="I362" s="686"/>
      <c r="J362" s="686"/>
      <c r="K362" s="686"/>
      <c r="L362" s="686"/>
      <c r="M362" s="686"/>
      <c r="N362" s="686"/>
      <c r="O362" s="686"/>
      <c r="P362" s="686"/>
      <c r="Q362" s="686"/>
      <c r="R362" s="686"/>
      <c r="S362" s="686"/>
      <c r="T362" s="686"/>
      <c r="U362" s="686"/>
      <c r="V362" s="686"/>
      <c r="W362" s="686"/>
      <c r="X362" s="686"/>
      <c r="Y362" s="686"/>
      <c r="Z362" s="686"/>
    </row>
    <row r="363" customFormat="false" ht="12.75" hidden="false" customHeight="false" outlineLevel="1" collapsed="false">
      <c r="A363" s="70"/>
      <c r="B363" s="70"/>
      <c r="C363" s="70"/>
      <c r="D363" s="70"/>
      <c r="E363" s="686"/>
      <c r="F363" s="686"/>
      <c r="G363" s="686"/>
      <c r="H363" s="686"/>
      <c r="I363" s="686"/>
      <c r="J363" s="686"/>
      <c r="K363" s="686"/>
      <c r="L363" s="686"/>
      <c r="M363" s="686"/>
      <c r="N363" s="686"/>
      <c r="O363" s="686"/>
      <c r="P363" s="686"/>
      <c r="Q363" s="686"/>
      <c r="R363" s="686"/>
      <c r="S363" s="686"/>
      <c r="T363" s="686"/>
      <c r="U363" s="686"/>
      <c r="V363" s="686"/>
      <c r="W363" s="686"/>
      <c r="X363" s="686"/>
      <c r="Y363" s="686"/>
      <c r="Z363" s="686"/>
    </row>
    <row r="364" customFormat="false" ht="12.75" hidden="false" customHeight="false" outlineLevel="1" collapsed="false">
      <c r="A364" s="395"/>
      <c r="B364" s="395"/>
      <c r="C364" s="395"/>
      <c r="D364" s="395"/>
      <c r="E364" s="686"/>
      <c r="F364" s="686"/>
      <c r="G364" s="686"/>
      <c r="H364" s="686"/>
      <c r="I364" s="686"/>
      <c r="J364" s="686"/>
      <c r="K364" s="686"/>
      <c r="L364" s="686"/>
      <c r="M364" s="686"/>
      <c r="N364" s="686"/>
      <c r="O364" s="686"/>
      <c r="P364" s="686"/>
      <c r="Q364" s="686"/>
      <c r="R364" s="686"/>
      <c r="S364" s="686"/>
      <c r="T364" s="686"/>
      <c r="U364" s="686"/>
      <c r="V364" s="686"/>
      <c r="W364" s="686"/>
      <c r="X364" s="686"/>
      <c r="Y364" s="686"/>
      <c r="Z364" s="686"/>
    </row>
    <row r="365" customFormat="false" ht="12.75" hidden="false" customHeight="false" outlineLevel="1" collapsed="false">
      <c r="A365" s="685"/>
      <c r="B365" s="685"/>
      <c r="C365" s="685"/>
      <c r="D365" s="685"/>
      <c r="E365" s="686"/>
      <c r="F365" s="686"/>
      <c r="G365" s="686"/>
      <c r="H365" s="686"/>
      <c r="I365" s="686"/>
      <c r="J365" s="686"/>
      <c r="K365" s="686"/>
      <c r="L365" s="686"/>
      <c r="M365" s="686"/>
      <c r="N365" s="686"/>
      <c r="O365" s="686"/>
      <c r="P365" s="686"/>
      <c r="Q365" s="686"/>
      <c r="R365" s="686"/>
      <c r="S365" s="686"/>
      <c r="T365" s="686"/>
      <c r="U365" s="686"/>
      <c r="V365" s="686"/>
      <c r="W365" s="686"/>
      <c r="X365" s="686"/>
      <c r="Y365" s="686"/>
      <c r="Z365" s="686"/>
    </row>
    <row r="366" customFormat="false" ht="12.75" hidden="false" customHeight="false" outlineLevel="1" collapsed="false">
      <c r="A366" s="685"/>
      <c r="B366" s="685"/>
      <c r="C366" s="685"/>
      <c r="D366" s="685"/>
      <c r="E366" s="686"/>
      <c r="F366" s="686"/>
      <c r="G366" s="686"/>
      <c r="H366" s="686"/>
      <c r="I366" s="686"/>
      <c r="J366" s="686"/>
      <c r="K366" s="686"/>
      <c r="L366" s="686"/>
      <c r="M366" s="686"/>
      <c r="N366" s="686"/>
      <c r="O366" s="686"/>
      <c r="P366" s="686"/>
      <c r="Q366" s="686"/>
      <c r="R366" s="686"/>
      <c r="S366" s="686"/>
      <c r="T366" s="686"/>
      <c r="U366" s="686"/>
      <c r="V366" s="686"/>
      <c r="W366" s="686"/>
      <c r="X366" s="686"/>
      <c r="Y366" s="686"/>
      <c r="Z366" s="686"/>
    </row>
    <row r="367" customFormat="false" ht="12.75" hidden="false" customHeight="false" outlineLevel="1" collapsed="false">
      <c r="A367" s="685"/>
      <c r="B367" s="685"/>
      <c r="C367" s="685"/>
      <c r="D367" s="685"/>
      <c r="E367" s="686"/>
      <c r="F367" s="686"/>
      <c r="G367" s="686"/>
      <c r="H367" s="686"/>
      <c r="I367" s="686"/>
      <c r="J367" s="686"/>
      <c r="K367" s="686"/>
      <c r="L367" s="686"/>
      <c r="M367" s="686"/>
      <c r="N367" s="686"/>
      <c r="O367" s="686"/>
      <c r="P367" s="686"/>
      <c r="Q367" s="686"/>
      <c r="R367" s="686"/>
      <c r="S367" s="686"/>
      <c r="T367" s="686"/>
      <c r="U367" s="686"/>
      <c r="V367" s="686"/>
      <c r="W367" s="686"/>
      <c r="X367" s="686"/>
      <c r="Y367" s="686"/>
      <c r="Z367" s="686"/>
    </row>
    <row r="368" customFormat="false" ht="12.75" hidden="false" customHeight="false" outlineLevel="1" collapsed="false">
      <c r="A368" s="685"/>
      <c r="B368" s="70"/>
      <c r="C368" s="70"/>
      <c r="D368" s="70"/>
      <c r="E368" s="686"/>
      <c r="F368" s="686"/>
      <c r="G368" s="686"/>
      <c r="H368" s="686"/>
      <c r="I368" s="686"/>
      <c r="J368" s="686"/>
      <c r="K368" s="686"/>
      <c r="L368" s="686"/>
      <c r="M368" s="686"/>
      <c r="N368" s="686"/>
      <c r="O368" s="686"/>
      <c r="P368" s="686"/>
      <c r="Q368" s="686"/>
      <c r="R368" s="686"/>
      <c r="S368" s="686"/>
      <c r="T368" s="686"/>
      <c r="U368" s="686"/>
      <c r="V368" s="686"/>
      <c r="W368" s="686"/>
      <c r="X368" s="686"/>
      <c r="Y368" s="686"/>
      <c r="Z368" s="686"/>
    </row>
    <row r="369" customFormat="false" ht="12.75" hidden="false" customHeight="false" outlineLevel="1" collapsed="false">
      <c r="A369" s="395"/>
      <c r="B369" s="395"/>
      <c r="C369" s="395"/>
      <c r="D369" s="395"/>
      <c r="E369" s="686"/>
      <c r="F369" s="686"/>
      <c r="G369" s="686"/>
      <c r="H369" s="686"/>
      <c r="I369" s="686"/>
      <c r="J369" s="686"/>
      <c r="K369" s="686"/>
      <c r="L369" s="686"/>
      <c r="M369" s="686"/>
      <c r="N369" s="686"/>
      <c r="O369" s="686"/>
      <c r="P369" s="686"/>
      <c r="Q369" s="686"/>
      <c r="R369" s="686"/>
      <c r="S369" s="686"/>
      <c r="T369" s="686"/>
      <c r="U369" s="686"/>
      <c r="V369" s="686"/>
      <c r="W369" s="686"/>
      <c r="X369" s="686"/>
      <c r="Y369" s="686"/>
      <c r="Z369" s="686"/>
    </row>
    <row r="370" customFormat="false" ht="12.75" hidden="false" customHeight="false" outlineLevel="1" collapsed="false">
      <c r="A370" s="395"/>
      <c r="B370" s="395"/>
      <c r="C370" s="395"/>
      <c r="D370" s="395"/>
      <c r="E370" s="686"/>
      <c r="F370" s="686"/>
      <c r="G370" s="686"/>
      <c r="H370" s="686"/>
      <c r="I370" s="686"/>
      <c r="J370" s="686"/>
      <c r="K370" s="686"/>
      <c r="L370" s="686"/>
      <c r="M370" s="686"/>
      <c r="N370" s="686"/>
      <c r="O370" s="686"/>
      <c r="P370" s="686"/>
      <c r="Q370" s="686"/>
      <c r="R370" s="686"/>
      <c r="S370" s="686"/>
      <c r="T370" s="686"/>
      <c r="U370" s="686"/>
      <c r="V370" s="686"/>
      <c r="W370" s="686"/>
      <c r="X370" s="686"/>
      <c r="Y370" s="686"/>
      <c r="Z370" s="686"/>
    </row>
    <row r="371" customFormat="false" ht="12.75" hidden="false" customHeight="false" outlineLevel="1" collapsed="false">
      <c r="A371" s="685"/>
      <c r="B371" s="395"/>
      <c r="C371" s="395"/>
      <c r="D371" s="395"/>
      <c r="E371" s="686"/>
      <c r="F371" s="686"/>
      <c r="G371" s="686"/>
      <c r="H371" s="686"/>
      <c r="I371" s="686"/>
      <c r="J371" s="686"/>
      <c r="K371" s="686"/>
      <c r="L371" s="686"/>
      <c r="M371" s="686"/>
      <c r="N371" s="686"/>
      <c r="O371" s="686"/>
      <c r="P371" s="686"/>
      <c r="Q371" s="686"/>
      <c r="R371" s="686"/>
      <c r="S371" s="686"/>
      <c r="T371" s="686"/>
      <c r="U371" s="686"/>
      <c r="V371" s="686"/>
      <c r="W371" s="686"/>
      <c r="X371" s="686"/>
      <c r="Y371" s="686"/>
      <c r="Z371" s="686"/>
    </row>
    <row r="372" customFormat="false" ht="12.75" hidden="false" customHeight="false" outlineLevel="1" collapsed="false">
      <c r="A372" s="685"/>
      <c r="B372" s="395"/>
      <c r="C372" s="395"/>
      <c r="D372" s="395"/>
      <c r="E372" s="686"/>
      <c r="F372" s="686"/>
      <c r="G372" s="686"/>
      <c r="H372" s="686"/>
      <c r="I372" s="686"/>
      <c r="J372" s="686"/>
      <c r="K372" s="686"/>
      <c r="L372" s="686"/>
      <c r="M372" s="686"/>
      <c r="N372" s="686"/>
      <c r="O372" s="686"/>
      <c r="P372" s="686"/>
      <c r="Q372" s="686"/>
      <c r="R372" s="686"/>
      <c r="S372" s="686"/>
      <c r="T372" s="686"/>
      <c r="U372" s="686"/>
      <c r="V372" s="686"/>
      <c r="W372" s="686"/>
      <c r="X372" s="686"/>
      <c r="Y372" s="686"/>
      <c r="Z372" s="686"/>
    </row>
    <row r="373" customFormat="false" ht="12.75" hidden="false" customHeight="false" outlineLevel="1" collapsed="false">
      <c r="A373" s="685"/>
      <c r="B373" s="395"/>
      <c r="C373" s="395"/>
      <c r="D373" s="395"/>
      <c r="E373" s="686"/>
      <c r="F373" s="686"/>
      <c r="G373" s="686"/>
      <c r="H373" s="686"/>
      <c r="I373" s="686"/>
      <c r="J373" s="686"/>
      <c r="K373" s="686"/>
      <c r="L373" s="686"/>
      <c r="M373" s="686"/>
      <c r="N373" s="686"/>
      <c r="O373" s="686"/>
      <c r="P373" s="686"/>
      <c r="Q373" s="686"/>
      <c r="R373" s="686"/>
      <c r="S373" s="686"/>
      <c r="T373" s="686"/>
      <c r="U373" s="686"/>
      <c r="V373" s="686"/>
      <c r="W373" s="686"/>
      <c r="X373" s="686"/>
      <c r="Y373" s="686"/>
      <c r="Z373" s="686"/>
    </row>
    <row r="374" customFormat="false" ht="12.75" hidden="false" customHeight="false" outlineLevel="1" collapsed="false">
      <c r="A374" s="685"/>
      <c r="B374" s="395"/>
      <c r="C374" s="395"/>
      <c r="D374" s="395"/>
      <c r="E374" s="686"/>
      <c r="F374" s="686"/>
      <c r="G374" s="686"/>
      <c r="H374" s="686"/>
      <c r="I374" s="686"/>
      <c r="J374" s="686"/>
      <c r="K374" s="686"/>
      <c r="L374" s="686"/>
      <c r="M374" s="686"/>
      <c r="N374" s="686"/>
      <c r="O374" s="686"/>
      <c r="P374" s="686"/>
      <c r="Q374" s="686"/>
      <c r="R374" s="686"/>
      <c r="S374" s="686"/>
      <c r="T374" s="686"/>
      <c r="U374" s="686"/>
      <c r="V374" s="686"/>
      <c r="W374" s="686"/>
      <c r="X374" s="686"/>
      <c r="Y374" s="686"/>
      <c r="Z374" s="686"/>
    </row>
    <row r="375" customFormat="false" ht="12.75" hidden="false" customHeight="false" outlineLevel="1" collapsed="false">
      <c r="A375" s="685"/>
      <c r="B375" s="395"/>
      <c r="C375" s="395"/>
      <c r="D375" s="395"/>
      <c r="E375" s="686"/>
      <c r="F375" s="686"/>
      <c r="G375" s="686"/>
      <c r="H375" s="686"/>
      <c r="I375" s="686"/>
      <c r="J375" s="686"/>
      <c r="K375" s="686"/>
      <c r="L375" s="686"/>
      <c r="M375" s="686"/>
      <c r="N375" s="686"/>
      <c r="O375" s="686"/>
      <c r="P375" s="686"/>
      <c r="Q375" s="686"/>
      <c r="R375" s="686"/>
      <c r="S375" s="686"/>
      <c r="T375" s="686"/>
      <c r="U375" s="686"/>
      <c r="V375" s="686"/>
      <c r="W375" s="686"/>
      <c r="X375" s="686"/>
      <c r="Y375" s="686"/>
      <c r="Z375" s="686"/>
    </row>
    <row r="376" customFormat="false" ht="12.75" hidden="false" customHeight="false" outlineLevel="1" collapsed="false">
      <c r="A376" s="322"/>
      <c r="B376" s="687"/>
      <c r="C376" s="687"/>
      <c r="D376" s="687"/>
      <c r="E376" s="686"/>
      <c r="F376" s="686"/>
      <c r="G376" s="686"/>
      <c r="H376" s="686"/>
      <c r="I376" s="686"/>
      <c r="J376" s="686"/>
      <c r="K376" s="686"/>
      <c r="L376" s="686"/>
      <c r="M376" s="686"/>
      <c r="N376" s="686"/>
      <c r="O376" s="686"/>
      <c r="P376" s="686"/>
      <c r="Q376" s="686"/>
      <c r="R376" s="686"/>
      <c r="S376" s="686"/>
      <c r="T376" s="686"/>
      <c r="U376" s="686"/>
      <c r="V376" s="686"/>
      <c r="W376" s="686"/>
      <c r="X376" s="686"/>
      <c r="Y376" s="686"/>
      <c r="Z376" s="686"/>
    </row>
    <row r="377" customFormat="false" ht="12.75" hidden="false" customHeight="false" outlineLevel="1" collapsed="false">
      <c r="A377" s="395"/>
      <c r="B377" s="395"/>
      <c r="C377" s="395"/>
      <c r="D377" s="395"/>
      <c r="E377" s="686"/>
      <c r="F377" s="686"/>
      <c r="G377" s="686"/>
      <c r="H377" s="686"/>
      <c r="I377" s="686"/>
      <c r="J377" s="686"/>
      <c r="K377" s="686"/>
      <c r="L377" s="686"/>
      <c r="M377" s="686"/>
      <c r="N377" s="686"/>
      <c r="O377" s="686"/>
      <c r="P377" s="686"/>
      <c r="Q377" s="686"/>
      <c r="R377" s="686"/>
      <c r="S377" s="686"/>
      <c r="T377" s="686"/>
      <c r="U377" s="686"/>
      <c r="V377" s="686"/>
      <c r="W377" s="686"/>
      <c r="X377" s="686"/>
      <c r="Y377" s="686"/>
      <c r="Z377" s="686"/>
    </row>
    <row r="378" customFormat="false" ht="12.75" hidden="false" customHeight="false" outlineLevel="1" collapsed="false">
      <c r="A378" s="70"/>
      <c r="B378" s="70"/>
      <c r="C378" s="70"/>
      <c r="D378" s="70"/>
      <c r="E378" s="686"/>
      <c r="F378" s="686"/>
      <c r="G378" s="686"/>
      <c r="H378" s="686"/>
      <c r="I378" s="686"/>
      <c r="J378" s="686"/>
      <c r="K378" s="686"/>
      <c r="L378" s="686"/>
      <c r="M378" s="686"/>
      <c r="N378" s="686"/>
      <c r="O378" s="686"/>
      <c r="P378" s="686"/>
      <c r="Q378" s="686"/>
      <c r="R378" s="686"/>
      <c r="S378" s="686"/>
      <c r="T378" s="686"/>
      <c r="U378" s="686"/>
      <c r="V378" s="686"/>
      <c r="W378" s="686"/>
      <c r="X378" s="686"/>
      <c r="Y378" s="686"/>
      <c r="Z378" s="686"/>
    </row>
    <row r="379" customFormat="false" ht="12.75" hidden="false" customHeight="false" outlineLevel="1" collapsed="false">
      <c r="A379" s="395"/>
      <c r="B379" s="684"/>
      <c r="C379" s="684"/>
      <c r="D379" s="684"/>
      <c r="E379" s="686"/>
      <c r="F379" s="686"/>
      <c r="G379" s="686"/>
      <c r="H379" s="686"/>
      <c r="I379" s="686"/>
      <c r="J379" s="686"/>
      <c r="K379" s="686"/>
      <c r="L379" s="686"/>
      <c r="M379" s="686"/>
      <c r="N379" s="686"/>
      <c r="O379" s="686"/>
      <c r="P379" s="686"/>
      <c r="Q379" s="686"/>
      <c r="R379" s="686"/>
      <c r="S379" s="686"/>
      <c r="T379" s="686"/>
      <c r="U379" s="686"/>
      <c r="V379" s="686"/>
      <c r="W379" s="686"/>
      <c r="X379" s="686"/>
      <c r="Y379" s="686"/>
      <c r="Z379" s="686"/>
    </row>
    <row r="380" customFormat="false" ht="12.75" hidden="false" customHeight="false" outlineLevel="1" collapsed="false">
      <c r="A380" s="395"/>
      <c r="B380" s="684"/>
      <c r="C380" s="684"/>
      <c r="D380" s="684"/>
      <c r="E380" s="686"/>
      <c r="F380" s="686"/>
      <c r="G380" s="686"/>
      <c r="H380" s="686"/>
      <c r="I380" s="686"/>
      <c r="J380" s="686"/>
      <c r="K380" s="686"/>
      <c r="L380" s="686"/>
      <c r="M380" s="686"/>
      <c r="N380" s="686"/>
      <c r="O380" s="686"/>
      <c r="P380" s="686"/>
      <c r="Q380" s="686"/>
      <c r="R380" s="686"/>
      <c r="S380" s="686"/>
      <c r="T380" s="686"/>
      <c r="U380" s="686"/>
      <c r="V380" s="686"/>
      <c r="W380" s="686"/>
      <c r="X380" s="686"/>
      <c r="Y380" s="686"/>
      <c r="Z380" s="686"/>
    </row>
    <row r="381" customFormat="false" ht="12.75" hidden="false" customHeight="false" outlineLevel="1" collapsed="false">
      <c r="A381" s="395"/>
      <c r="B381" s="684"/>
      <c r="C381" s="684"/>
      <c r="D381" s="684"/>
      <c r="E381" s="686"/>
      <c r="F381" s="686"/>
      <c r="G381" s="686"/>
      <c r="H381" s="686"/>
      <c r="I381" s="686"/>
      <c r="J381" s="686"/>
      <c r="K381" s="686"/>
      <c r="L381" s="686"/>
      <c r="M381" s="686"/>
      <c r="N381" s="686"/>
      <c r="O381" s="686"/>
      <c r="P381" s="686"/>
      <c r="Q381" s="686"/>
      <c r="R381" s="686"/>
      <c r="S381" s="686"/>
      <c r="T381" s="686"/>
      <c r="U381" s="686"/>
      <c r="V381" s="686"/>
      <c r="W381" s="686"/>
      <c r="X381" s="686"/>
      <c r="Y381" s="686"/>
      <c r="Z381" s="686"/>
    </row>
    <row r="382" customFormat="false" ht="12.75" hidden="false" customHeight="false" outlineLevel="1" collapsed="false">
      <c r="A382" s="70"/>
      <c r="B382" s="70"/>
      <c r="C382" s="70"/>
      <c r="D382" s="70"/>
      <c r="E382" s="70"/>
      <c r="F382" s="70"/>
      <c r="G382" s="70"/>
      <c r="H382" s="70"/>
      <c r="I382" s="70"/>
      <c r="J382" s="70"/>
      <c r="K382" s="70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  <c r="Y382" s="70"/>
      <c r="Z382" s="70"/>
    </row>
    <row r="383" customFormat="false" ht="12.75" hidden="false" customHeight="false" outlineLevel="1" collapsed="false">
      <c r="A383" s="70"/>
      <c r="B383" s="70"/>
      <c r="C383" s="70"/>
      <c r="D383" s="70"/>
      <c r="E383" s="70"/>
      <c r="F383" s="70"/>
      <c r="G383" s="70"/>
      <c r="H383" s="70"/>
      <c r="I383" s="70"/>
      <c r="J383" s="70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  <c r="Z383" s="70"/>
    </row>
    <row r="384" customFormat="false" ht="18.75" hidden="false" customHeight="false" outlineLevel="1" collapsed="false">
      <c r="A384" s="683"/>
      <c r="B384" s="683"/>
      <c r="C384" s="683"/>
      <c r="D384" s="683"/>
      <c r="E384" s="70"/>
      <c r="F384" s="70"/>
      <c r="G384" s="70"/>
      <c r="H384" s="70"/>
      <c r="I384" s="70"/>
      <c r="J384" s="70"/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  <c r="Z384" s="70"/>
    </row>
    <row r="385" customFormat="false" ht="12.75" hidden="false" customHeight="false" outlineLevel="1" collapsed="false">
      <c r="A385" s="395"/>
      <c r="B385" s="395"/>
      <c r="C385" s="395"/>
      <c r="D385" s="395"/>
      <c r="E385" s="70"/>
      <c r="F385" s="70"/>
      <c r="G385" s="70"/>
      <c r="H385" s="70"/>
      <c r="I385" s="70"/>
      <c r="J385" s="70"/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  <c r="Z385" s="70"/>
    </row>
    <row r="386" customFormat="false" ht="12.75" hidden="false" customHeight="false" outlineLevel="1" collapsed="false">
      <c r="A386" s="395"/>
      <c r="B386" s="684"/>
      <c r="C386" s="684"/>
      <c r="D386" s="684"/>
      <c r="E386" s="70"/>
      <c r="F386" s="70"/>
      <c r="G386" s="70"/>
      <c r="H386" s="70"/>
      <c r="I386" s="70"/>
      <c r="J386" s="70"/>
      <c r="K386" s="70"/>
      <c r="L386" s="70"/>
      <c r="M386" s="70"/>
      <c r="N386" s="70"/>
      <c r="O386" s="70"/>
      <c r="P386" s="70"/>
      <c r="Q386" s="70"/>
      <c r="R386" s="70"/>
      <c r="S386" s="70"/>
      <c r="T386" s="70"/>
      <c r="U386" s="70"/>
      <c r="V386" s="70"/>
      <c r="W386" s="70"/>
      <c r="X386" s="70"/>
      <c r="Y386" s="70"/>
      <c r="Z386" s="70"/>
    </row>
    <row r="387" customFormat="false" ht="12.75" hidden="false" customHeight="false" outlineLevel="1" collapsed="false">
      <c r="A387" s="70"/>
      <c r="B387" s="70"/>
      <c r="C387" s="70"/>
      <c r="D387" s="70"/>
      <c r="E387" s="70"/>
      <c r="F387" s="70"/>
      <c r="G387" s="70"/>
      <c r="H387" s="70"/>
      <c r="I387" s="70"/>
      <c r="J387" s="70"/>
      <c r="K387" s="70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  <c r="Y387" s="70"/>
      <c r="Z387" s="70"/>
    </row>
    <row r="388" customFormat="false" ht="12.75" hidden="false" customHeight="false" outlineLevel="1" collapsed="false">
      <c r="A388" s="322"/>
      <c r="B388" s="321"/>
      <c r="C388" s="321"/>
      <c r="D388" s="321"/>
      <c r="E388" s="321"/>
      <c r="F388" s="321"/>
      <c r="G388" s="321"/>
      <c r="H388" s="321"/>
      <c r="I388" s="321"/>
      <c r="J388" s="321"/>
      <c r="K388" s="321"/>
      <c r="L388" s="321"/>
      <c r="M388" s="321"/>
      <c r="N388" s="321"/>
      <c r="O388" s="321"/>
      <c r="P388" s="321"/>
      <c r="Q388" s="321"/>
      <c r="R388" s="321"/>
      <c r="S388" s="321"/>
      <c r="T388" s="70"/>
      <c r="U388" s="70"/>
      <c r="V388" s="70"/>
      <c r="W388" s="70"/>
      <c r="X388" s="70"/>
      <c r="Y388" s="70"/>
      <c r="Z388" s="70"/>
    </row>
    <row r="389" customFormat="false" ht="12.75" hidden="false" customHeight="false" outlineLevel="1" collapsed="false">
      <c r="A389" s="395"/>
      <c r="B389" s="395"/>
      <c r="C389" s="395"/>
      <c r="D389" s="395"/>
      <c r="E389" s="395"/>
      <c r="F389" s="70"/>
      <c r="G389" s="70"/>
      <c r="H389" s="70"/>
      <c r="I389" s="70"/>
      <c r="J389" s="70"/>
      <c r="K389" s="70"/>
      <c r="L389" s="70"/>
      <c r="M389" s="70"/>
      <c r="N389" s="70"/>
      <c r="O389" s="70"/>
      <c r="P389" s="70"/>
      <c r="Q389" s="70"/>
      <c r="R389" s="70"/>
      <c r="S389" s="70"/>
      <c r="T389" s="70"/>
      <c r="U389" s="70"/>
      <c r="V389" s="70"/>
      <c r="W389" s="70"/>
      <c r="X389" s="70"/>
      <c r="Y389" s="70"/>
      <c r="Z389" s="70"/>
    </row>
    <row r="390" customFormat="false" ht="12.75" hidden="false" customHeight="false" outlineLevel="1" collapsed="false">
      <c r="A390" s="685"/>
      <c r="B390" s="395"/>
      <c r="C390" s="395"/>
      <c r="D390" s="395"/>
      <c r="E390" s="395"/>
      <c r="F390" s="701"/>
      <c r="G390" s="701"/>
      <c r="H390" s="701"/>
      <c r="I390" s="701"/>
      <c r="J390" s="701"/>
      <c r="K390" s="701"/>
      <c r="L390" s="701"/>
      <c r="M390" s="701"/>
      <c r="N390" s="701"/>
      <c r="O390" s="701"/>
      <c r="P390" s="701"/>
      <c r="Q390" s="701"/>
      <c r="R390" s="701"/>
      <c r="S390" s="701"/>
      <c r="T390" s="70"/>
      <c r="U390" s="70"/>
      <c r="V390" s="70"/>
      <c r="W390" s="70"/>
      <c r="X390" s="70"/>
      <c r="Y390" s="70"/>
      <c r="Z390" s="70"/>
    </row>
    <row r="391" customFormat="false" ht="12.75" hidden="false" customHeight="false" outlineLevel="1" collapsed="false">
      <c r="A391" s="685"/>
      <c r="B391" s="395"/>
      <c r="C391" s="395"/>
      <c r="D391" s="395"/>
      <c r="E391" s="395"/>
      <c r="F391" s="701"/>
      <c r="G391" s="701"/>
      <c r="H391" s="701"/>
      <c r="I391" s="701"/>
      <c r="J391" s="701"/>
      <c r="K391" s="701"/>
      <c r="L391" s="701"/>
      <c r="M391" s="701"/>
      <c r="N391" s="701"/>
      <c r="O391" s="701"/>
      <c r="P391" s="701"/>
      <c r="Q391" s="701"/>
      <c r="R391" s="701"/>
      <c r="S391" s="701"/>
      <c r="T391" s="70"/>
      <c r="U391" s="70"/>
      <c r="V391" s="70"/>
      <c r="W391" s="70"/>
      <c r="X391" s="70"/>
      <c r="Y391" s="70"/>
      <c r="Z391" s="70"/>
    </row>
    <row r="392" customFormat="false" ht="12.75" hidden="false" customHeight="false" outlineLevel="1" collapsed="false">
      <c r="A392" s="685"/>
      <c r="B392" s="685"/>
      <c r="C392" s="685"/>
      <c r="D392" s="685"/>
      <c r="E392" s="685"/>
      <c r="F392" s="701"/>
      <c r="G392" s="701"/>
      <c r="H392" s="701"/>
      <c r="I392" s="701"/>
      <c r="J392" s="701"/>
      <c r="K392" s="701"/>
      <c r="L392" s="701"/>
      <c r="M392" s="701"/>
      <c r="N392" s="701"/>
      <c r="O392" s="701"/>
      <c r="P392" s="701"/>
      <c r="Q392" s="701"/>
      <c r="R392" s="701"/>
      <c r="S392" s="701"/>
      <c r="T392" s="70"/>
      <c r="U392" s="70"/>
      <c r="V392" s="70"/>
      <c r="W392" s="70"/>
      <c r="X392" s="70"/>
      <c r="Y392" s="70"/>
      <c r="Z392" s="70"/>
    </row>
    <row r="393" customFormat="false" ht="12.75" hidden="false" customHeight="false" outlineLevel="1" collapsed="false">
      <c r="A393" s="685"/>
      <c r="B393" s="685"/>
      <c r="C393" s="685"/>
      <c r="D393" s="685"/>
      <c r="E393" s="685"/>
      <c r="F393" s="701"/>
      <c r="G393" s="701"/>
      <c r="H393" s="701"/>
      <c r="I393" s="701"/>
      <c r="J393" s="701"/>
      <c r="K393" s="701"/>
      <c r="L393" s="701"/>
      <c r="M393" s="701"/>
      <c r="N393" s="701"/>
      <c r="O393" s="701"/>
      <c r="P393" s="701"/>
      <c r="Q393" s="701"/>
      <c r="R393" s="701"/>
      <c r="S393" s="701"/>
      <c r="T393" s="70"/>
      <c r="U393" s="70"/>
      <c r="V393" s="70"/>
      <c r="W393" s="70"/>
      <c r="X393" s="70"/>
      <c r="Y393" s="70"/>
      <c r="Z393" s="70"/>
    </row>
    <row r="394" customFormat="false" ht="12.75" hidden="false" customHeight="false" outlineLevel="1" collapsed="false">
      <c r="A394" s="685"/>
      <c r="B394" s="322"/>
      <c r="C394" s="322"/>
      <c r="D394" s="322"/>
      <c r="E394" s="322"/>
      <c r="F394" s="701"/>
      <c r="G394" s="701"/>
      <c r="H394" s="701"/>
      <c r="I394" s="701"/>
      <c r="J394" s="701"/>
      <c r="K394" s="701"/>
      <c r="L394" s="701"/>
      <c r="M394" s="701"/>
      <c r="N394" s="701"/>
      <c r="O394" s="701"/>
      <c r="P394" s="701"/>
      <c r="Q394" s="701"/>
      <c r="R394" s="701"/>
      <c r="S394" s="701"/>
      <c r="T394" s="70"/>
      <c r="U394" s="70"/>
      <c r="V394" s="70"/>
      <c r="W394" s="70"/>
      <c r="X394" s="70"/>
      <c r="Y394" s="70"/>
      <c r="Z394" s="70"/>
    </row>
    <row r="395" customFormat="false" ht="12.75" hidden="false" customHeight="false" outlineLevel="1" collapsed="false">
      <c r="A395" s="685"/>
      <c r="B395" s="322"/>
      <c r="C395" s="322"/>
      <c r="D395" s="322"/>
      <c r="E395" s="322"/>
      <c r="F395" s="701"/>
      <c r="G395" s="701"/>
      <c r="H395" s="701"/>
      <c r="I395" s="701"/>
      <c r="J395" s="701"/>
      <c r="K395" s="701"/>
      <c r="L395" s="701"/>
      <c r="M395" s="701"/>
      <c r="N395" s="701"/>
      <c r="O395" s="701"/>
      <c r="P395" s="701"/>
      <c r="Q395" s="701"/>
      <c r="R395" s="701"/>
      <c r="S395" s="701"/>
      <c r="T395" s="70"/>
      <c r="U395" s="70"/>
      <c r="V395" s="70"/>
      <c r="W395" s="70"/>
      <c r="X395" s="70"/>
      <c r="Y395" s="70"/>
      <c r="Z395" s="70"/>
    </row>
    <row r="396" customFormat="false" ht="12.75" hidden="false" customHeight="false" outlineLevel="1" collapsed="false">
      <c r="A396" s="395"/>
      <c r="B396" s="395"/>
      <c r="C396" s="395"/>
      <c r="D396" s="395"/>
      <c r="E396" s="395"/>
      <c r="F396" s="701"/>
      <c r="G396" s="701"/>
      <c r="H396" s="701"/>
      <c r="I396" s="701"/>
      <c r="J396" s="701"/>
      <c r="K396" s="701"/>
      <c r="L396" s="701"/>
      <c r="M396" s="701"/>
      <c r="N396" s="701"/>
      <c r="O396" s="701"/>
      <c r="P396" s="701"/>
      <c r="Q396" s="701"/>
      <c r="R396" s="701"/>
      <c r="S396" s="701"/>
      <c r="T396" s="70"/>
      <c r="U396" s="70"/>
      <c r="V396" s="70"/>
      <c r="W396" s="70"/>
      <c r="X396" s="70"/>
      <c r="Y396" s="70"/>
      <c r="Z396" s="70"/>
    </row>
    <row r="397" customFormat="false" ht="12.75" hidden="false" customHeight="false" outlineLevel="1" collapsed="false">
      <c r="A397" s="685"/>
      <c r="B397" s="395"/>
      <c r="C397" s="395"/>
      <c r="D397" s="395"/>
      <c r="E397" s="395"/>
      <c r="F397" s="701"/>
      <c r="G397" s="701"/>
      <c r="H397" s="701"/>
      <c r="I397" s="701"/>
      <c r="J397" s="701"/>
      <c r="K397" s="701"/>
      <c r="L397" s="701"/>
      <c r="M397" s="701"/>
      <c r="N397" s="701"/>
      <c r="O397" s="701"/>
      <c r="P397" s="701"/>
      <c r="Q397" s="701"/>
      <c r="R397" s="701"/>
      <c r="S397" s="701"/>
      <c r="T397" s="70"/>
      <c r="U397" s="70"/>
      <c r="V397" s="70"/>
      <c r="W397" s="70"/>
      <c r="X397" s="70"/>
      <c r="Y397" s="70"/>
      <c r="Z397" s="70"/>
    </row>
    <row r="398" customFormat="false" ht="12.75" hidden="false" customHeight="false" outlineLevel="1" collapsed="false">
      <c r="A398" s="685"/>
      <c r="B398" s="395"/>
      <c r="C398" s="395"/>
      <c r="D398" s="395"/>
      <c r="E398" s="395"/>
      <c r="F398" s="701"/>
      <c r="G398" s="701"/>
      <c r="H398" s="701"/>
      <c r="I398" s="701"/>
      <c r="J398" s="701"/>
      <c r="K398" s="701"/>
      <c r="L398" s="701"/>
      <c r="M398" s="701"/>
      <c r="N398" s="701"/>
      <c r="O398" s="701"/>
      <c r="P398" s="701"/>
      <c r="Q398" s="701"/>
      <c r="R398" s="701"/>
      <c r="S398" s="701"/>
      <c r="T398" s="70"/>
      <c r="U398" s="70"/>
      <c r="V398" s="70"/>
      <c r="W398" s="70"/>
      <c r="X398" s="70"/>
      <c r="Y398" s="70"/>
      <c r="Z398" s="70"/>
    </row>
    <row r="399" customFormat="false" ht="12.75" hidden="false" customHeight="false" outlineLevel="1" collapsed="false">
      <c r="A399" s="685"/>
      <c r="B399" s="395"/>
      <c r="C399" s="395"/>
      <c r="D399" s="395"/>
      <c r="E399" s="395"/>
      <c r="F399" s="701"/>
      <c r="G399" s="701"/>
      <c r="H399" s="701"/>
      <c r="I399" s="701"/>
      <c r="J399" s="701"/>
      <c r="K399" s="701"/>
      <c r="L399" s="701"/>
      <c r="M399" s="701"/>
      <c r="N399" s="701"/>
      <c r="O399" s="701"/>
      <c r="P399" s="701"/>
      <c r="Q399" s="701"/>
      <c r="R399" s="701"/>
      <c r="S399" s="701"/>
      <c r="T399" s="70"/>
      <c r="U399" s="70"/>
      <c r="V399" s="70"/>
      <c r="W399" s="70"/>
      <c r="X399" s="70"/>
      <c r="Y399" s="70"/>
      <c r="Z399" s="70"/>
    </row>
    <row r="400" customFormat="false" ht="12.75" hidden="false" customHeight="false" outlineLevel="1" collapsed="false">
      <c r="A400" s="685"/>
      <c r="B400" s="395"/>
      <c r="C400" s="395"/>
      <c r="D400" s="395"/>
      <c r="E400" s="395"/>
      <c r="F400" s="701"/>
      <c r="G400" s="701"/>
      <c r="H400" s="701"/>
      <c r="I400" s="701"/>
      <c r="J400" s="701"/>
      <c r="K400" s="701"/>
      <c r="L400" s="701"/>
      <c r="M400" s="701"/>
      <c r="N400" s="701"/>
      <c r="O400" s="701"/>
      <c r="P400" s="701"/>
      <c r="Q400" s="701"/>
      <c r="R400" s="701"/>
      <c r="S400" s="701"/>
      <c r="T400" s="70"/>
      <c r="U400" s="70"/>
      <c r="V400" s="70"/>
      <c r="W400" s="70"/>
      <c r="X400" s="70"/>
      <c r="Y400" s="70"/>
      <c r="Z400" s="70"/>
    </row>
    <row r="401" customFormat="false" ht="12.75" hidden="false" customHeight="false" outlineLevel="1" collapsed="false">
      <c r="A401" s="685"/>
      <c r="B401" s="395"/>
      <c r="C401" s="395"/>
      <c r="D401" s="395"/>
      <c r="E401" s="395"/>
      <c r="F401" s="701"/>
      <c r="G401" s="701"/>
      <c r="H401" s="701"/>
      <c r="I401" s="701"/>
      <c r="J401" s="701"/>
      <c r="K401" s="701"/>
      <c r="L401" s="701"/>
      <c r="M401" s="701"/>
      <c r="N401" s="701"/>
      <c r="O401" s="701"/>
      <c r="P401" s="701"/>
      <c r="Q401" s="701"/>
      <c r="R401" s="701"/>
      <c r="S401" s="701"/>
      <c r="T401" s="70"/>
      <c r="U401" s="70"/>
      <c r="V401" s="70"/>
      <c r="W401" s="70"/>
      <c r="X401" s="70"/>
      <c r="Y401" s="70"/>
      <c r="Z401" s="70"/>
    </row>
    <row r="402" customFormat="false" ht="12.75" hidden="false" customHeight="false" outlineLevel="1" collapsed="false">
      <c r="A402" s="685"/>
      <c r="B402" s="395"/>
      <c r="C402" s="395"/>
      <c r="D402" s="395"/>
      <c r="E402" s="395"/>
      <c r="F402" s="701"/>
      <c r="G402" s="701"/>
      <c r="H402" s="701"/>
      <c r="I402" s="701"/>
      <c r="J402" s="701"/>
      <c r="K402" s="701"/>
      <c r="L402" s="701"/>
      <c r="M402" s="701"/>
      <c r="N402" s="701"/>
      <c r="O402" s="701"/>
      <c r="P402" s="701"/>
      <c r="Q402" s="701"/>
      <c r="R402" s="701"/>
      <c r="S402" s="701"/>
      <c r="T402" s="70"/>
      <c r="U402" s="70"/>
      <c r="V402" s="70"/>
      <c r="W402" s="70"/>
      <c r="X402" s="70"/>
      <c r="Y402" s="70"/>
      <c r="Z402" s="70"/>
    </row>
    <row r="403" customFormat="false" ht="12.75" hidden="false" customHeight="false" outlineLevel="1" collapsed="false">
      <c r="A403" s="685"/>
      <c r="B403" s="395"/>
      <c r="C403" s="395"/>
      <c r="D403" s="395"/>
      <c r="E403" s="395"/>
      <c r="F403" s="701"/>
      <c r="G403" s="701"/>
      <c r="H403" s="701"/>
      <c r="I403" s="701"/>
      <c r="J403" s="701"/>
      <c r="K403" s="701"/>
      <c r="L403" s="701"/>
      <c r="M403" s="701"/>
      <c r="N403" s="701"/>
      <c r="O403" s="701"/>
      <c r="P403" s="701"/>
      <c r="Q403" s="701"/>
      <c r="R403" s="701"/>
      <c r="S403" s="701"/>
      <c r="T403" s="70"/>
      <c r="U403" s="70"/>
      <c r="V403" s="70"/>
      <c r="W403" s="70"/>
      <c r="X403" s="70"/>
      <c r="Y403" s="70"/>
      <c r="Z403" s="70"/>
    </row>
    <row r="404" customFormat="false" ht="12.75" hidden="false" customHeight="false" outlineLevel="1" collapsed="false">
      <c r="A404" s="685"/>
      <c r="B404" s="395"/>
      <c r="C404" s="395"/>
      <c r="D404" s="395"/>
      <c r="E404" s="395"/>
      <c r="F404" s="701"/>
      <c r="G404" s="701"/>
      <c r="H404" s="701"/>
      <c r="I404" s="701"/>
      <c r="J404" s="701"/>
      <c r="K404" s="701"/>
      <c r="L404" s="701"/>
      <c r="M404" s="701"/>
      <c r="N404" s="701"/>
      <c r="O404" s="701"/>
      <c r="P404" s="701"/>
      <c r="Q404" s="701"/>
      <c r="R404" s="701"/>
      <c r="S404" s="701"/>
      <c r="T404" s="70"/>
      <c r="U404" s="70"/>
      <c r="V404" s="70"/>
      <c r="W404" s="70"/>
      <c r="X404" s="70"/>
      <c r="Y404" s="70"/>
      <c r="Z404" s="70"/>
    </row>
    <row r="405" customFormat="false" ht="12.75" hidden="false" customHeight="false" outlineLevel="1" collapsed="false">
      <c r="A405" s="685"/>
      <c r="B405" s="395"/>
      <c r="C405" s="395"/>
      <c r="D405" s="395"/>
      <c r="E405" s="395"/>
      <c r="F405" s="701"/>
      <c r="G405" s="701"/>
      <c r="H405" s="701"/>
      <c r="I405" s="701"/>
      <c r="J405" s="701"/>
      <c r="K405" s="701"/>
      <c r="L405" s="701"/>
      <c r="M405" s="701"/>
      <c r="N405" s="701"/>
      <c r="O405" s="701"/>
      <c r="P405" s="701"/>
      <c r="Q405" s="701"/>
      <c r="R405" s="701"/>
      <c r="S405" s="701"/>
      <c r="T405" s="70"/>
      <c r="U405" s="70"/>
      <c r="V405" s="70"/>
      <c r="W405" s="70"/>
      <c r="X405" s="70"/>
      <c r="Y405" s="70"/>
      <c r="Z405" s="70"/>
    </row>
    <row r="406" customFormat="false" ht="12.75" hidden="false" customHeight="false" outlineLevel="1" collapsed="false">
      <c r="A406" s="685"/>
      <c r="B406" s="395"/>
      <c r="C406" s="395"/>
      <c r="D406" s="395"/>
      <c r="E406" s="395"/>
      <c r="F406" s="701"/>
      <c r="G406" s="701"/>
      <c r="H406" s="701"/>
      <c r="I406" s="701"/>
      <c r="J406" s="701"/>
      <c r="K406" s="701"/>
      <c r="L406" s="701"/>
      <c r="M406" s="701"/>
      <c r="N406" s="701"/>
      <c r="O406" s="701"/>
      <c r="P406" s="701"/>
      <c r="Q406" s="701"/>
      <c r="R406" s="701"/>
      <c r="S406" s="701"/>
      <c r="T406" s="70"/>
      <c r="U406" s="70"/>
      <c r="V406" s="70"/>
      <c r="W406" s="70"/>
      <c r="X406" s="70"/>
      <c r="Y406" s="70"/>
      <c r="Z406" s="70"/>
    </row>
    <row r="407" customFormat="false" ht="12.75" hidden="false" customHeight="false" outlineLevel="1" collapsed="false">
      <c r="A407" s="685"/>
      <c r="B407" s="685"/>
      <c r="C407" s="685"/>
      <c r="D407" s="685"/>
      <c r="E407" s="685"/>
      <c r="F407" s="701"/>
      <c r="G407" s="701"/>
      <c r="H407" s="701"/>
      <c r="I407" s="701"/>
      <c r="J407" s="701"/>
      <c r="K407" s="701"/>
      <c r="L407" s="701"/>
      <c r="M407" s="701"/>
      <c r="N407" s="701"/>
      <c r="O407" s="701"/>
      <c r="P407" s="701"/>
      <c r="Q407" s="701"/>
      <c r="R407" s="701"/>
      <c r="S407" s="701"/>
      <c r="T407" s="70"/>
      <c r="U407" s="70"/>
      <c r="V407" s="70"/>
      <c r="W407" s="70"/>
      <c r="X407" s="70"/>
      <c r="Y407" s="70"/>
      <c r="Z407" s="70"/>
    </row>
    <row r="408" customFormat="false" ht="12.75" hidden="false" customHeight="false" outlineLevel="1" collapsed="false">
      <c r="A408" s="685"/>
      <c r="B408" s="685"/>
      <c r="C408" s="685"/>
      <c r="D408" s="685"/>
      <c r="E408" s="685"/>
      <c r="F408" s="701"/>
      <c r="G408" s="701"/>
      <c r="H408" s="701"/>
      <c r="I408" s="701"/>
      <c r="J408" s="701"/>
      <c r="K408" s="701"/>
      <c r="L408" s="701"/>
      <c r="M408" s="701"/>
      <c r="N408" s="701"/>
      <c r="O408" s="701"/>
      <c r="P408" s="701"/>
      <c r="Q408" s="701"/>
      <c r="R408" s="701"/>
      <c r="S408" s="701"/>
      <c r="T408" s="70"/>
      <c r="U408" s="70"/>
      <c r="V408" s="70"/>
      <c r="W408" s="70"/>
      <c r="X408" s="70"/>
      <c r="Y408" s="70"/>
      <c r="Z408" s="70"/>
    </row>
    <row r="409" customFormat="false" ht="12.75" hidden="false" customHeight="false" outlineLevel="1" collapsed="false">
      <c r="A409" s="395"/>
      <c r="B409" s="395"/>
      <c r="C409" s="395"/>
      <c r="D409" s="395"/>
      <c r="E409" s="395"/>
      <c r="F409" s="701"/>
      <c r="G409" s="701"/>
      <c r="H409" s="701"/>
      <c r="I409" s="701"/>
      <c r="J409" s="701"/>
      <c r="K409" s="701"/>
      <c r="L409" s="701"/>
      <c r="M409" s="701"/>
      <c r="N409" s="701"/>
      <c r="O409" s="701"/>
      <c r="P409" s="701"/>
      <c r="Q409" s="701"/>
      <c r="R409" s="701"/>
      <c r="S409" s="701"/>
      <c r="T409" s="70"/>
      <c r="U409" s="70"/>
      <c r="V409" s="70"/>
      <c r="W409" s="70"/>
      <c r="X409" s="70"/>
      <c r="Y409" s="70"/>
      <c r="Z409" s="70"/>
    </row>
    <row r="410" customFormat="false" ht="12.75" hidden="false" customHeight="false" outlineLevel="1" collapsed="false">
      <c r="A410" s="70"/>
      <c r="B410" s="395"/>
      <c r="C410" s="395"/>
      <c r="D410" s="395"/>
      <c r="E410" s="395"/>
      <c r="F410" s="701"/>
      <c r="G410" s="701"/>
      <c r="H410" s="701"/>
      <c r="I410" s="701"/>
      <c r="J410" s="701"/>
      <c r="K410" s="701"/>
      <c r="L410" s="701"/>
      <c r="M410" s="701"/>
      <c r="N410" s="701"/>
      <c r="O410" s="701"/>
      <c r="P410" s="701"/>
      <c r="Q410" s="701"/>
      <c r="R410" s="701"/>
      <c r="S410" s="701"/>
      <c r="T410" s="70"/>
      <c r="U410" s="70"/>
      <c r="V410" s="70"/>
      <c r="W410" s="70"/>
      <c r="X410" s="70"/>
      <c r="Y410" s="70"/>
      <c r="Z410" s="70"/>
    </row>
    <row r="411" customFormat="false" ht="12.75" hidden="false" customHeight="false" outlineLevel="1" collapsed="false">
      <c r="A411" s="685"/>
      <c r="B411" s="685"/>
      <c r="C411" s="685"/>
      <c r="D411" s="685"/>
      <c r="E411" s="685"/>
      <c r="F411" s="701"/>
      <c r="G411" s="701"/>
      <c r="H411" s="701"/>
      <c r="I411" s="701"/>
      <c r="J411" s="701"/>
      <c r="K411" s="701"/>
      <c r="L411" s="701"/>
      <c r="M411" s="701"/>
      <c r="N411" s="701"/>
      <c r="O411" s="701"/>
      <c r="P411" s="701"/>
      <c r="Q411" s="701"/>
      <c r="R411" s="701"/>
      <c r="S411" s="701"/>
      <c r="T411" s="70"/>
      <c r="U411" s="70"/>
      <c r="V411" s="70"/>
      <c r="W411" s="70"/>
      <c r="X411" s="70"/>
      <c r="Y411" s="70"/>
      <c r="Z411" s="70"/>
    </row>
    <row r="412" customFormat="false" ht="12.75" hidden="false" customHeight="false" outlineLevel="1" collapsed="false">
      <c r="A412" s="395"/>
      <c r="B412" s="395"/>
      <c r="C412" s="395"/>
      <c r="D412" s="395"/>
      <c r="E412" s="395"/>
      <c r="F412" s="701"/>
      <c r="G412" s="701"/>
      <c r="H412" s="701"/>
      <c r="I412" s="701"/>
      <c r="J412" s="701"/>
      <c r="K412" s="701"/>
      <c r="L412" s="701"/>
      <c r="M412" s="701"/>
      <c r="N412" s="701"/>
      <c r="O412" s="701"/>
      <c r="P412" s="701"/>
      <c r="Q412" s="701"/>
      <c r="R412" s="701"/>
      <c r="S412" s="701"/>
      <c r="T412" s="70"/>
      <c r="U412" s="70"/>
      <c r="V412" s="70"/>
      <c r="W412" s="70"/>
      <c r="X412" s="70"/>
      <c r="Y412" s="70"/>
      <c r="Z412" s="70"/>
    </row>
    <row r="413" customFormat="false" ht="12.75" hidden="false" customHeight="false" outlineLevel="1" collapsed="false">
      <c r="A413" s="685"/>
      <c r="B413" s="687"/>
      <c r="C413" s="687"/>
      <c r="D413" s="687"/>
      <c r="E413" s="687"/>
      <c r="F413" s="701"/>
      <c r="G413" s="701"/>
      <c r="H413" s="701"/>
      <c r="I413" s="701"/>
      <c r="J413" s="701"/>
      <c r="K413" s="701"/>
      <c r="L413" s="701"/>
      <c r="M413" s="701"/>
      <c r="N413" s="701"/>
      <c r="O413" s="701"/>
      <c r="P413" s="701"/>
      <c r="Q413" s="701"/>
      <c r="R413" s="701"/>
      <c r="S413" s="701"/>
      <c r="T413" s="70"/>
      <c r="U413" s="70"/>
      <c r="V413" s="70"/>
      <c r="W413" s="70"/>
      <c r="X413" s="70"/>
      <c r="Y413" s="70"/>
      <c r="Z413" s="70"/>
    </row>
    <row r="414" customFormat="false" ht="12.75" hidden="false" customHeight="false" outlineLevel="1" collapsed="false">
      <c r="A414" s="395"/>
      <c r="B414" s="395"/>
      <c r="C414" s="395"/>
      <c r="D414" s="395"/>
      <c r="E414" s="395"/>
      <c r="F414" s="701"/>
      <c r="G414" s="701"/>
      <c r="H414" s="701"/>
      <c r="I414" s="701"/>
      <c r="J414" s="701"/>
      <c r="K414" s="701"/>
      <c r="L414" s="701"/>
      <c r="M414" s="701"/>
      <c r="N414" s="701"/>
      <c r="O414" s="701"/>
      <c r="P414" s="701"/>
      <c r="Q414" s="701"/>
      <c r="R414" s="701"/>
      <c r="S414" s="701"/>
      <c r="T414" s="70"/>
      <c r="U414" s="70"/>
      <c r="V414" s="70"/>
      <c r="W414" s="70"/>
      <c r="X414" s="70"/>
      <c r="Y414" s="70"/>
      <c r="Z414" s="70"/>
    </row>
    <row r="415" customFormat="false" ht="12.75" hidden="false" customHeight="false" outlineLevel="1" collapsed="false">
      <c r="A415" s="395"/>
      <c r="B415" s="395"/>
      <c r="C415" s="395"/>
      <c r="D415" s="395"/>
      <c r="E415" s="395"/>
      <c r="F415" s="701"/>
      <c r="G415" s="701"/>
      <c r="H415" s="701"/>
      <c r="I415" s="701"/>
      <c r="J415" s="701"/>
      <c r="K415" s="701"/>
      <c r="L415" s="701"/>
      <c r="M415" s="701"/>
      <c r="N415" s="701"/>
      <c r="O415" s="701"/>
      <c r="P415" s="701"/>
      <c r="Q415" s="701"/>
      <c r="R415" s="701"/>
      <c r="S415" s="701"/>
      <c r="T415" s="70"/>
      <c r="U415" s="70"/>
      <c r="V415" s="70"/>
      <c r="W415" s="70"/>
      <c r="X415" s="70"/>
      <c r="Y415" s="70"/>
      <c r="Z415" s="70"/>
    </row>
    <row r="416" customFormat="false" ht="12.75" hidden="false" customHeight="false" outlineLevel="1" collapsed="false">
      <c r="A416" s="395"/>
      <c r="B416" s="395"/>
      <c r="C416" s="395"/>
      <c r="D416" s="395"/>
      <c r="E416" s="395"/>
      <c r="F416" s="701"/>
      <c r="G416" s="701"/>
      <c r="H416" s="701"/>
      <c r="I416" s="701"/>
      <c r="J416" s="701"/>
      <c r="K416" s="701"/>
      <c r="L416" s="701"/>
      <c r="M416" s="701"/>
      <c r="N416" s="701"/>
      <c r="O416" s="701"/>
      <c r="P416" s="701"/>
      <c r="Q416" s="701"/>
      <c r="R416" s="701"/>
      <c r="S416" s="701"/>
      <c r="T416" s="70"/>
      <c r="U416" s="70"/>
      <c r="V416" s="70"/>
      <c r="W416" s="70"/>
      <c r="X416" s="70"/>
      <c r="Y416" s="70"/>
      <c r="Z416" s="70"/>
    </row>
    <row r="417" customFormat="false" ht="12.75" hidden="false" customHeight="false" outlineLevel="1" collapsed="false">
      <c r="A417" s="395"/>
      <c r="B417" s="684"/>
      <c r="C417" s="684"/>
      <c r="D417" s="684"/>
      <c r="E417" s="684"/>
      <c r="F417" s="701"/>
      <c r="G417" s="701"/>
      <c r="H417" s="701"/>
      <c r="I417" s="701"/>
      <c r="J417" s="701"/>
      <c r="K417" s="701"/>
      <c r="L417" s="701"/>
      <c r="M417" s="701"/>
      <c r="N417" s="701"/>
      <c r="O417" s="701"/>
      <c r="P417" s="701"/>
      <c r="Q417" s="701"/>
      <c r="R417" s="701"/>
      <c r="S417" s="701"/>
      <c r="T417" s="70"/>
      <c r="U417" s="70"/>
      <c r="V417" s="70"/>
      <c r="W417" s="70"/>
      <c r="X417" s="70"/>
      <c r="Y417" s="70"/>
      <c r="Z417" s="70"/>
    </row>
    <row r="418" customFormat="false" ht="12.75" hidden="false" customHeight="false" outlineLevel="1" collapsed="false">
      <c r="A418" s="395"/>
      <c r="B418" s="684"/>
      <c r="C418" s="684"/>
      <c r="D418" s="684"/>
      <c r="E418" s="684"/>
      <c r="F418" s="701"/>
      <c r="G418" s="701"/>
      <c r="H418" s="701"/>
      <c r="I418" s="701"/>
      <c r="J418" s="701"/>
      <c r="K418" s="701"/>
      <c r="L418" s="701"/>
      <c r="M418" s="701"/>
      <c r="N418" s="701"/>
      <c r="O418" s="701"/>
      <c r="P418" s="701"/>
      <c r="Q418" s="701"/>
      <c r="R418" s="701"/>
      <c r="S418" s="701"/>
      <c r="T418" s="70"/>
      <c r="U418" s="70"/>
      <c r="V418" s="70"/>
      <c r="W418" s="70"/>
      <c r="X418" s="70"/>
      <c r="Y418" s="70"/>
      <c r="Z418" s="70"/>
    </row>
    <row r="419" customFormat="false" ht="12.75" hidden="false" customHeight="false" outlineLevel="1" collapsed="false">
      <c r="A419" s="395"/>
      <c r="B419" s="684"/>
      <c r="C419" s="684"/>
      <c r="D419" s="684"/>
      <c r="E419" s="684"/>
      <c r="F419" s="701"/>
      <c r="G419" s="701"/>
      <c r="H419" s="701"/>
      <c r="I419" s="701"/>
      <c r="J419" s="701"/>
      <c r="K419" s="701"/>
      <c r="L419" s="701"/>
      <c r="M419" s="701"/>
      <c r="N419" s="701"/>
      <c r="O419" s="701"/>
      <c r="P419" s="701"/>
      <c r="Q419" s="701"/>
      <c r="R419" s="701"/>
      <c r="S419" s="701"/>
      <c r="T419" s="70"/>
      <c r="U419" s="70"/>
      <c r="V419" s="70"/>
      <c r="W419" s="70"/>
      <c r="X419" s="70"/>
      <c r="Y419" s="70"/>
      <c r="Z419" s="70"/>
    </row>
    <row r="420" customFormat="false" ht="12.75" hidden="false" customHeight="false" outlineLevel="1" collapsed="false">
      <c r="A420" s="395"/>
      <c r="B420" s="684"/>
      <c r="C420" s="684"/>
      <c r="D420" s="684"/>
      <c r="E420" s="684"/>
      <c r="F420" s="701"/>
      <c r="G420" s="701"/>
      <c r="H420" s="701"/>
      <c r="I420" s="701"/>
      <c r="J420" s="701"/>
      <c r="K420" s="701"/>
      <c r="L420" s="701"/>
      <c r="M420" s="701"/>
      <c r="N420" s="701"/>
      <c r="O420" s="701"/>
      <c r="P420" s="701"/>
      <c r="Q420" s="701"/>
      <c r="R420" s="701"/>
      <c r="S420" s="701"/>
      <c r="T420" s="70"/>
      <c r="U420" s="70"/>
      <c r="V420" s="70"/>
      <c r="W420" s="70"/>
      <c r="X420" s="70"/>
      <c r="Y420" s="70"/>
      <c r="Z420" s="70"/>
    </row>
    <row r="421" customFormat="false" ht="12.75" hidden="false" customHeight="false" outlineLevel="1" collapsed="false">
      <c r="A421" s="395"/>
      <c r="B421" s="684"/>
      <c r="C421" s="684"/>
      <c r="D421" s="684"/>
      <c r="E421" s="684"/>
      <c r="F421" s="701"/>
      <c r="G421" s="701"/>
      <c r="H421" s="701"/>
      <c r="I421" s="701"/>
      <c r="J421" s="701"/>
      <c r="K421" s="701"/>
      <c r="L421" s="701"/>
      <c r="M421" s="701"/>
      <c r="N421" s="701"/>
      <c r="O421" s="701"/>
      <c r="P421" s="701"/>
      <c r="Q421" s="701"/>
      <c r="R421" s="701"/>
      <c r="S421" s="701"/>
      <c r="T421" s="70"/>
      <c r="U421" s="70"/>
      <c r="V421" s="70"/>
      <c r="W421" s="70"/>
      <c r="X421" s="70"/>
      <c r="Y421" s="70"/>
      <c r="Z421" s="70"/>
    </row>
    <row r="422" customFormat="false" ht="12.75" hidden="false" customHeight="false" outlineLevel="1" collapsed="false">
      <c r="A422" s="70"/>
      <c r="B422" s="684"/>
      <c r="C422" s="684"/>
      <c r="D422" s="684"/>
      <c r="E422" s="684"/>
      <c r="F422" s="701"/>
      <c r="G422" s="701"/>
      <c r="H422" s="701"/>
      <c r="I422" s="701"/>
      <c r="J422" s="701"/>
      <c r="K422" s="701"/>
      <c r="L422" s="701"/>
      <c r="M422" s="701"/>
      <c r="N422" s="701"/>
      <c r="O422" s="701"/>
      <c r="P422" s="701"/>
      <c r="Q422" s="701"/>
      <c r="R422" s="701"/>
      <c r="S422" s="701"/>
      <c r="T422" s="701"/>
      <c r="U422" s="701"/>
      <c r="V422" s="701"/>
      <c r="W422" s="701"/>
      <c r="X422" s="701"/>
      <c r="Y422" s="701"/>
      <c r="Z422" s="701"/>
    </row>
    <row r="423" customFormat="false" ht="12.75" hidden="false" customHeight="false" outlineLevel="1" collapsed="false">
      <c r="A423" s="70"/>
      <c r="B423" s="701"/>
      <c r="C423" s="701"/>
      <c r="D423" s="701"/>
      <c r="E423" s="684"/>
      <c r="F423" s="701"/>
      <c r="G423" s="701"/>
      <c r="H423" s="701"/>
      <c r="I423" s="701"/>
      <c r="J423" s="701"/>
      <c r="K423" s="701"/>
      <c r="L423" s="701"/>
      <c r="M423" s="701"/>
      <c r="N423" s="701"/>
      <c r="O423" s="701"/>
      <c r="P423" s="701"/>
      <c r="Q423" s="701"/>
      <c r="R423" s="701"/>
      <c r="S423" s="701"/>
      <c r="T423" s="701"/>
      <c r="U423" s="701"/>
      <c r="V423" s="701"/>
      <c r="W423" s="701"/>
      <c r="X423" s="701"/>
      <c r="Y423" s="701"/>
      <c r="Z423" s="701"/>
    </row>
    <row r="424" customFormat="false" ht="12.75" hidden="false" customHeight="false" outlineLevel="1" collapsed="false">
      <c r="A424" s="70"/>
      <c r="B424" s="684"/>
      <c r="C424" s="684"/>
      <c r="D424" s="684"/>
      <c r="E424" s="684"/>
      <c r="F424" s="701"/>
      <c r="G424" s="701"/>
      <c r="H424" s="701"/>
      <c r="I424" s="701"/>
      <c r="J424" s="701"/>
      <c r="K424" s="701"/>
      <c r="L424" s="701"/>
      <c r="M424" s="701"/>
      <c r="N424" s="701"/>
      <c r="O424" s="701"/>
      <c r="P424" s="701"/>
      <c r="Q424" s="701"/>
      <c r="R424" s="701"/>
      <c r="S424" s="701"/>
      <c r="T424" s="701"/>
      <c r="U424" s="701"/>
      <c r="V424" s="701"/>
      <c r="W424" s="701"/>
      <c r="X424" s="701"/>
      <c r="Y424" s="701"/>
      <c r="Z424" s="701"/>
    </row>
    <row r="425" customFormat="false" ht="12.75" hidden="false" customHeight="false" outlineLevel="1" collapsed="false">
      <c r="A425" s="70"/>
      <c r="B425" s="684"/>
      <c r="C425" s="684"/>
      <c r="D425" s="684"/>
      <c r="E425" s="684"/>
      <c r="F425" s="701"/>
      <c r="G425" s="701"/>
      <c r="H425" s="701"/>
      <c r="I425" s="701"/>
      <c r="J425" s="701"/>
      <c r="K425" s="701"/>
      <c r="L425" s="701"/>
      <c r="M425" s="701"/>
      <c r="N425" s="701"/>
      <c r="O425" s="701"/>
      <c r="P425" s="701"/>
      <c r="Q425" s="701"/>
      <c r="R425" s="701"/>
      <c r="S425" s="701"/>
      <c r="T425" s="701"/>
      <c r="U425" s="701"/>
      <c r="V425" s="701"/>
      <c r="W425" s="701"/>
      <c r="X425" s="701"/>
      <c r="Y425" s="701"/>
      <c r="Z425" s="701"/>
    </row>
    <row r="426" customFormat="false" ht="12.75" hidden="false" customHeight="false" outlineLevel="1" collapsed="false">
      <c r="A426" s="70"/>
      <c r="B426" s="684"/>
      <c r="C426" s="684"/>
      <c r="D426" s="684"/>
      <c r="E426" s="684"/>
      <c r="F426" s="701"/>
      <c r="G426" s="701"/>
      <c r="H426" s="701"/>
      <c r="I426" s="701"/>
      <c r="J426" s="701"/>
      <c r="K426" s="701"/>
      <c r="L426" s="701"/>
      <c r="M426" s="701"/>
      <c r="N426" s="701"/>
      <c r="O426" s="701"/>
      <c r="P426" s="701"/>
      <c r="Q426" s="701"/>
      <c r="R426" s="701"/>
      <c r="S426" s="701"/>
      <c r="T426" s="701"/>
      <c r="U426" s="701"/>
      <c r="V426" s="701"/>
      <c r="W426" s="701"/>
      <c r="X426" s="701"/>
      <c r="Y426" s="701"/>
      <c r="Z426" s="701"/>
    </row>
    <row r="427" customFormat="false" ht="12.75" hidden="false" customHeight="false" outlineLevel="1" collapsed="false">
      <c r="A427" s="70"/>
      <c r="B427" s="684"/>
      <c r="C427" s="684"/>
      <c r="D427" s="684"/>
      <c r="E427" s="684"/>
      <c r="F427" s="701"/>
      <c r="G427" s="701"/>
      <c r="H427" s="701"/>
      <c r="I427" s="701"/>
      <c r="J427" s="701"/>
      <c r="K427" s="701"/>
      <c r="L427" s="701"/>
      <c r="M427" s="701"/>
      <c r="N427" s="701"/>
      <c r="O427" s="701"/>
      <c r="P427" s="701"/>
      <c r="Q427" s="701"/>
      <c r="R427" s="701"/>
      <c r="S427" s="701"/>
      <c r="T427" s="701"/>
      <c r="U427" s="701"/>
      <c r="V427" s="701"/>
      <c r="W427" s="701"/>
      <c r="X427" s="701"/>
      <c r="Y427" s="701"/>
      <c r="Z427" s="701"/>
    </row>
    <row r="428" customFormat="false" ht="12.75" hidden="false" customHeight="false" outlineLevel="1" collapsed="false">
      <c r="A428" s="395"/>
      <c r="B428" s="684"/>
      <c r="C428" s="684"/>
      <c r="D428" s="684"/>
      <c r="E428" s="684"/>
      <c r="F428" s="701"/>
      <c r="G428" s="701"/>
      <c r="H428" s="701"/>
      <c r="I428" s="701"/>
      <c r="J428" s="701"/>
      <c r="K428" s="701"/>
      <c r="L428" s="701"/>
      <c r="M428" s="701"/>
      <c r="N428" s="701"/>
      <c r="O428" s="701"/>
      <c r="P428" s="701"/>
      <c r="Q428" s="701"/>
      <c r="R428" s="701"/>
      <c r="S428" s="701"/>
      <c r="T428" s="701"/>
      <c r="U428" s="701"/>
      <c r="V428" s="701"/>
      <c r="W428" s="701"/>
      <c r="X428" s="701"/>
      <c r="Y428" s="701"/>
      <c r="Z428" s="701"/>
    </row>
    <row r="429" customFormat="false" ht="12.75" hidden="false" customHeight="false" outlineLevel="1" collapsed="false">
      <c r="A429" s="70"/>
      <c r="B429" s="684"/>
      <c r="C429" s="684"/>
      <c r="D429" s="684"/>
      <c r="E429" s="684"/>
      <c r="F429" s="701"/>
      <c r="G429" s="701"/>
      <c r="H429" s="701"/>
      <c r="I429" s="701"/>
      <c r="J429" s="701"/>
      <c r="K429" s="701"/>
      <c r="L429" s="701"/>
      <c r="M429" s="701"/>
      <c r="N429" s="701"/>
      <c r="O429" s="701"/>
      <c r="P429" s="701"/>
      <c r="Q429" s="701"/>
      <c r="R429" s="701"/>
      <c r="S429" s="701"/>
      <c r="T429" s="701"/>
      <c r="U429" s="701"/>
      <c r="V429" s="701"/>
      <c r="W429" s="701"/>
      <c r="X429" s="701"/>
      <c r="Y429" s="701"/>
      <c r="Z429" s="701"/>
    </row>
    <row r="430" customFormat="false" ht="12.75" hidden="false" customHeight="false" outlineLevel="1" collapsed="false">
      <c r="A430" s="70"/>
      <c r="B430" s="684"/>
      <c r="C430" s="684"/>
      <c r="D430" s="684"/>
      <c r="E430" s="684"/>
      <c r="F430" s="701"/>
      <c r="G430" s="701"/>
      <c r="H430" s="701"/>
      <c r="I430" s="701"/>
      <c r="J430" s="701"/>
      <c r="K430" s="701"/>
      <c r="L430" s="701"/>
      <c r="M430" s="701"/>
      <c r="N430" s="701"/>
      <c r="O430" s="701"/>
      <c r="P430" s="701"/>
      <c r="Q430" s="701"/>
      <c r="R430" s="701"/>
      <c r="S430" s="701"/>
      <c r="T430" s="701"/>
      <c r="U430" s="701"/>
      <c r="V430" s="701"/>
      <c r="W430" s="701"/>
      <c r="X430" s="701"/>
      <c r="Y430" s="701"/>
      <c r="Z430" s="701"/>
    </row>
    <row r="431" customFormat="false" ht="12.75" hidden="false" customHeight="false" outlineLevel="1" collapsed="false">
      <c r="A431" s="395"/>
      <c r="B431" s="684"/>
      <c r="C431" s="684"/>
      <c r="D431" s="684"/>
      <c r="E431" s="684"/>
      <c r="F431" s="701"/>
      <c r="G431" s="701"/>
      <c r="H431" s="701"/>
      <c r="I431" s="701"/>
      <c r="J431" s="701"/>
      <c r="K431" s="701"/>
      <c r="L431" s="701"/>
      <c r="M431" s="701"/>
      <c r="N431" s="701"/>
      <c r="O431" s="701"/>
      <c r="P431" s="701"/>
      <c r="Q431" s="701"/>
      <c r="R431" s="701"/>
      <c r="S431" s="701"/>
      <c r="T431" s="701"/>
      <c r="U431" s="701"/>
      <c r="V431" s="701"/>
      <c r="W431" s="701"/>
      <c r="X431" s="701"/>
      <c r="Y431" s="701"/>
      <c r="Z431" s="701"/>
    </row>
    <row r="432" customFormat="false" ht="12.75" hidden="false" customHeight="false" outlineLevel="1" collapsed="false">
      <c r="A432" s="395"/>
      <c r="B432" s="684"/>
      <c r="C432" s="684"/>
      <c r="D432" s="684"/>
      <c r="E432" s="684"/>
      <c r="F432" s="701"/>
      <c r="G432" s="701"/>
      <c r="H432" s="701"/>
      <c r="I432" s="701"/>
      <c r="J432" s="701"/>
      <c r="K432" s="701"/>
      <c r="L432" s="701"/>
      <c r="M432" s="701"/>
      <c r="N432" s="701"/>
      <c r="O432" s="701"/>
      <c r="P432" s="701"/>
      <c r="Q432" s="701"/>
      <c r="R432" s="701"/>
      <c r="S432" s="701"/>
      <c r="T432" s="701"/>
      <c r="U432" s="701"/>
      <c r="V432" s="701"/>
      <c r="W432" s="701"/>
      <c r="X432" s="701"/>
      <c r="Y432" s="701"/>
      <c r="Z432" s="701"/>
    </row>
    <row r="433" customFormat="false" ht="12.75" hidden="false" customHeight="false" outlineLevel="1" collapsed="false">
      <c r="A433" s="70"/>
      <c r="B433" s="684"/>
      <c r="C433" s="684"/>
      <c r="D433" s="684"/>
      <c r="E433" s="684"/>
      <c r="F433" s="701"/>
      <c r="G433" s="701"/>
      <c r="H433" s="701"/>
      <c r="I433" s="701"/>
      <c r="J433" s="701"/>
      <c r="K433" s="701"/>
      <c r="L433" s="701"/>
      <c r="M433" s="701"/>
      <c r="N433" s="701"/>
      <c r="O433" s="701"/>
      <c r="P433" s="701"/>
      <c r="Q433" s="701"/>
      <c r="R433" s="701"/>
      <c r="S433" s="701"/>
      <c r="T433" s="701"/>
      <c r="U433" s="701"/>
      <c r="V433" s="701"/>
      <c r="W433" s="701"/>
      <c r="X433" s="701"/>
      <c r="Y433" s="701"/>
      <c r="Z433" s="701"/>
    </row>
    <row r="434" customFormat="false" ht="12.75" hidden="false" customHeight="false" outlineLevel="1" collapsed="false">
      <c r="A434" s="70"/>
      <c r="B434" s="684"/>
      <c r="C434" s="684"/>
      <c r="D434" s="684"/>
      <c r="E434" s="684"/>
      <c r="F434" s="701"/>
      <c r="G434" s="701"/>
      <c r="H434" s="701"/>
      <c r="I434" s="701"/>
      <c r="J434" s="701"/>
      <c r="K434" s="701"/>
      <c r="L434" s="701"/>
      <c r="M434" s="701"/>
      <c r="N434" s="701"/>
      <c r="O434" s="701"/>
      <c r="P434" s="701"/>
      <c r="Q434" s="701"/>
      <c r="R434" s="701"/>
      <c r="S434" s="701"/>
      <c r="T434" s="701"/>
      <c r="U434" s="701"/>
      <c r="V434" s="701"/>
      <c r="W434" s="701"/>
      <c r="X434" s="701"/>
      <c r="Y434" s="701"/>
      <c r="Z434" s="701"/>
    </row>
    <row r="435" customFormat="false" ht="12.75" hidden="false" customHeight="false" outlineLevel="1" collapsed="false">
      <c r="A435" s="70"/>
      <c r="B435" s="684"/>
      <c r="C435" s="684"/>
      <c r="D435" s="684"/>
      <c r="E435" s="684"/>
      <c r="F435" s="701"/>
      <c r="G435" s="701"/>
      <c r="H435" s="701"/>
      <c r="I435" s="701"/>
      <c r="J435" s="701"/>
      <c r="K435" s="701"/>
      <c r="L435" s="701"/>
      <c r="M435" s="701"/>
      <c r="N435" s="701"/>
      <c r="O435" s="701"/>
      <c r="P435" s="701"/>
      <c r="Q435" s="701"/>
      <c r="R435" s="701"/>
      <c r="S435" s="701"/>
      <c r="T435" s="701"/>
      <c r="U435" s="701"/>
      <c r="V435" s="701"/>
      <c r="W435" s="701"/>
      <c r="X435" s="701"/>
      <c r="Y435" s="701"/>
      <c r="Z435" s="701"/>
    </row>
    <row r="436" customFormat="false" ht="12.75" hidden="false" customHeight="false" outlineLevel="1" collapsed="false">
      <c r="A436" s="70"/>
      <c r="B436" s="684"/>
      <c r="C436" s="684"/>
      <c r="D436" s="684"/>
      <c r="E436" s="684"/>
      <c r="F436" s="701"/>
      <c r="G436" s="701"/>
      <c r="H436" s="701"/>
      <c r="I436" s="701"/>
      <c r="J436" s="701"/>
      <c r="K436" s="701"/>
      <c r="L436" s="701"/>
      <c r="M436" s="701"/>
      <c r="N436" s="701"/>
      <c r="O436" s="701"/>
      <c r="P436" s="701"/>
      <c r="Q436" s="701"/>
      <c r="R436" s="701"/>
      <c r="S436" s="701"/>
      <c r="T436" s="701"/>
      <c r="U436" s="701"/>
      <c r="V436" s="701"/>
      <c r="W436" s="701"/>
      <c r="X436" s="701"/>
      <c r="Y436" s="701"/>
      <c r="Z436" s="701"/>
    </row>
    <row r="437" customFormat="false" ht="12.75" hidden="false" customHeight="false" outlineLevel="1" collapsed="false">
      <c r="A437" s="70"/>
      <c r="B437" s="684"/>
      <c r="C437" s="684"/>
      <c r="D437" s="684"/>
      <c r="E437" s="684"/>
      <c r="F437" s="701"/>
      <c r="G437" s="701"/>
      <c r="H437" s="701"/>
      <c r="I437" s="701"/>
      <c r="J437" s="701"/>
      <c r="K437" s="701"/>
      <c r="L437" s="701"/>
      <c r="M437" s="701"/>
      <c r="N437" s="701"/>
      <c r="O437" s="701"/>
      <c r="P437" s="701"/>
      <c r="Q437" s="701"/>
      <c r="R437" s="701"/>
      <c r="S437" s="701"/>
      <c r="T437" s="701"/>
      <c r="U437" s="701"/>
      <c r="V437" s="701"/>
      <c r="W437" s="701"/>
      <c r="X437" s="701"/>
      <c r="Y437" s="701"/>
      <c r="Z437" s="701"/>
    </row>
    <row r="438" customFormat="false" ht="12.75" hidden="false" customHeight="false" outlineLevel="1" collapsed="false">
      <c r="A438" s="70"/>
      <c r="B438" s="684"/>
      <c r="C438" s="684"/>
      <c r="D438" s="684"/>
      <c r="E438" s="684"/>
      <c r="F438" s="701"/>
      <c r="G438" s="701"/>
      <c r="H438" s="701"/>
      <c r="I438" s="701"/>
      <c r="J438" s="701"/>
      <c r="K438" s="701"/>
      <c r="L438" s="701"/>
      <c r="M438" s="701"/>
      <c r="N438" s="701"/>
      <c r="O438" s="701"/>
      <c r="P438" s="701"/>
      <c r="Q438" s="701"/>
      <c r="R438" s="701"/>
      <c r="S438" s="701"/>
      <c r="T438" s="701"/>
      <c r="U438" s="701"/>
      <c r="V438" s="701"/>
      <c r="W438" s="701"/>
      <c r="X438" s="701"/>
      <c r="Y438" s="701"/>
      <c r="Z438" s="701"/>
    </row>
    <row r="439" customFormat="false" ht="12.75" hidden="false" customHeight="false" outlineLevel="1" collapsed="false">
      <c r="A439" s="70"/>
      <c r="B439" s="684"/>
      <c r="C439" s="684"/>
      <c r="D439" s="684"/>
      <c r="E439" s="684"/>
      <c r="F439" s="701"/>
      <c r="G439" s="701"/>
      <c r="H439" s="701"/>
      <c r="I439" s="701"/>
      <c r="J439" s="701"/>
      <c r="K439" s="701"/>
      <c r="L439" s="701"/>
      <c r="M439" s="701"/>
      <c r="N439" s="701"/>
      <c r="O439" s="701"/>
      <c r="P439" s="701"/>
      <c r="Q439" s="701"/>
      <c r="R439" s="701"/>
      <c r="S439" s="701"/>
      <c r="T439" s="701"/>
      <c r="U439" s="701"/>
      <c r="V439" s="701"/>
      <c r="W439" s="701"/>
      <c r="X439" s="701"/>
      <c r="Y439" s="701"/>
      <c r="Z439" s="701"/>
    </row>
    <row r="440" customFormat="false" ht="12.75" hidden="false" customHeight="false" outlineLevel="1" collapsed="false">
      <c r="A440" s="70"/>
      <c r="B440" s="684"/>
      <c r="C440" s="684"/>
      <c r="D440" s="684"/>
      <c r="E440" s="684"/>
      <c r="F440" s="701"/>
      <c r="G440" s="701"/>
      <c r="H440" s="701"/>
      <c r="I440" s="701"/>
      <c r="J440" s="701"/>
      <c r="K440" s="701"/>
      <c r="L440" s="701"/>
      <c r="M440" s="701"/>
      <c r="N440" s="701"/>
      <c r="O440" s="701"/>
      <c r="P440" s="701"/>
      <c r="Q440" s="701"/>
      <c r="R440" s="701"/>
      <c r="S440" s="701"/>
      <c r="T440" s="70"/>
      <c r="U440" s="70"/>
      <c r="V440" s="70"/>
      <c r="W440" s="70"/>
      <c r="X440" s="70"/>
      <c r="Y440" s="70"/>
      <c r="Z440" s="70"/>
    </row>
    <row r="441" customFormat="false" ht="12.75" hidden="false" customHeight="false" outlineLevel="1" collapsed="false">
      <c r="A441" s="395"/>
      <c r="B441" s="684"/>
      <c r="C441" s="684"/>
      <c r="D441" s="684"/>
      <c r="E441" s="684"/>
      <c r="F441" s="701"/>
      <c r="G441" s="701"/>
      <c r="H441" s="701"/>
      <c r="I441" s="701"/>
      <c r="J441" s="701"/>
      <c r="K441" s="701"/>
      <c r="L441" s="701"/>
      <c r="M441" s="701"/>
      <c r="N441" s="701"/>
      <c r="O441" s="701"/>
      <c r="P441" s="701"/>
      <c r="Q441" s="701"/>
      <c r="R441" s="701"/>
      <c r="S441" s="701"/>
      <c r="T441" s="70"/>
      <c r="U441" s="70"/>
      <c r="V441" s="70"/>
      <c r="W441" s="70"/>
      <c r="X441" s="70"/>
      <c r="Y441" s="70"/>
      <c r="Z441" s="70"/>
    </row>
    <row r="442" customFormat="false" ht="12.75" hidden="false" customHeight="false" outlineLevel="1" collapsed="false">
      <c r="A442" s="395"/>
      <c r="B442" s="684"/>
      <c r="C442" s="684"/>
      <c r="D442" s="684"/>
      <c r="E442" s="684"/>
      <c r="F442" s="701"/>
      <c r="G442" s="701"/>
      <c r="H442" s="701"/>
      <c r="I442" s="701"/>
      <c r="J442" s="701"/>
      <c r="K442" s="701"/>
      <c r="L442" s="701"/>
      <c r="M442" s="701"/>
      <c r="N442" s="701"/>
      <c r="O442" s="701"/>
      <c r="P442" s="701"/>
      <c r="Q442" s="701"/>
      <c r="R442" s="701"/>
      <c r="S442" s="701"/>
      <c r="T442" s="70"/>
      <c r="U442" s="70"/>
      <c r="V442" s="70"/>
      <c r="W442" s="70"/>
      <c r="X442" s="70"/>
      <c r="Y442" s="70"/>
      <c r="Z442" s="70"/>
    </row>
    <row r="443" customFormat="false" ht="12.75" hidden="false" customHeight="false" outlineLevel="1" collapsed="false">
      <c r="A443" s="395"/>
      <c r="B443" s="684"/>
      <c r="C443" s="684"/>
      <c r="D443" s="684"/>
      <c r="E443" s="684"/>
      <c r="F443" s="701"/>
      <c r="G443" s="701"/>
      <c r="H443" s="701"/>
      <c r="I443" s="701"/>
      <c r="J443" s="701"/>
      <c r="K443" s="701"/>
      <c r="L443" s="701"/>
      <c r="M443" s="701"/>
      <c r="N443" s="701"/>
      <c r="O443" s="701"/>
      <c r="P443" s="701"/>
      <c r="Q443" s="701"/>
      <c r="R443" s="701"/>
      <c r="S443" s="701"/>
      <c r="T443" s="70"/>
      <c r="U443" s="70"/>
      <c r="V443" s="70"/>
      <c r="W443" s="70"/>
      <c r="X443" s="70"/>
      <c r="Y443" s="70"/>
      <c r="Z443" s="70"/>
    </row>
    <row r="444" customFormat="false" ht="12.75" hidden="false" customHeight="false" outlineLevel="1" collapsed="false">
      <c r="A444" s="395"/>
      <c r="B444" s="684"/>
      <c r="C444" s="684"/>
      <c r="D444" s="684"/>
      <c r="E444" s="684"/>
      <c r="F444" s="701"/>
      <c r="G444" s="701"/>
      <c r="H444" s="701"/>
      <c r="I444" s="701"/>
      <c r="J444" s="701"/>
      <c r="K444" s="701"/>
      <c r="L444" s="701"/>
      <c r="M444" s="701"/>
      <c r="N444" s="701"/>
      <c r="O444" s="701"/>
      <c r="P444" s="701"/>
      <c r="Q444" s="701"/>
      <c r="R444" s="701"/>
      <c r="S444" s="701"/>
      <c r="T444" s="70"/>
      <c r="U444" s="70"/>
      <c r="V444" s="70"/>
      <c r="W444" s="70"/>
      <c r="X444" s="70"/>
      <c r="Y444" s="70"/>
      <c r="Z444" s="70"/>
    </row>
    <row r="445" customFormat="false" ht="12.75" hidden="false" customHeight="false" outlineLevel="1" collapsed="false">
      <c r="A445" s="395"/>
      <c r="B445" s="684"/>
      <c r="C445" s="684"/>
      <c r="D445" s="684"/>
      <c r="E445" s="684"/>
      <c r="F445" s="702"/>
      <c r="G445" s="702"/>
      <c r="H445" s="102"/>
      <c r="I445" s="102"/>
      <c r="J445" s="102"/>
      <c r="K445" s="102"/>
      <c r="L445" s="102"/>
      <c r="M445" s="102"/>
      <c r="N445" s="102"/>
      <c r="O445" s="102"/>
      <c r="P445" s="102"/>
      <c r="Q445" s="102"/>
      <c r="R445" s="102"/>
      <c r="S445" s="102"/>
      <c r="T445" s="70"/>
      <c r="U445" s="70"/>
      <c r="V445" s="70"/>
      <c r="W445" s="70"/>
      <c r="X445" s="70"/>
      <c r="Y445" s="70"/>
      <c r="Z445" s="70"/>
    </row>
    <row r="446" customFormat="false" ht="12.75" hidden="false" customHeight="false" outlineLevel="1" collapsed="false">
      <c r="A446" s="70"/>
      <c r="B446" s="70"/>
      <c r="C446" s="70"/>
      <c r="D446" s="70"/>
      <c r="E446" s="70"/>
      <c r="F446" s="70"/>
      <c r="G446" s="70"/>
      <c r="H446" s="70"/>
      <c r="I446" s="70"/>
      <c r="J446" s="70"/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  <c r="Z446" s="70"/>
    </row>
    <row r="447" customFormat="false" ht="18.75" hidden="false" customHeight="false" outlineLevel="1" collapsed="false">
      <c r="A447" s="682"/>
      <c r="B447" s="70"/>
      <c r="C447" s="70"/>
      <c r="D447" s="70"/>
      <c r="E447" s="70"/>
      <c r="F447" s="70"/>
      <c r="G447" s="70"/>
      <c r="H447" s="70"/>
      <c r="I447" s="70"/>
      <c r="J447" s="70"/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  <c r="Z447" s="70"/>
    </row>
    <row r="448" customFormat="false" ht="12.75" hidden="false" customHeight="false" outlineLevel="1" collapsed="false">
      <c r="A448" s="395"/>
      <c r="B448" s="70"/>
      <c r="C448" s="70"/>
      <c r="D448" s="70"/>
      <c r="E448" s="70"/>
      <c r="F448" s="70"/>
      <c r="G448" s="70"/>
      <c r="H448" s="70"/>
      <c r="I448" s="70"/>
      <c r="J448" s="70"/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  <c r="Z448" s="70"/>
    </row>
    <row r="449" customFormat="false" ht="12.75" hidden="false" customHeight="false" outlineLevel="1" collapsed="false">
      <c r="A449" s="70"/>
      <c r="B449" s="70"/>
      <c r="C449" s="70"/>
      <c r="D449" s="70"/>
      <c r="E449" s="70"/>
      <c r="F449" s="70"/>
      <c r="G449" s="70"/>
      <c r="H449" s="70"/>
      <c r="I449" s="70"/>
      <c r="J449" s="70"/>
      <c r="K449" s="70"/>
      <c r="L449" s="70"/>
      <c r="M449" s="70"/>
      <c r="N449" s="70"/>
      <c r="O449" s="70"/>
      <c r="P449" s="70"/>
      <c r="Q449" s="70"/>
      <c r="R449" s="70"/>
      <c r="S449" s="70"/>
      <c r="T449" s="70"/>
      <c r="U449" s="70"/>
      <c r="V449" s="70"/>
      <c r="W449" s="70"/>
      <c r="X449" s="70"/>
      <c r="Y449" s="70"/>
      <c r="Z449" s="70"/>
    </row>
    <row r="450" customFormat="false" ht="12.75" hidden="false" customHeight="false" outlineLevel="1" collapsed="false">
      <c r="A450" s="70"/>
      <c r="B450" s="70"/>
      <c r="C450" s="70"/>
      <c r="D450" s="70"/>
      <c r="E450" s="70"/>
      <c r="F450" s="70"/>
      <c r="G450" s="70"/>
      <c r="H450" s="70"/>
      <c r="I450" s="70"/>
      <c r="J450" s="70"/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  <c r="Z450" s="70"/>
    </row>
    <row r="451" customFormat="false" ht="12.75" hidden="false" customHeight="false" outlineLevel="1" collapsed="false">
      <c r="A451" s="322"/>
      <c r="B451" s="321"/>
      <c r="C451" s="321"/>
      <c r="D451" s="321"/>
      <c r="E451" s="321"/>
      <c r="F451" s="321"/>
      <c r="G451" s="321"/>
      <c r="H451" s="321"/>
      <c r="I451" s="321"/>
      <c r="J451" s="321"/>
      <c r="K451" s="321"/>
      <c r="L451" s="321"/>
      <c r="M451" s="321"/>
      <c r="N451" s="321"/>
      <c r="O451" s="321"/>
      <c r="P451" s="321"/>
      <c r="Q451" s="321"/>
      <c r="R451" s="321"/>
      <c r="S451" s="321"/>
      <c r="T451" s="321"/>
      <c r="U451" s="321"/>
      <c r="V451" s="321"/>
      <c r="W451" s="321"/>
      <c r="X451" s="321"/>
      <c r="Y451" s="321"/>
      <c r="Z451" s="321"/>
    </row>
    <row r="452" customFormat="false" ht="12.75" hidden="false" customHeight="false" outlineLevel="1" collapsed="false">
      <c r="A452" s="70"/>
      <c r="B452" s="70"/>
      <c r="C452" s="70"/>
      <c r="D452" s="70"/>
      <c r="E452" s="70"/>
      <c r="F452" s="70"/>
      <c r="G452" s="70"/>
      <c r="H452" s="674"/>
      <c r="I452" s="70"/>
      <c r="J452" s="70"/>
      <c r="K452" s="70"/>
      <c r="L452" s="70"/>
      <c r="M452" s="70"/>
      <c r="N452" s="70"/>
      <c r="O452" s="70"/>
      <c r="P452" s="70"/>
      <c r="Q452" s="70"/>
      <c r="R452" s="70"/>
      <c r="S452" s="70"/>
      <c r="T452" s="70"/>
      <c r="U452" s="70"/>
      <c r="V452" s="70"/>
      <c r="W452" s="70"/>
      <c r="X452" s="70"/>
      <c r="Y452" s="70"/>
      <c r="Z452" s="70"/>
    </row>
    <row r="453" customFormat="false" ht="12.75" hidden="false" customHeight="false" outlineLevel="1" collapsed="false">
      <c r="A453" s="395"/>
      <c r="B453" s="70"/>
      <c r="C453" s="70"/>
      <c r="D453" s="70"/>
      <c r="E453" s="70"/>
      <c r="F453" s="70"/>
      <c r="G453" s="70"/>
      <c r="H453" s="674"/>
      <c r="I453" s="686"/>
      <c r="J453" s="686"/>
      <c r="K453" s="686"/>
      <c r="L453" s="686"/>
      <c r="M453" s="686"/>
      <c r="N453" s="686"/>
      <c r="O453" s="686"/>
      <c r="P453" s="686"/>
      <c r="Q453" s="686"/>
      <c r="R453" s="686"/>
      <c r="S453" s="686"/>
      <c r="T453" s="70"/>
      <c r="U453" s="70"/>
      <c r="V453" s="70"/>
      <c r="W453" s="70"/>
      <c r="X453" s="70"/>
      <c r="Y453" s="70"/>
      <c r="Z453" s="70"/>
    </row>
    <row r="454" customFormat="false" ht="12.75" hidden="false" customHeight="false" outlineLevel="1" collapsed="false">
      <c r="A454" s="70"/>
      <c r="B454" s="70"/>
      <c r="C454" s="70"/>
      <c r="D454" s="70"/>
      <c r="E454" s="70"/>
      <c r="F454" s="70"/>
      <c r="G454" s="70"/>
      <c r="H454" s="674"/>
      <c r="I454" s="674"/>
      <c r="J454" s="674"/>
      <c r="K454" s="674"/>
      <c r="L454" s="674"/>
      <c r="M454" s="674"/>
      <c r="N454" s="674"/>
      <c r="O454" s="674"/>
      <c r="P454" s="674"/>
      <c r="Q454" s="674"/>
      <c r="R454" s="674"/>
      <c r="S454" s="674"/>
      <c r="T454" s="70"/>
      <c r="U454" s="70"/>
      <c r="V454" s="70"/>
      <c r="W454" s="70"/>
      <c r="X454" s="70"/>
      <c r="Y454" s="70"/>
      <c r="Z454" s="70"/>
    </row>
    <row r="455" customFormat="false" ht="12.75" hidden="false" customHeight="false" outlineLevel="1" collapsed="false">
      <c r="A455" s="70"/>
      <c r="B455" s="70"/>
      <c r="C455" s="70"/>
      <c r="D455" s="70"/>
      <c r="E455" s="70"/>
      <c r="F455" s="70"/>
      <c r="G455" s="70"/>
      <c r="H455" s="674"/>
      <c r="I455" s="686"/>
      <c r="J455" s="686"/>
      <c r="K455" s="686"/>
      <c r="L455" s="686"/>
      <c r="M455" s="686"/>
      <c r="N455" s="686"/>
      <c r="O455" s="686"/>
      <c r="P455" s="686"/>
      <c r="Q455" s="686"/>
      <c r="R455" s="686"/>
      <c r="S455" s="686"/>
      <c r="T455" s="70"/>
      <c r="U455" s="70"/>
      <c r="V455" s="70"/>
      <c r="W455" s="70"/>
      <c r="X455" s="70"/>
      <c r="Y455" s="70"/>
      <c r="Z455" s="70"/>
    </row>
    <row r="456" customFormat="false" ht="12.75" hidden="false" customHeight="false" outlineLevel="1" collapsed="false">
      <c r="A456" s="70"/>
      <c r="B456" s="70"/>
      <c r="C456" s="70"/>
      <c r="D456" s="70"/>
      <c r="E456" s="70"/>
      <c r="F456" s="70"/>
      <c r="G456" s="70"/>
      <c r="H456" s="674"/>
      <c r="I456" s="674"/>
      <c r="J456" s="674"/>
      <c r="K456" s="674"/>
      <c r="L456" s="674"/>
      <c r="M456" s="674"/>
      <c r="N456" s="674"/>
      <c r="O456" s="674"/>
      <c r="P456" s="674"/>
      <c r="Q456" s="674"/>
      <c r="R456" s="674"/>
      <c r="S456" s="674"/>
      <c r="T456" s="70"/>
      <c r="U456" s="70"/>
      <c r="V456" s="70"/>
      <c r="W456" s="70"/>
      <c r="X456" s="70"/>
      <c r="Y456" s="70"/>
      <c r="Z456" s="70"/>
    </row>
    <row r="457" customFormat="false" ht="12.75" hidden="false" customHeight="false" outlineLevel="1" collapsed="false">
      <c r="A457" s="70"/>
      <c r="B457" s="70"/>
      <c r="C457" s="70"/>
      <c r="D457" s="70"/>
      <c r="E457" s="70"/>
      <c r="F457" s="70"/>
      <c r="G457" s="70"/>
      <c r="H457" s="674"/>
      <c r="I457" s="674"/>
      <c r="J457" s="674"/>
      <c r="K457" s="674"/>
      <c r="L457" s="674"/>
      <c r="M457" s="674"/>
      <c r="N457" s="674"/>
      <c r="O457" s="674"/>
      <c r="P457" s="674"/>
      <c r="Q457" s="674"/>
      <c r="R457" s="674"/>
      <c r="S457" s="674"/>
      <c r="T457" s="70"/>
      <c r="U457" s="70"/>
      <c r="V457" s="70"/>
      <c r="W457" s="70"/>
      <c r="X457" s="70"/>
      <c r="Y457" s="70"/>
      <c r="Z457" s="70"/>
    </row>
    <row r="458" customFormat="false" ht="12.75" hidden="false" customHeight="false" outlineLevel="1" collapsed="false">
      <c r="A458" s="695"/>
      <c r="B458" s="70"/>
      <c r="C458" s="70"/>
      <c r="D458" s="70"/>
      <c r="E458" s="70"/>
      <c r="F458" s="70"/>
      <c r="G458" s="70"/>
      <c r="H458" s="674"/>
      <c r="I458" s="102"/>
      <c r="J458" s="102"/>
      <c r="K458" s="102"/>
      <c r="L458" s="102"/>
      <c r="M458" s="102"/>
      <c r="N458" s="102"/>
      <c r="O458" s="102"/>
      <c r="P458" s="102"/>
      <c r="Q458" s="102"/>
      <c r="R458" s="102"/>
      <c r="S458" s="102"/>
      <c r="T458" s="70"/>
      <c r="U458" s="70"/>
      <c r="V458" s="70"/>
      <c r="W458" s="70"/>
      <c r="X458" s="70"/>
      <c r="Y458" s="70"/>
      <c r="Z458" s="70"/>
    </row>
    <row r="459" customFormat="false" ht="12.75" hidden="false" customHeight="false" outlineLevel="1" collapsed="false">
      <c r="A459" s="695"/>
      <c r="B459" s="70"/>
      <c r="C459" s="70"/>
      <c r="D459" s="70"/>
      <c r="E459" s="70"/>
      <c r="F459" s="70"/>
      <c r="G459" s="70"/>
      <c r="H459" s="674"/>
      <c r="I459" s="102"/>
      <c r="J459" s="102"/>
      <c r="K459" s="102"/>
      <c r="L459" s="102"/>
      <c r="M459" s="102"/>
      <c r="N459" s="102"/>
      <c r="O459" s="102"/>
      <c r="P459" s="102"/>
      <c r="Q459" s="102"/>
      <c r="R459" s="102"/>
      <c r="S459" s="102"/>
      <c r="T459" s="70"/>
      <c r="U459" s="70"/>
      <c r="V459" s="70"/>
      <c r="W459" s="70"/>
      <c r="X459" s="70"/>
      <c r="Y459" s="70"/>
      <c r="Z459" s="70"/>
    </row>
    <row r="460" customFormat="false" ht="12.75" hidden="false" customHeight="false" outlineLevel="1" collapsed="false">
      <c r="A460" s="395"/>
      <c r="B460" s="70"/>
      <c r="C460" s="70"/>
      <c r="D460" s="70"/>
      <c r="E460" s="70"/>
      <c r="F460" s="70"/>
      <c r="G460" s="70"/>
      <c r="H460" s="674"/>
      <c r="I460" s="70"/>
      <c r="J460" s="70"/>
      <c r="K460" s="70"/>
      <c r="L460" s="70"/>
      <c r="M460" s="70"/>
      <c r="N460" s="70"/>
      <c r="O460" s="70"/>
      <c r="P460" s="70"/>
      <c r="Q460" s="70"/>
      <c r="R460" s="70"/>
      <c r="S460" s="70"/>
      <c r="T460" s="70"/>
      <c r="U460" s="70"/>
      <c r="V460" s="70"/>
      <c r="W460" s="70"/>
      <c r="X460" s="70"/>
      <c r="Y460" s="70"/>
      <c r="Z460" s="70"/>
    </row>
    <row r="461" customFormat="false" ht="12.75" hidden="false" customHeight="false" outlineLevel="1" collapsed="false">
      <c r="A461" s="70"/>
      <c r="B461" s="70"/>
      <c r="C461" s="70"/>
      <c r="D461" s="70"/>
      <c r="E461" s="702"/>
      <c r="F461" s="702"/>
      <c r="G461" s="702"/>
      <c r="H461" s="703"/>
      <c r="I461" s="703"/>
      <c r="J461" s="703"/>
      <c r="K461" s="703"/>
      <c r="L461" s="703"/>
      <c r="M461" s="703"/>
      <c r="N461" s="703"/>
      <c r="O461" s="703"/>
      <c r="P461" s="703"/>
      <c r="Q461" s="703"/>
      <c r="R461" s="703"/>
      <c r="S461" s="703"/>
      <c r="T461" s="70"/>
      <c r="U461" s="70"/>
      <c r="V461" s="70"/>
      <c r="W461" s="70"/>
      <c r="X461" s="70"/>
      <c r="Y461" s="70"/>
      <c r="Z461" s="70"/>
    </row>
    <row r="462" customFormat="false" ht="12.75" hidden="false" customHeight="false" outlineLevel="1" collapsed="false">
      <c r="A462" s="70"/>
      <c r="B462" s="70"/>
      <c r="C462" s="70"/>
      <c r="D462" s="70"/>
      <c r="E462" s="70"/>
      <c r="F462" s="70"/>
      <c r="G462" s="70"/>
      <c r="H462" s="674"/>
      <c r="I462" s="70"/>
      <c r="J462" s="70"/>
      <c r="K462" s="70"/>
      <c r="L462" s="70"/>
      <c r="M462" s="70"/>
      <c r="N462" s="70"/>
      <c r="O462" s="70"/>
      <c r="P462" s="70"/>
      <c r="Q462" s="70"/>
      <c r="R462" s="70"/>
      <c r="S462" s="70"/>
      <c r="T462" s="70"/>
      <c r="U462" s="70"/>
      <c r="V462" s="70"/>
      <c r="W462" s="70"/>
      <c r="X462" s="70"/>
      <c r="Y462" s="70"/>
      <c r="Z462" s="70"/>
    </row>
    <row r="463" customFormat="false" ht="12.75" hidden="false" customHeight="false" outlineLevel="1" collapsed="false">
      <c r="A463" s="395"/>
      <c r="B463" s="70"/>
      <c r="C463" s="70"/>
      <c r="D463" s="70"/>
      <c r="E463" s="70"/>
      <c r="F463" s="70"/>
      <c r="G463" s="70"/>
      <c r="H463" s="674"/>
      <c r="I463" s="399"/>
      <c r="J463" s="399"/>
      <c r="K463" s="399"/>
      <c r="L463" s="399"/>
      <c r="M463" s="399"/>
      <c r="N463" s="399"/>
      <c r="O463" s="399"/>
      <c r="P463" s="399"/>
      <c r="Q463" s="399"/>
      <c r="R463" s="399"/>
      <c r="S463" s="399"/>
      <c r="T463" s="70"/>
      <c r="U463" s="70"/>
      <c r="V463" s="70"/>
      <c r="W463" s="70"/>
      <c r="X463" s="70"/>
      <c r="Y463" s="70"/>
      <c r="Z463" s="70"/>
    </row>
    <row r="464" customFormat="false" ht="12.75" hidden="false" customHeight="false" outlineLevel="1" collapsed="false">
      <c r="A464" s="70"/>
      <c r="B464" s="704"/>
      <c r="C464" s="704"/>
      <c r="D464" s="704"/>
      <c r="E464" s="70"/>
      <c r="F464" s="70"/>
      <c r="G464" s="70"/>
      <c r="H464" s="674"/>
      <c r="I464" s="102"/>
      <c r="J464" s="102"/>
      <c r="K464" s="102"/>
      <c r="L464" s="102"/>
      <c r="M464" s="102"/>
      <c r="N464" s="102"/>
      <c r="O464" s="102"/>
      <c r="P464" s="102"/>
      <c r="Q464" s="102"/>
      <c r="R464" s="102"/>
      <c r="S464" s="102"/>
      <c r="T464" s="70"/>
      <c r="U464" s="70"/>
      <c r="V464" s="70"/>
      <c r="W464" s="70"/>
      <c r="X464" s="70"/>
      <c r="Y464" s="70"/>
      <c r="Z464" s="70"/>
    </row>
    <row r="465" customFormat="false" ht="12.75" hidden="false" customHeight="false" outlineLevel="1" collapsed="false">
      <c r="A465" s="395"/>
      <c r="B465" s="70"/>
      <c r="C465" s="70"/>
      <c r="D465" s="70"/>
      <c r="E465" s="70"/>
      <c r="F465" s="70"/>
      <c r="G465" s="70"/>
      <c r="H465" s="674"/>
      <c r="I465" s="102"/>
      <c r="J465" s="102"/>
      <c r="K465" s="102"/>
      <c r="L465" s="102"/>
      <c r="M465" s="102"/>
      <c r="N465" s="102"/>
      <c r="O465" s="102"/>
      <c r="P465" s="102"/>
      <c r="Q465" s="102"/>
      <c r="R465" s="102"/>
      <c r="S465" s="102"/>
      <c r="T465" s="70"/>
      <c r="U465" s="70"/>
      <c r="V465" s="70"/>
      <c r="W465" s="70"/>
      <c r="X465" s="70"/>
      <c r="Y465" s="70"/>
      <c r="Z465" s="70"/>
    </row>
    <row r="466" customFormat="false" ht="12.75" hidden="false" customHeight="false" outlineLevel="1" collapsed="false">
      <c r="A466" s="70"/>
      <c r="B466" s="70"/>
      <c r="C466" s="70"/>
      <c r="D466" s="70"/>
      <c r="E466" s="70"/>
      <c r="F466" s="70"/>
      <c r="G466" s="70"/>
      <c r="H466" s="70"/>
      <c r="I466" s="70"/>
      <c r="J466" s="70"/>
      <c r="K466" s="70"/>
      <c r="L466" s="70"/>
      <c r="M466" s="70"/>
      <c r="N466" s="70"/>
      <c r="O466" s="70"/>
      <c r="P466" s="70"/>
      <c r="Q466" s="70"/>
      <c r="R466" s="70"/>
      <c r="S466" s="70"/>
      <c r="T466" s="70"/>
      <c r="U466" s="70"/>
      <c r="V466" s="70"/>
      <c r="W466" s="70"/>
      <c r="X466" s="70"/>
      <c r="Y466" s="70"/>
      <c r="Z466" s="70"/>
    </row>
    <row r="467" customFormat="false" ht="12.75" hidden="false" customHeight="false" outlineLevel="1" collapsed="false">
      <c r="A467" s="70"/>
      <c r="B467" s="70"/>
      <c r="C467" s="70"/>
      <c r="D467" s="70"/>
      <c r="E467" s="70"/>
      <c r="F467" s="70"/>
      <c r="G467" s="70"/>
      <c r="H467" s="70"/>
      <c r="I467" s="70"/>
      <c r="J467" s="70"/>
      <c r="K467" s="70"/>
      <c r="L467" s="70"/>
      <c r="M467" s="70"/>
      <c r="N467" s="70"/>
      <c r="O467" s="70"/>
      <c r="P467" s="70"/>
      <c r="Q467" s="70"/>
      <c r="R467" s="70"/>
      <c r="S467" s="70"/>
      <c r="T467" s="70"/>
      <c r="U467" s="70"/>
      <c r="V467" s="70"/>
      <c r="W467" s="70"/>
      <c r="X467" s="70"/>
      <c r="Y467" s="70"/>
      <c r="Z467" s="70"/>
    </row>
    <row r="468" customFormat="false" ht="18.75" hidden="false" customHeight="false" outlineLevel="1" collapsed="false">
      <c r="A468" s="705"/>
      <c r="B468" s="706"/>
      <c r="C468" s="706"/>
      <c r="D468" s="706"/>
      <c r="E468" s="706"/>
      <c r="F468" s="706"/>
      <c r="G468" s="706"/>
      <c r="H468" s="706"/>
      <c r="I468" s="707"/>
      <c r="J468" s="707"/>
      <c r="K468" s="707"/>
      <c r="L468" s="707"/>
      <c r="M468" s="707"/>
      <c r="N468" s="707"/>
      <c r="O468" s="707"/>
      <c r="P468" s="707"/>
      <c r="Q468" s="707"/>
      <c r="R468" s="707"/>
      <c r="S468" s="707"/>
      <c r="T468" s="707"/>
      <c r="U468" s="707"/>
      <c r="V468" s="707"/>
      <c r="W468" s="707"/>
      <c r="X468" s="707"/>
      <c r="Y468" s="707"/>
      <c r="Z468" s="707"/>
      <c r="AA468" s="707"/>
      <c r="AB468" s="707"/>
      <c r="AC468" s="707"/>
      <c r="AD468" s="707"/>
      <c r="AE468" s="707"/>
      <c r="AF468" s="707"/>
      <c r="AG468" s="707"/>
      <c r="AH468" s="707"/>
      <c r="AI468" s="707"/>
      <c r="AJ468" s="707"/>
      <c r="AK468" s="707"/>
      <c r="AL468" s="707"/>
      <c r="AM468" s="707"/>
      <c r="AN468" s="707"/>
      <c r="AO468" s="707"/>
      <c r="AP468" s="707"/>
      <c r="AQ468" s="707"/>
      <c r="AR468" s="707"/>
      <c r="AS468" s="707"/>
      <c r="AT468" s="707"/>
      <c r="AU468" s="707"/>
      <c r="AV468" s="707"/>
      <c r="AW468" s="707"/>
      <c r="AX468" s="707"/>
      <c r="AY468" s="707"/>
      <c r="AZ468" s="707"/>
      <c r="BA468" s="707"/>
      <c r="BB468" s="707"/>
      <c r="BC468" s="707"/>
      <c r="BD468" s="707"/>
      <c r="BE468" s="707"/>
      <c r="BF468" s="707"/>
      <c r="BG468" s="707"/>
      <c r="BH468" s="707"/>
      <c r="BI468" s="707"/>
      <c r="BJ468" s="707"/>
      <c r="BK468" s="707"/>
      <c r="BL468" s="707"/>
      <c r="BM468" s="707"/>
      <c r="BN468" s="707"/>
      <c r="BO468" s="707"/>
      <c r="BP468" s="707"/>
      <c r="BQ468" s="707"/>
      <c r="BR468" s="707"/>
      <c r="BS468" s="707"/>
      <c r="BT468" s="707"/>
      <c r="BU468" s="707"/>
      <c r="BV468" s="707"/>
      <c r="BW468" s="707"/>
      <c r="BX468" s="707"/>
      <c r="BY468" s="707"/>
      <c r="BZ468" s="707"/>
      <c r="CA468" s="707"/>
      <c r="CB468" s="707"/>
      <c r="CC468" s="707"/>
      <c r="CD468" s="707"/>
      <c r="CE468" s="707"/>
      <c r="CF468" s="707"/>
      <c r="CG468" s="707"/>
      <c r="CH468" s="707"/>
      <c r="CI468" s="707"/>
      <c r="CJ468" s="707"/>
      <c r="CK468" s="707"/>
      <c r="CL468" s="707"/>
      <c r="CM468" s="707"/>
      <c r="CN468" s="707"/>
      <c r="CO468" s="707"/>
      <c r="CP468" s="707"/>
      <c r="CQ468" s="707"/>
      <c r="CR468" s="707"/>
      <c r="CS468" s="707"/>
      <c r="CT468" s="707"/>
      <c r="CU468" s="707"/>
      <c r="CV468" s="707"/>
      <c r="CW468" s="707"/>
      <c r="CX468" s="707"/>
      <c r="CY468" s="707"/>
      <c r="CZ468" s="707"/>
      <c r="DA468" s="707"/>
      <c r="DB468" s="707"/>
      <c r="DC468" s="707"/>
      <c r="DD468" s="707"/>
      <c r="DE468" s="707"/>
      <c r="DF468" s="707"/>
      <c r="DG468" s="707"/>
      <c r="DH468" s="707"/>
      <c r="DI468" s="707"/>
      <c r="DJ468" s="707"/>
      <c r="DK468" s="707"/>
      <c r="DL468" s="707"/>
      <c r="DM468" s="707"/>
      <c r="DN468" s="707"/>
      <c r="DO468" s="707"/>
      <c r="DP468" s="707"/>
      <c r="DQ468" s="707"/>
      <c r="DR468" s="707"/>
      <c r="DS468" s="707"/>
      <c r="DT468" s="707"/>
      <c r="DU468" s="707"/>
      <c r="DV468" s="707"/>
      <c r="DW468" s="707"/>
      <c r="DX468" s="707"/>
      <c r="DY468" s="707"/>
      <c r="DZ468" s="707"/>
      <c r="EA468" s="707"/>
      <c r="EB468" s="707"/>
      <c r="EC468" s="707"/>
      <c r="ED468" s="707"/>
      <c r="EE468" s="707"/>
      <c r="EF468" s="707"/>
      <c r="EG468" s="707"/>
      <c r="EH468" s="707"/>
      <c r="EI468" s="707"/>
      <c r="EJ468" s="707"/>
      <c r="EK468" s="707"/>
      <c r="EL468" s="707"/>
      <c r="EM468" s="707"/>
      <c r="EN468" s="707"/>
      <c r="EO468" s="707"/>
      <c r="EP468" s="707"/>
      <c r="EQ468" s="707"/>
      <c r="ER468" s="707"/>
      <c r="ES468" s="707"/>
      <c r="ET468" s="707"/>
      <c r="EU468" s="707"/>
      <c r="EV468" s="707"/>
      <c r="EW468" s="707"/>
      <c r="EX468" s="707"/>
      <c r="EY468" s="707"/>
      <c r="EZ468" s="707"/>
      <c r="FA468" s="707"/>
      <c r="FB468" s="707"/>
      <c r="FC468" s="707"/>
      <c r="FD468" s="707"/>
      <c r="FE468" s="707"/>
      <c r="FF468" s="707"/>
      <c r="FG468" s="707"/>
      <c r="FH468" s="707"/>
      <c r="FI468" s="707"/>
      <c r="FJ468" s="707"/>
      <c r="FK468" s="707"/>
      <c r="FL468" s="707"/>
      <c r="FM468" s="707"/>
      <c r="FN468" s="707"/>
      <c r="FO468" s="707"/>
      <c r="FP468" s="707"/>
      <c r="FQ468" s="707"/>
      <c r="FR468" s="707"/>
      <c r="FS468" s="707"/>
      <c r="FT468" s="707"/>
      <c r="FU468" s="707"/>
      <c r="FV468" s="707"/>
      <c r="FW468" s="707"/>
      <c r="FX468" s="707"/>
      <c r="FY468" s="707"/>
      <c r="FZ468" s="707"/>
      <c r="GA468" s="707"/>
      <c r="GB468" s="707"/>
      <c r="GC468" s="707"/>
      <c r="GD468" s="707"/>
      <c r="GE468" s="707"/>
      <c r="GF468" s="707"/>
      <c r="GG468" s="707"/>
      <c r="GH468" s="707"/>
      <c r="GI468" s="707"/>
      <c r="GJ468" s="707"/>
      <c r="GK468" s="707"/>
      <c r="GL468" s="707"/>
      <c r="GM468" s="707"/>
      <c r="GN468" s="707"/>
      <c r="GO468" s="707"/>
      <c r="GP468" s="707"/>
      <c r="GQ468" s="707"/>
      <c r="GR468" s="707"/>
      <c r="GS468" s="707"/>
      <c r="GT468" s="707"/>
      <c r="GU468" s="707"/>
      <c r="GV468" s="707"/>
      <c r="GW468" s="707"/>
      <c r="GX468" s="707"/>
      <c r="GY468" s="707"/>
      <c r="GZ468" s="707"/>
      <c r="HA468" s="707"/>
      <c r="HB468" s="707"/>
      <c r="HC468" s="707"/>
      <c r="HD468" s="707"/>
      <c r="HE468" s="707"/>
      <c r="HF468" s="707"/>
      <c r="HG468" s="707"/>
      <c r="HH468" s="707"/>
      <c r="HI468" s="707"/>
      <c r="HJ468" s="707"/>
      <c r="HK468" s="707"/>
      <c r="HL468" s="707"/>
      <c r="HM468" s="707"/>
      <c r="HN468" s="707"/>
      <c r="HO468" s="707"/>
      <c r="HP468" s="707"/>
      <c r="HQ468" s="707"/>
      <c r="HR468" s="707"/>
      <c r="HS468" s="707"/>
      <c r="HT468" s="707"/>
      <c r="HU468" s="707"/>
      <c r="HV468" s="707"/>
      <c r="HW468" s="707"/>
      <c r="HX468" s="707"/>
      <c r="HY468" s="707"/>
      <c r="HZ468" s="707"/>
      <c r="IA468" s="707"/>
      <c r="IB468" s="707"/>
      <c r="IC468" s="707"/>
      <c r="ID468" s="707"/>
      <c r="IE468" s="707"/>
      <c r="IF468" s="707"/>
      <c r="IG468" s="707"/>
      <c r="IH468" s="707"/>
      <c r="II468" s="707"/>
      <c r="IJ468" s="707"/>
      <c r="IK468" s="707"/>
      <c r="IL468" s="707"/>
      <c r="IM468" s="707"/>
      <c r="IN468" s="707"/>
      <c r="IO468" s="707"/>
      <c r="IP468" s="707"/>
      <c r="IQ468" s="707"/>
      <c r="IR468" s="707"/>
      <c r="IS468" s="707"/>
      <c r="IT468" s="707"/>
      <c r="IU468" s="707"/>
      <c r="IV468" s="707"/>
      <c r="IW468" s="707"/>
    </row>
    <row r="469" customFormat="false" ht="12.75" hidden="false" customHeight="false" outlineLevel="1" collapsed="false">
      <c r="A469" s="706"/>
      <c r="B469" s="706"/>
      <c r="C469" s="706"/>
      <c r="D469" s="706"/>
      <c r="E469" s="706"/>
      <c r="F469" s="706"/>
      <c r="G469" s="708"/>
      <c r="H469" s="709"/>
      <c r="I469" s="706"/>
      <c r="J469" s="710"/>
      <c r="K469" s="707"/>
      <c r="L469" s="707"/>
      <c r="M469" s="707"/>
      <c r="N469" s="707"/>
      <c r="O469" s="707"/>
      <c r="P469" s="707"/>
      <c r="Q469" s="707"/>
      <c r="R469" s="707"/>
      <c r="S469" s="707"/>
      <c r="T469" s="707"/>
      <c r="U469" s="707"/>
      <c r="V469" s="707"/>
      <c r="W469" s="707"/>
      <c r="X469" s="707"/>
      <c r="Y469" s="707"/>
      <c r="Z469" s="707"/>
      <c r="AA469" s="707"/>
      <c r="AB469" s="707"/>
      <c r="AC469" s="707"/>
      <c r="AD469" s="707"/>
      <c r="AE469" s="707"/>
      <c r="AF469" s="707"/>
      <c r="AG469" s="707"/>
      <c r="AH469" s="707"/>
      <c r="AI469" s="707"/>
      <c r="AJ469" s="707"/>
      <c r="AK469" s="707"/>
      <c r="AL469" s="707"/>
      <c r="AM469" s="707"/>
      <c r="AN469" s="707"/>
      <c r="AO469" s="707"/>
      <c r="AP469" s="707"/>
      <c r="AQ469" s="707"/>
      <c r="AR469" s="707"/>
      <c r="AS469" s="707"/>
      <c r="AT469" s="707"/>
      <c r="AU469" s="707"/>
      <c r="AV469" s="707"/>
      <c r="AW469" s="707"/>
      <c r="AX469" s="707"/>
      <c r="AY469" s="707"/>
      <c r="AZ469" s="707"/>
      <c r="BA469" s="707"/>
      <c r="BB469" s="707"/>
      <c r="BC469" s="707"/>
      <c r="BD469" s="707"/>
      <c r="BE469" s="707"/>
      <c r="BF469" s="707"/>
      <c r="BG469" s="707"/>
      <c r="BH469" s="707"/>
      <c r="BI469" s="707"/>
      <c r="BJ469" s="707"/>
      <c r="BK469" s="707"/>
      <c r="BL469" s="707"/>
      <c r="BM469" s="707"/>
      <c r="BN469" s="707"/>
      <c r="BO469" s="707"/>
      <c r="BP469" s="707"/>
      <c r="BQ469" s="707"/>
      <c r="BR469" s="707"/>
      <c r="BS469" s="707"/>
      <c r="BT469" s="707"/>
      <c r="BU469" s="707"/>
      <c r="BV469" s="707"/>
      <c r="BW469" s="707"/>
      <c r="BX469" s="707"/>
      <c r="BY469" s="707"/>
      <c r="BZ469" s="707"/>
      <c r="CA469" s="707"/>
      <c r="CB469" s="707"/>
      <c r="CC469" s="707"/>
      <c r="CD469" s="707"/>
      <c r="CE469" s="707"/>
      <c r="CF469" s="707"/>
      <c r="CG469" s="707"/>
      <c r="CH469" s="707"/>
      <c r="CI469" s="707"/>
      <c r="CJ469" s="707"/>
      <c r="CK469" s="707"/>
      <c r="CL469" s="707"/>
      <c r="CM469" s="707"/>
      <c r="CN469" s="707"/>
      <c r="CO469" s="707"/>
      <c r="CP469" s="707"/>
      <c r="CQ469" s="707"/>
      <c r="CR469" s="707"/>
      <c r="CS469" s="707"/>
      <c r="CT469" s="707"/>
      <c r="CU469" s="707"/>
      <c r="CV469" s="707"/>
      <c r="CW469" s="707"/>
      <c r="CX469" s="707"/>
      <c r="CY469" s="707"/>
      <c r="CZ469" s="707"/>
      <c r="DA469" s="707"/>
      <c r="DB469" s="707"/>
      <c r="DC469" s="707"/>
      <c r="DD469" s="707"/>
      <c r="DE469" s="707"/>
      <c r="DF469" s="707"/>
      <c r="DG469" s="707"/>
      <c r="DH469" s="707"/>
      <c r="DI469" s="707"/>
      <c r="DJ469" s="707"/>
      <c r="DK469" s="707"/>
      <c r="DL469" s="707"/>
      <c r="DM469" s="707"/>
      <c r="DN469" s="707"/>
      <c r="DO469" s="707"/>
      <c r="DP469" s="707"/>
      <c r="DQ469" s="707"/>
      <c r="DR469" s="707"/>
      <c r="DS469" s="707"/>
      <c r="DT469" s="707"/>
      <c r="DU469" s="707"/>
      <c r="DV469" s="707"/>
      <c r="DW469" s="707"/>
      <c r="DX469" s="707"/>
      <c r="DY469" s="707"/>
      <c r="DZ469" s="707"/>
      <c r="EA469" s="707"/>
      <c r="EB469" s="707"/>
      <c r="EC469" s="707"/>
      <c r="ED469" s="707"/>
      <c r="EE469" s="707"/>
      <c r="EF469" s="707"/>
      <c r="EG469" s="707"/>
      <c r="EH469" s="707"/>
      <c r="EI469" s="707"/>
      <c r="EJ469" s="707"/>
      <c r="EK469" s="707"/>
      <c r="EL469" s="707"/>
      <c r="EM469" s="707"/>
      <c r="EN469" s="707"/>
      <c r="EO469" s="707"/>
      <c r="EP469" s="707"/>
      <c r="EQ469" s="707"/>
      <c r="ER469" s="707"/>
      <c r="ES469" s="707"/>
      <c r="ET469" s="707"/>
      <c r="EU469" s="707"/>
      <c r="EV469" s="707"/>
      <c r="EW469" s="707"/>
      <c r="EX469" s="707"/>
      <c r="EY469" s="707"/>
      <c r="EZ469" s="707"/>
      <c r="FA469" s="707"/>
      <c r="FB469" s="707"/>
      <c r="FC469" s="707"/>
      <c r="FD469" s="707"/>
      <c r="FE469" s="707"/>
      <c r="FF469" s="707"/>
      <c r="FG469" s="707"/>
      <c r="FH469" s="707"/>
      <c r="FI469" s="707"/>
      <c r="FJ469" s="707"/>
      <c r="FK469" s="707"/>
      <c r="FL469" s="707"/>
      <c r="FM469" s="707"/>
      <c r="FN469" s="707"/>
      <c r="FO469" s="707"/>
      <c r="FP469" s="707"/>
      <c r="FQ469" s="707"/>
      <c r="FR469" s="707"/>
      <c r="FS469" s="707"/>
      <c r="FT469" s="707"/>
      <c r="FU469" s="707"/>
      <c r="FV469" s="707"/>
      <c r="FW469" s="707"/>
      <c r="FX469" s="707"/>
      <c r="FY469" s="707"/>
      <c r="FZ469" s="707"/>
      <c r="GA469" s="707"/>
      <c r="GB469" s="707"/>
      <c r="GC469" s="707"/>
      <c r="GD469" s="707"/>
      <c r="GE469" s="707"/>
      <c r="GF469" s="707"/>
      <c r="GG469" s="707"/>
      <c r="GH469" s="707"/>
      <c r="GI469" s="707"/>
      <c r="GJ469" s="707"/>
      <c r="GK469" s="707"/>
      <c r="GL469" s="707"/>
      <c r="GM469" s="707"/>
      <c r="GN469" s="707"/>
      <c r="GO469" s="707"/>
      <c r="GP469" s="707"/>
      <c r="GQ469" s="707"/>
      <c r="GR469" s="707"/>
      <c r="GS469" s="707"/>
      <c r="GT469" s="707"/>
      <c r="GU469" s="707"/>
      <c r="GV469" s="707"/>
      <c r="GW469" s="707"/>
      <c r="GX469" s="707"/>
      <c r="GY469" s="707"/>
      <c r="GZ469" s="707"/>
      <c r="HA469" s="707"/>
      <c r="HB469" s="707"/>
      <c r="HC469" s="707"/>
      <c r="HD469" s="707"/>
      <c r="HE469" s="707"/>
      <c r="HF469" s="707"/>
      <c r="HG469" s="707"/>
      <c r="HH469" s="707"/>
      <c r="HI469" s="707"/>
      <c r="HJ469" s="707"/>
      <c r="HK469" s="707"/>
      <c r="HL469" s="707"/>
      <c r="HM469" s="707"/>
      <c r="HN469" s="707"/>
      <c r="HO469" s="707"/>
      <c r="HP469" s="707"/>
      <c r="HQ469" s="707"/>
      <c r="HR469" s="707"/>
      <c r="HS469" s="707"/>
      <c r="HT469" s="707"/>
      <c r="HU469" s="707"/>
      <c r="HV469" s="707"/>
      <c r="HW469" s="707"/>
      <c r="HX469" s="707"/>
      <c r="HY469" s="707"/>
      <c r="HZ469" s="707"/>
      <c r="IA469" s="707"/>
      <c r="IB469" s="707"/>
      <c r="IC469" s="707"/>
      <c r="ID469" s="707"/>
      <c r="IE469" s="707"/>
      <c r="IF469" s="707"/>
      <c r="IG469" s="707"/>
      <c r="IH469" s="707"/>
      <c r="II469" s="707"/>
      <c r="IJ469" s="707"/>
      <c r="IK469" s="707"/>
      <c r="IL469" s="707"/>
      <c r="IM469" s="707"/>
      <c r="IN469" s="707"/>
      <c r="IO469" s="707"/>
      <c r="IP469" s="707"/>
      <c r="IQ469" s="707"/>
      <c r="IR469" s="707"/>
      <c r="IS469" s="707"/>
      <c r="IT469" s="707"/>
      <c r="IU469" s="707"/>
      <c r="IV469" s="707"/>
      <c r="IW469" s="707"/>
    </row>
    <row r="470" customFormat="false" ht="12.75" hidden="false" customHeight="false" outlineLevel="1" collapsed="false">
      <c r="A470" s="706"/>
      <c r="B470" s="709"/>
      <c r="C470" s="709"/>
      <c r="D470" s="709"/>
      <c r="E470" s="709"/>
      <c r="F470" s="709"/>
      <c r="G470" s="711"/>
      <c r="H470" s="688"/>
      <c r="I470" s="688"/>
      <c r="J470" s="710"/>
      <c r="K470" s="707"/>
      <c r="L470" s="707"/>
      <c r="M470" s="707"/>
      <c r="N470" s="707"/>
      <c r="O470" s="707"/>
      <c r="P470" s="707"/>
      <c r="Q470" s="707"/>
      <c r="R470" s="707"/>
      <c r="S470" s="707"/>
      <c r="T470" s="707"/>
      <c r="U470" s="707"/>
      <c r="V470" s="707"/>
      <c r="W470" s="707"/>
      <c r="X470" s="707"/>
      <c r="Y470" s="707"/>
      <c r="Z470" s="707"/>
      <c r="AA470" s="707"/>
      <c r="AB470" s="707"/>
      <c r="AC470" s="707"/>
      <c r="AD470" s="707"/>
      <c r="AE470" s="707"/>
      <c r="AF470" s="707"/>
      <c r="AG470" s="707"/>
      <c r="AH470" s="707"/>
      <c r="AI470" s="707"/>
      <c r="AJ470" s="707"/>
      <c r="AK470" s="707"/>
      <c r="AL470" s="707"/>
      <c r="AM470" s="707"/>
      <c r="AN470" s="707"/>
      <c r="AO470" s="707"/>
      <c r="AP470" s="707"/>
      <c r="AQ470" s="707"/>
      <c r="AR470" s="707"/>
      <c r="AS470" s="707"/>
      <c r="AT470" s="707"/>
      <c r="AU470" s="707"/>
      <c r="AV470" s="707"/>
      <c r="AW470" s="707"/>
      <c r="AX470" s="707"/>
      <c r="AY470" s="707"/>
      <c r="AZ470" s="707"/>
      <c r="BA470" s="707"/>
      <c r="BB470" s="707"/>
      <c r="BC470" s="707"/>
      <c r="BD470" s="707"/>
      <c r="BE470" s="707"/>
      <c r="BF470" s="707"/>
      <c r="BG470" s="707"/>
      <c r="BH470" s="707"/>
      <c r="BI470" s="707"/>
      <c r="BJ470" s="707"/>
      <c r="BK470" s="707"/>
      <c r="BL470" s="707"/>
      <c r="BM470" s="707"/>
      <c r="BN470" s="707"/>
      <c r="BO470" s="707"/>
      <c r="BP470" s="707"/>
      <c r="BQ470" s="707"/>
      <c r="BR470" s="707"/>
      <c r="BS470" s="707"/>
      <c r="BT470" s="707"/>
      <c r="BU470" s="707"/>
      <c r="BV470" s="707"/>
      <c r="BW470" s="707"/>
      <c r="BX470" s="707"/>
      <c r="BY470" s="707"/>
      <c r="BZ470" s="707"/>
      <c r="CA470" s="707"/>
      <c r="CB470" s="707"/>
      <c r="CC470" s="707"/>
      <c r="CD470" s="707"/>
      <c r="CE470" s="707"/>
      <c r="CF470" s="707"/>
      <c r="CG470" s="707"/>
      <c r="CH470" s="707"/>
      <c r="CI470" s="707"/>
      <c r="CJ470" s="707"/>
      <c r="CK470" s="707"/>
      <c r="CL470" s="707"/>
      <c r="CM470" s="707"/>
      <c r="CN470" s="707"/>
      <c r="CO470" s="707"/>
      <c r="CP470" s="707"/>
      <c r="CQ470" s="707"/>
      <c r="CR470" s="707"/>
      <c r="CS470" s="707"/>
      <c r="CT470" s="707"/>
      <c r="CU470" s="707"/>
      <c r="CV470" s="707"/>
      <c r="CW470" s="707"/>
      <c r="CX470" s="707"/>
      <c r="CY470" s="707"/>
      <c r="CZ470" s="707"/>
      <c r="DA470" s="707"/>
      <c r="DB470" s="707"/>
      <c r="DC470" s="707"/>
      <c r="DD470" s="707"/>
      <c r="DE470" s="707"/>
      <c r="DF470" s="707"/>
      <c r="DG470" s="707"/>
      <c r="DH470" s="707"/>
      <c r="DI470" s="707"/>
      <c r="DJ470" s="707"/>
      <c r="DK470" s="707"/>
      <c r="DL470" s="707"/>
      <c r="DM470" s="707"/>
      <c r="DN470" s="707"/>
      <c r="DO470" s="707"/>
      <c r="DP470" s="707"/>
      <c r="DQ470" s="707"/>
      <c r="DR470" s="707"/>
      <c r="DS470" s="707"/>
      <c r="DT470" s="707"/>
      <c r="DU470" s="707"/>
      <c r="DV470" s="707"/>
      <c r="DW470" s="707"/>
      <c r="DX470" s="707"/>
      <c r="DY470" s="707"/>
      <c r="DZ470" s="707"/>
      <c r="EA470" s="707"/>
      <c r="EB470" s="707"/>
      <c r="EC470" s="707"/>
      <c r="ED470" s="707"/>
      <c r="EE470" s="707"/>
      <c r="EF470" s="707"/>
      <c r="EG470" s="707"/>
      <c r="EH470" s="707"/>
      <c r="EI470" s="707"/>
      <c r="EJ470" s="707"/>
      <c r="EK470" s="707"/>
      <c r="EL470" s="707"/>
      <c r="EM470" s="707"/>
      <c r="EN470" s="707"/>
      <c r="EO470" s="707"/>
      <c r="EP470" s="707"/>
      <c r="EQ470" s="707"/>
      <c r="ER470" s="707"/>
      <c r="ES470" s="707"/>
      <c r="ET470" s="707"/>
      <c r="EU470" s="707"/>
      <c r="EV470" s="707"/>
      <c r="EW470" s="707"/>
      <c r="EX470" s="707"/>
      <c r="EY470" s="707"/>
      <c r="EZ470" s="707"/>
      <c r="FA470" s="707"/>
      <c r="FB470" s="707"/>
      <c r="FC470" s="707"/>
      <c r="FD470" s="707"/>
      <c r="FE470" s="707"/>
      <c r="FF470" s="707"/>
      <c r="FG470" s="707"/>
      <c r="FH470" s="707"/>
      <c r="FI470" s="707"/>
      <c r="FJ470" s="707"/>
      <c r="FK470" s="707"/>
      <c r="FL470" s="707"/>
      <c r="FM470" s="707"/>
      <c r="FN470" s="707"/>
      <c r="FO470" s="707"/>
      <c r="FP470" s="707"/>
      <c r="FQ470" s="707"/>
      <c r="FR470" s="707"/>
      <c r="FS470" s="707"/>
      <c r="FT470" s="707"/>
      <c r="FU470" s="707"/>
      <c r="FV470" s="707"/>
      <c r="FW470" s="707"/>
      <c r="FX470" s="707"/>
      <c r="FY470" s="707"/>
      <c r="FZ470" s="707"/>
      <c r="GA470" s="707"/>
      <c r="GB470" s="707"/>
      <c r="GC470" s="707"/>
      <c r="GD470" s="707"/>
      <c r="GE470" s="707"/>
      <c r="GF470" s="707"/>
      <c r="GG470" s="707"/>
      <c r="GH470" s="707"/>
      <c r="GI470" s="707"/>
      <c r="GJ470" s="707"/>
      <c r="GK470" s="707"/>
      <c r="GL470" s="707"/>
      <c r="GM470" s="707"/>
      <c r="GN470" s="707"/>
      <c r="GO470" s="707"/>
      <c r="GP470" s="707"/>
      <c r="GQ470" s="707"/>
      <c r="GR470" s="707"/>
      <c r="GS470" s="707"/>
      <c r="GT470" s="707"/>
      <c r="GU470" s="707"/>
      <c r="GV470" s="707"/>
      <c r="GW470" s="707"/>
      <c r="GX470" s="707"/>
      <c r="GY470" s="707"/>
      <c r="GZ470" s="707"/>
      <c r="HA470" s="707"/>
      <c r="HB470" s="707"/>
      <c r="HC470" s="707"/>
      <c r="HD470" s="707"/>
      <c r="HE470" s="707"/>
      <c r="HF470" s="707"/>
      <c r="HG470" s="707"/>
      <c r="HH470" s="707"/>
      <c r="HI470" s="707"/>
      <c r="HJ470" s="707"/>
      <c r="HK470" s="707"/>
      <c r="HL470" s="707"/>
      <c r="HM470" s="707"/>
      <c r="HN470" s="707"/>
      <c r="HO470" s="707"/>
      <c r="HP470" s="707"/>
      <c r="HQ470" s="707"/>
      <c r="HR470" s="707"/>
      <c r="HS470" s="707"/>
      <c r="HT470" s="707"/>
      <c r="HU470" s="707"/>
      <c r="HV470" s="707"/>
      <c r="HW470" s="707"/>
      <c r="HX470" s="707"/>
      <c r="HY470" s="707"/>
      <c r="HZ470" s="707"/>
      <c r="IA470" s="707"/>
      <c r="IB470" s="707"/>
      <c r="IC470" s="707"/>
      <c r="ID470" s="707"/>
      <c r="IE470" s="707"/>
      <c r="IF470" s="707"/>
      <c r="IG470" s="707"/>
      <c r="IH470" s="707"/>
      <c r="II470" s="707"/>
      <c r="IJ470" s="707"/>
      <c r="IK470" s="707"/>
      <c r="IL470" s="707"/>
      <c r="IM470" s="707"/>
      <c r="IN470" s="707"/>
      <c r="IO470" s="707"/>
      <c r="IP470" s="707"/>
      <c r="IQ470" s="707"/>
      <c r="IR470" s="707"/>
      <c r="IS470" s="707"/>
      <c r="IT470" s="707"/>
      <c r="IU470" s="707"/>
      <c r="IV470" s="707"/>
      <c r="IW470" s="707"/>
    </row>
    <row r="471" customFormat="false" ht="12.75" hidden="false" customHeight="false" outlineLevel="1" collapsed="false">
      <c r="A471" s="706"/>
      <c r="B471" s="688"/>
      <c r="C471" s="688"/>
      <c r="D471" s="688"/>
      <c r="E471" s="688"/>
      <c r="F471" s="688"/>
      <c r="G471" s="688"/>
      <c r="H471" s="710"/>
      <c r="I471" s="688"/>
      <c r="J471" s="711"/>
      <c r="K471" s="707"/>
      <c r="L471" s="707"/>
      <c r="M471" s="707"/>
      <c r="N471" s="707"/>
      <c r="O471" s="707"/>
      <c r="P471" s="707"/>
      <c r="Q471" s="707"/>
      <c r="R471" s="707"/>
      <c r="S471" s="707"/>
      <c r="T471" s="707"/>
      <c r="U471" s="707"/>
      <c r="V471" s="707"/>
      <c r="W471" s="707"/>
      <c r="X471" s="707"/>
      <c r="Y471" s="707"/>
      <c r="Z471" s="707"/>
      <c r="AA471" s="707"/>
      <c r="AB471" s="707"/>
      <c r="AC471" s="707"/>
      <c r="AD471" s="707"/>
      <c r="AE471" s="707"/>
      <c r="AF471" s="707"/>
      <c r="AG471" s="707"/>
      <c r="AH471" s="707"/>
      <c r="AI471" s="707"/>
      <c r="AJ471" s="707"/>
      <c r="AK471" s="707"/>
      <c r="AL471" s="707"/>
      <c r="AM471" s="707"/>
      <c r="AN471" s="707"/>
      <c r="AO471" s="707"/>
      <c r="AP471" s="707"/>
      <c r="AQ471" s="707"/>
      <c r="AR471" s="707"/>
      <c r="AS471" s="707"/>
      <c r="AT471" s="707"/>
      <c r="AU471" s="707"/>
      <c r="AV471" s="707"/>
      <c r="AW471" s="707"/>
      <c r="AX471" s="707"/>
      <c r="AY471" s="707"/>
      <c r="AZ471" s="707"/>
      <c r="BA471" s="707"/>
      <c r="BB471" s="707"/>
      <c r="BC471" s="707"/>
      <c r="BD471" s="707"/>
      <c r="BE471" s="707"/>
      <c r="BF471" s="707"/>
      <c r="BG471" s="707"/>
      <c r="BH471" s="707"/>
      <c r="BI471" s="707"/>
      <c r="BJ471" s="707"/>
      <c r="BK471" s="707"/>
      <c r="BL471" s="707"/>
      <c r="BM471" s="707"/>
      <c r="BN471" s="707"/>
      <c r="BO471" s="707"/>
      <c r="BP471" s="707"/>
      <c r="BQ471" s="707"/>
      <c r="BR471" s="707"/>
      <c r="BS471" s="707"/>
      <c r="BT471" s="707"/>
      <c r="BU471" s="707"/>
      <c r="BV471" s="707"/>
      <c r="BW471" s="707"/>
      <c r="BX471" s="707"/>
      <c r="BY471" s="707"/>
      <c r="BZ471" s="707"/>
      <c r="CA471" s="707"/>
      <c r="CB471" s="707"/>
      <c r="CC471" s="707"/>
      <c r="CD471" s="707"/>
      <c r="CE471" s="707"/>
      <c r="CF471" s="707"/>
      <c r="CG471" s="707"/>
      <c r="CH471" s="707"/>
      <c r="CI471" s="707"/>
      <c r="CJ471" s="707"/>
      <c r="CK471" s="707"/>
      <c r="CL471" s="707"/>
      <c r="CM471" s="707"/>
      <c r="CN471" s="707"/>
      <c r="CO471" s="707"/>
      <c r="CP471" s="707"/>
      <c r="CQ471" s="707"/>
      <c r="CR471" s="707"/>
      <c r="CS471" s="707"/>
      <c r="CT471" s="707"/>
      <c r="CU471" s="707"/>
      <c r="CV471" s="707"/>
      <c r="CW471" s="707"/>
      <c r="CX471" s="707"/>
      <c r="CY471" s="707"/>
      <c r="CZ471" s="707"/>
      <c r="DA471" s="707"/>
      <c r="DB471" s="707"/>
      <c r="DC471" s="707"/>
      <c r="DD471" s="707"/>
      <c r="DE471" s="707"/>
      <c r="DF471" s="707"/>
      <c r="DG471" s="707"/>
      <c r="DH471" s="707"/>
      <c r="DI471" s="707"/>
      <c r="DJ471" s="707"/>
      <c r="DK471" s="707"/>
      <c r="DL471" s="707"/>
      <c r="DM471" s="707"/>
      <c r="DN471" s="707"/>
      <c r="DO471" s="707"/>
      <c r="DP471" s="707"/>
      <c r="DQ471" s="707"/>
      <c r="DR471" s="707"/>
      <c r="DS471" s="707"/>
      <c r="DT471" s="707"/>
      <c r="DU471" s="707"/>
      <c r="DV471" s="707"/>
      <c r="DW471" s="707"/>
      <c r="DX471" s="707"/>
      <c r="DY471" s="707"/>
      <c r="DZ471" s="707"/>
      <c r="EA471" s="707"/>
      <c r="EB471" s="707"/>
      <c r="EC471" s="707"/>
      <c r="ED471" s="707"/>
      <c r="EE471" s="707"/>
      <c r="EF471" s="707"/>
      <c r="EG471" s="707"/>
      <c r="EH471" s="707"/>
      <c r="EI471" s="707"/>
      <c r="EJ471" s="707"/>
      <c r="EK471" s="707"/>
      <c r="EL471" s="707"/>
      <c r="EM471" s="707"/>
      <c r="EN471" s="707"/>
      <c r="EO471" s="707"/>
      <c r="EP471" s="707"/>
      <c r="EQ471" s="707"/>
      <c r="ER471" s="707"/>
      <c r="ES471" s="707"/>
      <c r="ET471" s="707"/>
      <c r="EU471" s="707"/>
      <c r="EV471" s="707"/>
      <c r="EW471" s="707"/>
      <c r="EX471" s="707"/>
      <c r="EY471" s="707"/>
      <c r="EZ471" s="707"/>
      <c r="FA471" s="707"/>
      <c r="FB471" s="707"/>
      <c r="FC471" s="707"/>
      <c r="FD471" s="707"/>
      <c r="FE471" s="707"/>
      <c r="FF471" s="707"/>
      <c r="FG471" s="707"/>
      <c r="FH471" s="707"/>
      <c r="FI471" s="707"/>
      <c r="FJ471" s="707"/>
      <c r="FK471" s="707"/>
      <c r="FL471" s="707"/>
      <c r="FM471" s="707"/>
      <c r="FN471" s="707"/>
      <c r="FO471" s="707"/>
      <c r="FP471" s="707"/>
      <c r="FQ471" s="707"/>
      <c r="FR471" s="707"/>
      <c r="FS471" s="707"/>
      <c r="FT471" s="707"/>
      <c r="FU471" s="707"/>
      <c r="FV471" s="707"/>
      <c r="FW471" s="707"/>
      <c r="FX471" s="707"/>
      <c r="FY471" s="707"/>
      <c r="FZ471" s="707"/>
      <c r="GA471" s="707"/>
      <c r="GB471" s="707"/>
      <c r="GC471" s="707"/>
      <c r="GD471" s="707"/>
      <c r="GE471" s="707"/>
      <c r="GF471" s="707"/>
      <c r="GG471" s="707"/>
      <c r="GH471" s="707"/>
      <c r="GI471" s="707"/>
      <c r="GJ471" s="707"/>
      <c r="GK471" s="707"/>
      <c r="GL471" s="707"/>
      <c r="GM471" s="707"/>
      <c r="GN471" s="707"/>
      <c r="GO471" s="707"/>
      <c r="GP471" s="707"/>
      <c r="GQ471" s="707"/>
      <c r="GR471" s="707"/>
      <c r="GS471" s="707"/>
      <c r="GT471" s="707"/>
      <c r="GU471" s="707"/>
      <c r="GV471" s="707"/>
      <c r="GW471" s="707"/>
      <c r="GX471" s="707"/>
      <c r="GY471" s="707"/>
      <c r="GZ471" s="707"/>
      <c r="HA471" s="707"/>
      <c r="HB471" s="707"/>
      <c r="HC471" s="707"/>
      <c r="HD471" s="707"/>
      <c r="HE471" s="707"/>
      <c r="HF471" s="707"/>
      <c r="HG471" s="707"/>
      <c r="HH471" s="707"/>
      <c r="HI471" s="707"/>
      <c r="HJ471" s="707"/>
      <c r="HK471" s="707"/>
      <c r="HL471" s="707"/>
      <c r="HM471" s="707"/>
      <c r="HN471" s="707"/>
      <c r="HO471" s="707"/>
      <c r="HP471" s="707"/>
      <c r="HQ471" s="707"/>
      <c r="HR471" s="707"/>
      <c r="HS471" s="707"/>
      <c r="HT471" s="707"/>
      <c r="HU471" s="707"/>
      <c r="HV471" s="707"/>
      <c r="HW471" s="707"/>
      <c r="HX471" s="707"/>
      <c r="HY471" s="707"/>
      <c r="HZ471" s="707"/>
      <c r="IA471" s="707"/>
      <c r="IB471" s="707"/>
      <c r="IC471" s="707"/>
      <c r="ID471" s="707"/>
      <c r="IE471" s="707"/>
      <c r="IF471" s="707"/>
      <c r="IG471" s="707"/>
      <c r="IH471" s="707"/>
      <c r="II471" s="707"/>
      <c r="IJ471" s="707"/>
      <c r="IK471" s="707"/>
      <c r="IL471" s="707"/>
      <c r="IM471" s="707"/>
      <c r="IN471" s="707"/>
      <c r="IO471" s="707"/>
      <c r="IP471" s="707"/>
      <c r="IQ471" s="707"/>
      <c r="IR471" s="707"/>
      <c r="IS471" s="707"/>
      <c r="IT471" s="707"/>
      <c r="IU471" s="707"/>
      <c r="IV471" s="707"/>
      <c r="IW471" s="707"/>
    </row>
    <row r="472" customFormat="false" ht="12.75" hidden="false" customHeight="false" outlineLevel="1" collapsed="false">
      <c r="A472" s="712"/>
      <c r="B472" s="708"/>
      <c r="C472" s="708"/>
      <c r="D472" s="708"/>
      <c r="E472" s="708"/>
      <c r="F472" s="708"/>
      <c r="G472" s="708"/>
      <c r="H472" s="708"/>
      <c r="I472" s="708"/>
      <c r="J472" s="708"/>
      <c r="K472" s="708"/>
      <c r="L472" s="708"/>
      <c r="M472" s="708"/>
      <c r="N472" s="708"/>
      <c r="O472" s="708"/>
      <c r="P472" s="708"/>
      <c r="Q472" s="708"/>
      <c r="R472" s="708"/>
      <c r="S472" s="708"/>
      <c r="T472" s="708"/>
      <c r="U472" s="708"/>
      <c r="V472" s="708"/>
      <c r="W472" s="708"/>
      <c r="X472" s="708"/>
      <c r="Y472" s="708"/>
      <c r="Z472" s="708"/>
      <c r="AA472" s="707"/>
      <c r="AB472" s="707"/>
      <c r="AC472" s="707"/>
      <c r="AD472" s="707"/>
      <c r="AE472" s="707"/>
      <c r="AF472" s="707"/>
      <c r="AG472" s="707"/>
      <c r="AH472" s="707"/>
      <c r="AI472" s="707"/>
      <c r="AJ472" s="707"/>
      <c r="AK472" s="707"/>
      <c r="AL472" s="707"/>
      <c r="AM472" s="707"/>
      <c r="AN472" s="707"/>
      <c r="AO472" s="707"/>
      <c r="AP472" s="707"/>
      <c r="AQ472" s="707"/>
      <c r="AR472" s="707"/>
      <c r="AS472" s="707"/>
      <c r="AT472" s="707"/>
      <c r="AU472" s="707"/>
      <c r="AV472" s="707"/>
      <c r="AW472" s="707"/>
      <c r="AX472" s="707"/>
      <c r="AY472" s="707"/>
      <c r="AZ472" s="707"/>
      <c r="BA472" s="707"/>
      <c r="BB472" s="707"/>
      <c r="BC472" s="707"/>
      <c r="BD472" s="707"/>
      <c r="BE472" s="707"/>
      <c r="BF472" s="707"/>
      <c r="BG472" s="707"/>
      <c r="BH472" s="707"/>
      <c r="BI472" s="707"/>
      <c r="BJ472" s="707"/>
      <c r="BK472" s="707"/>
      <c r="BL472" s="707"/>
      <c r="BM472" s="707"/>
      <c r="BN472" s="707"/>
      <c r="BO472" s="707"/>
      <c r="BP472" s="707"/>
      <c r="BQ472" s="707"/>
      <c r="BR472" s="707"/>
      <c r="BS472" s="707"/>
      <c r="BT472" s="707"/>
      <c r="BU472" s="707"/>
      <c r="BV472" s="707"/>
      <c r="BW472" s="707"/>
      <c r="BX472" s="707"/>
      <c r="BY472" s="707"/>
      <c r="BZ472" s="707"/>
      <c r="CA472" s="707"/>
      <c r="CB472" s="707"/>
      <c r="CC472" s="707"/>
      <c r="CD472" s="707"/>
      <c r="CE472" s="707"/>
      <c r="CF472" s="707"/>
      <c r="CG472" s="707"/>
      <c r="CH472" s="707"/>
      <c r="CI472" s="707"/>
      <c r="CJ472" s="707"/>
      <c r="CK472" s="707"/>
      <c r="CL472" s="707"/>
      <c r="CM472" s="707"/>
      <c r="CN472" s="707"/>
      <c r="CO472" s="707"/>
      <c r="CP472" s="707"/>
      <c r="CQ472" s="707"/>
      <c r="CR472" s="707"/>
      <c r="CS472" s="707"/>
      <c r="CT472" s="707"/>
      <c r="CU472" s="707"/>
      <c r="CV472" s="707"/>
      <c r="CW472" s="707"/>
      <c r="CX472" s="707"/>
      <c r="CY472" s="707"/>
      <c r="CZ472" s="707"/>
      <c r="DA472" s="707"/>
      <c r="DB472" s="707"/>
      <c r="DC472" s="707"/>
      <c r="DD472" s="707"/>
      <c r="DE472" s="707"/>
      <c r="DF472" s="707"/>
      <c r="DG472" s="707"/>
      <c r="DH472" s="707"/>
      <c r="DI472" s="707"/>
      <c r="DJ472" s="707"/>
      <c r="DK472" s="707"/>
      <c r="DL472" s="707"/>
      <c r="DM472" s="707"/>
      <c r="DN472" s="707"/>
      <c r="DO472" s="707"/>
      <c r="DP472" s="707"/>
      <c r="DQ472" s="707"/>
      <c r="DR472" s="707"/>
      <c r="DS472" s="707"/>
      <c r="DT472" s="707"/>
      <c r="DU472" s="707"/>
      <c r="DV472" s="707"/>
      <c r="DW472" s="707"/>
      <c r="DX472" s="707"/>
      <c r="DY472" s="707"/>
      <c r="DZ472" s="707"/>
      <c r="EA472" s="707"/>
      <c r="EB472" s="707"/>
      <c r="EC472" s="707"/>
      <c r="ED472" s="707"/>
      <c r="EE472" s="707"/>
      <c r="EF472" s="707"/>
      <c r="EG472" s="707"/>
      <c r="EH472" s="707"/>
      <c r="EI472" s="707"/>
      <c r="EJ472" s="707"/>
      <c r="EK472" s="707"/>
      <c r="EL472" s="707"/>
      <c r="EM472" s="707"/>
      <c r="EN472" s="707"/>
      <c r="EO472" s="707"/>
      <c r="EP472" s="707"/>
      <c r="EQ472" s="707"/>
      <c r="ER472" s="707"/>
      <c r="ES472" s="707"/>
      <c r="ET472" s="707"/>
      <c r="EU472" s="707"/>
      <c r="EV472" s="707"/>
      <c r="EW472" s="707"/>
      <c r="EX472" s="707"/>
      <c r="EY472" s="707"/>
      <c r="EZ472" s="707"/>
      <c r="FA472" s="707"/>
      <c r="FB472" s="707"/>
      <c r="FC472" s="707"/>
      <c r="FD472" s="707"/>
      <c r="FE472" s="707"/>
      <c r="FF472" s="707"/>
      <c r="FG472" s="707"/>
      <c r="FH472" s="707"/>
      <c r="FI472" s="707"/>
      <c r="FJ472" s="707"/>
      <c r="FK472" s="707"/>
      <c r="FL472" s="707"/>
      <c r="FM472" s="707"/>
      <c r="FN472" s="707"/>
      <c r="FO472" s="707"/>
      <c r="FP472" s="707"/>
      <c r="FQ472" s="707"/>
      <c r="FR472" s="707"/>
      <c r="FS472" s="707"/>
      <c r="FT472" s="707"/>
      <c r="FU472" s="707"/>
      <c r="FV472" s="707"/>
      <c r="FW472" s="707"/>
      <c r="FX472" s="707"/>
      <c r="FY472" s="707"/>
      <c r="FZ472" s="707"/>
      <c r="GA472" s="707"/>
      <c r="GB472" s="707"/>
      <c r="GC472" s="707"/>
      <c r="GD472" s="707"/>
      <c r="GE472" s="707"/>
      <c r="GF472" s="707"/>
      <c r="GG472" s="707"/>
      <c r="GH472" s="707"/>
      <c r="GI472" s="707"/>
      <c r="GJ472" s="707"/>
      <c r="GK472" s="707"/>
      <c r="GL472" s="707"/>
      <c r="GM472" s="707"/>
      <c r="GN472" s="707"/>
      <c r="GO472" s="707"/>
      <c r="GP472" s="707"/>
      <c r="GQ472" s="707"/>
      <c r="GR472" s="707"/>
      <c r="GS472" s="707"/>
      <c r="GT472" s="707"/>
      <c r="GU472" s="707"/>
      <c r="GV472" s="707"/>
      <c r="GW472" s="707"/>
      <c r="GX472" s="707"/>
      <c r="GY472" s="707"/>
      <c r="GZ472" s="707"/>
      <c r="HA472" s="707"/>
      <c r="HB472" s="707"/>
      <c r="HC472" s="707"/>
      <c r="HD472" s="707"/>
      <c r="HE472" s="707"/>
      <c r="HF472" s="707"/>
      <c r="HG472" s="707"/>
      <c r="HH472" s="707"/>
      <c r="HI472" s="707"/>
      <c r="HJ472" s="707"/>
      <c r="HK472" s="707"/>
      <c r="HL472" s="707"/>
      <c r="HM472" s="707"/>
      <c r="HN472" s="707"/>
      <c r="HO472" s="707"/>
      <c r="HP472" s="707"/>
      <c r="HQ472" s="707"/>
      <c r="HR472" s="707"/>
      <c r="HS472" s="707"/>
      <c r="HT472" s="707"/>
      <c r="HU472" s="707"/>
      <c r="HV472" s="707"/>
      <c r="HW472" s="707"/>
      <c r="HX472" s="707"/>
      <c r="HY472" s="707"/>
      <c r="HZ472" s="707"/>
      <c r="IA472" s="707"/>
      <c r="IB472" s="707"/>
      <c r="IC472" s="707"/>
      <c r="ID472" s="707"/>
      <c r="IE472" s="707"/>
      <c r="IF472" s="707"/>
      <c r="IG472" s="707"/>
      <c r="IH472" s="707"/>
      <c r="II472" s="707"/>
      <c r="IJ472" s="707"/>
      <c r="IK472" s="707"/>
      <c r="IL472" s="707"/>
      <c r="IM472" s="707"/>
      <c r="IN472" s="707"/>
      <c r="IO472" s="707"/>
      <c r="IP472" s="707"/>
      <c r="IQ472" s="707"/>
      <c r="IR472" s="707"/>
      <c r="IS472" s="707"/>
      <c r="IT472" s="707"/>
      <c r="IU472" s="707"/>
      <c r="IV472" s="707"/>
      <c r="IW472" s="707"/>
    </row>
    <row r="473" customFormat="false" ht="12.75" hidden="false" customHeight="false" outlineLevel="1" collapsed="false">
      <c r="A473" s="388"/>
      <c r="B473" s="706"/>
      <c r="C473" s="706"/>
      <c r="D473" s="706"/>
      <c r="E473" s="706"/>
      <c r="F473" s="706"/>
      <c r="G473" s="706"/>
      <c r="H473" s="713"/>
      <c r="I473" s="713"/>
      <c r="J473" s="713"/>
      <c r="K473" s="713"/>
      <c r="L473" s="713"/>
      <c r="M473" s="713"/>
      <c r="N473" s="713"/>
      <c r="O473" s="713"/>
      <c r="P473" s="713"/>
      <c r="Q473" s="713"/>
      <c r="R473" s="713"/>
      <c r="S473" s="713"/>
      <c r="T473" s="713"/>
      <c r="U473" s="713"/>
      <c r="V473" s="713"/>
      <c r="W473" s="713"/>
      <c r="X473" s="713"/>
      <c r="Y473" s="713"/>
      <c r="Z473" s="713"/>
      <c r="AA473" s="707"/>
      <c r="AB473" s="707"/>
      <c r="AC473" s="707"/>
      <c r="AD473" s="707"/>
      <c r="AE473" s="707"/>
      <c r="AF473" s="707"/>
      <c r="AG473" s="707"/>
      <c r="AH473" s="707"/>
      <c r="AI473" s="707"/>
      <c r="AJ473" s="707"/>
      <c r="AK473" s="707"/>
      <c r="AL473" s="707"/>
      <c r="AM473" s="707"/>
      <c r="AN473" s="707"/>
      <c r="AO473" s="707"/>
      <c r="AP473" s="707"/>
      <c r="AQ473" s="707"/>
      <c r="AR473" s="707"/>
      <c r="AS473" s="707"/>
      <c r="AT473" s="707"/>
      <c r="AU473" s="707"/>
      <c r="AV473" s="707"/>
      <c r="AW473" s="707"/>
      <c r="AX473" s="707"/>
      <c r="AY473" s="707"/>
      <c r="AZ473" s="707"/>
      <c r="BA473" s="707"/>
      <c r="BB473" s="707"/>
      <c r="BC473" s="707"/>
      <c r="BD473" s="707"/>
      <c r="BE473" s="707"/>
      <c r="BF473" s="707"/>
      <c r="BG473" s="707"/>
      <c r="BH473" s="707"/>
      <c r="BI473" s="707"/>
      <c r="BJ473" s="707"/>
      <c r="BK473" s="707"/>
      <c r="BL473" s="707"/>
      <c r="BM473" s="707"/>
      <c r="BN473" s="707"/>
      <c r="BO473" s="707"/>
      <c r="BP473" s="707"/>
      <c r="BQ473" s="707"/>
      <c r="BR473" s="707"/>
      <c r="BS473" s="707"/>
      <c r="BT473" s="707"/>
      <c r="BU473" s="707"/>
      <c r="BV473" s="707"/>
      <c r="BW473" s="707"/>
      <c r="BX473" s="707"/>
      <c r="BY473" s="707"/>
      <c r="BZ473" s="707"/>
      <c r="CA473" s="707"/>
      <c r="CB473" s="707"/>
      <c r="CC473" s="707"/>
      <c r="CD473" s="707"/>
      <c r="CE473" s="707"/>
      <c r="CF473" s="707"/>
      <c r="CG473" s="707"/>
      <c r="CH473" s="707"/>
      <c r="CI473" s="707"/>
      <c r="CJ473" s="707"/>
      <c r="CK473" s="707"/>
      <c r="CL473" s="707"/>
      <c r="CM473" s="707"/>
      <c r="CN473" s="707"/>
      <c r="CO473" s="707"/>
      <c r="CP473" s="707"/>
      <c r="CQ473" s="707"/>
      <c r="CR473" s="707"/>
      <c r="CS473" s="707"/>
      <c r="CT473" s="707"/>
      <c r="CU473" s="707"/>
      <c r="CV473" s="707"/>
      <c r="CW473" s="707"/>
      <c r="CX473" s="707"/>
      <c r="CY473" s="707"/>
      <c r="CZ473" s="707"/>
      <c r="DA473" s="707"/>
      <c r="DB473" s="707"/>
      <c r="DC473" s="707"/>
      <c r="DD473" s="707"/>
      <c r="DE473" s="707"/>
      <c r="DF473" s="707"/>
      <c r="DG473" s="707"/>
      <c r="DH473" s="707"/>
      <c r="DI473" s="707"/>
      <c r="DJ473" s="707"/>
      <c r="DK473" s="707"/>
      <c r="DL473" s="707"/>
      <c r="DM473" s="707"/>
      <c r="DN473" s="707"/>
      <c r="DO473" s="707"/>
      <c r="DP473" s="707"/>
      <c r="DQ473" s="707"/>
      <c r="DR473" s="707"/>
      <c r="DS473" s="707"/>
      <c r="DT473" s="707"/>
      <c r="DU473" s="707"/>
      <c r="DV473" s="707"/>
      <c r="DW473" s="707"/>
      <c r="DX473" s="707"/>
      <c r="DY473" s="707"/>
      <c r="DZ473" s="707"/>
      <c r="EA473" s="707"/>
      <c r="EB473" s="707"/>
      <c r="EC473" s="707"/>
      <c r="ED473" s="707"/>
      <c r="EE473" s="707"/>
      <c r="EF473" s="707"/>
      <c r="EG473" s="707"/>
      <c r="EH473" s="707"/>
      <c r="EI473" s="707"/>
      <c r="EJ473" s="707"/>
      <c r="EK473" s="707"/>
      <c r="EL473" s="707"/>
      <c r="EM473" s="707"/>
      <c r="EN473" s="707"/>
      <c r="EO473" s="707"/>
      <c r="EP473" s="707"/>
      <c r="EQ473" s="707"/>
      <c r="ER473" s="707"/>
      <c r="ES473" s="707"/>
      <c r="ET473" s="707"/>
      <c r="EU473" s="707"/>
      <c r="EV473" s="707"/>
      <c r="EW473" s="707"/>
      <c r="EX473" s="707"/>
      <c r="EY473" s="707"/>
      <c r="EZ473" s="707"/>
      <c r="FA473" s="707"/>
      <c r="FB473" s="707"/>
      <c r="FC473" s="707"/>
      <c r="FD473" s="707"/>
      <c r="FE473" s="707"/>
      <c r="FF473" s="707"/>
      <c r="FG473" s="707"/>
      <c r="FH473" s="707"/>
      <c r="FI473" s="707"/>
      <c r="FJ473" s="707"/>
      <c r="FK473" s="707"/>
      <c r="FL473" s="707"/>
      <c r="FM473" s="707"/>
      <c r="FN473" s="707"/>
      <c r="FO473" s="707"/>
      <c r="FP473" s="707"/>
      <c r="FQ473" s="707"/>
      <c r="FR473" s="707"/>
      <c r="FS473" s="707"/>
      <c r="FT473" s="707"/>
      <c r="FU473" s="707"/>
      <c r="FV473" s="707"/>
      <c r="FW473" s="707"/>
      <c r="FX473" s="707"/>
      <c r="FY473" s="707"/>
      <c r="FZ473" s="707"/>
      <c r="GA473" s="707"/>
      <c r="GB473" s="707"/>
      <c r="GC473" s="707"/>
      <c r="GD473" s="707"/>
      <c r="GE473" s="707"/>
      <c r="GF473" s="707"/>
      <c r="GG473" s="707"/>
      <c r="GH473" s="707"/>
      <c r="GI473" s="707"/>
      <c r="GJ473" s="707"/>
      <c r="GK473" s="707"/>
      <c r="GL473" s="707"/>
      <c r="GM473" s="707"/>
      <c r="GN473" s="707"/>
      <c r="GO473" s="707"/>
      <c r="GP473" s="707"/>
      <c r="GQ473" s="707"/>
      <c r="GR473" s="707"/>
      <c r="GS473" s="707"/>
      <c r="GT473" s="707"/>
      <c r="GU473" s="707"/>
      <c r="GV473" s="707"/>
      <c r="GW473" s="707"/>
      <c r="GX473" s="707"/>
      <c r="GY473" s="707"/>
      <c r="GZ473" s="707"/>
      <c r="HA473" s="707"/>
      <c r="HB473" s="707"/>
      <c r="HC473" s="707"/>
      <c r="HD473" s="707"/>
      <c r="HE473" s="707"/>
      <c r="HF473" s="707"/>
      <c r="HG473" s="707"/>
      <c r="HH473" s="707"/>
      <c r="HI473" s="707"/>
      <c r="HJ473" s="707"/>
      <c r="HK473" s="707"/>
      <c r="HL473" s="707"/>
      <c r="HM473" s="707"/>
      <c r="HN473" s="707"/>
      <c r="HO473" s="707"/>
      <c r="HP473" s="707"/>
      <c r="HQ473" s="707"/>
      <c r="HR473" s="707"/>
      <c r="HS473" s="707"/>
      <c r="HT473" s="707"/>
      <c r="HU473" s="707"/>
      <c r="HV473" s="707"/>
      <c r="HW473" s="707"/>
      <c r="HX473" s="707"/>
      <c r="HY473" s="707"/>
      <c r="HZ473" s="707"/>
      <c r="IA473" s="707"/>
      <c r="IB473" s="707"/>
      <c r="IC473" s="707"/>
      <c r="ID473" s="707"/>
      <c r="IE473" s="707"/>
      <c r="IF473" s="707"/>
      <c r="IG473" s="707"/>
      <c r="IH473" s="707"/>
      <c r="II473" s="707"/>
      <c r="IJ473" s="707"/>
      <c r="IK473" s="707"/>
      <c r="IL473" s="707"/>
      <c r="IM473" s="707"/>
      <c r="IN473" s="707"/>
      <c r="IO473" s="707"/>
      <c r="IP473" s="707"/>
      <c r="IQ473" s="707"/>
      <c r="IR473" s="707"/>
      <c r="IS473" s="707"/>
      <c r="IT473" s="707"/>
      <c r="IU473" s="707"/>
      <c r="IV473" s="707"/>
      <c r="IW473" s="707"/>
    </row>
    <row r="474" customFormat="false" ht="12.75" hidden="false" customHeight="false" outlineLevel="1" collapsed="false">
      <c r="A474" s="367"/>
      <c r="B474" s="706"/>
      <c r="C474" s="706"/>
      <c r="D474" s="706"/>
      <c r="E474" s="713"/>
      <c r="F474" s="713"/>
      <c r="G474" s="713"/>
      <c r="H474" s="713"/>
      <c r="I474" s="713"/>
      <c r="J474" s="713"/>
      <c r="K474" s="713"/>
      <c r="L474" s="713"/>
      <c r="M474" s="713"/>
      <c r="N474" s="713"/>
      <c r="O474" s="713"/>
      <c r="P474" s="713"/>
      <c r="Q474" s="713"/>
      <c r="R474" s="713"/>
      <c r="S474" s="713"/>
      <c r="T474" s="713"/>
      <c r="U474" s="713"/>
      <c r="V474" s="713"/>
      <c r="W474" s="713"/>
      <c r="X474" s="713"/>
      <c r="Y474" s="713"/>
      <c r="Z474" s="713"/>
      <c r="AA474" s="707"/>
      <c r="AB474" s="707"/>
      <c r="AC474" s="707"/>
      <c r="AD474" s="707"/>
      <c r="AE474" s="707"/>
      <c r="AF474" s="707"/>
      <c r="AG474" s="707"/>
      <c r="AH474" s="707"/>
      <c r="AI474" s="707"/>
      <c r="AJ474" s="707"/>
      <c r="AK474" s="707"/>
      <c r="AL474" s="707"/>
      <c r="AM474" s="707"/>
      <c r="AN474" s="707"/>
      <c r="AO474" s="707"/>
      <c r="AP474" s="707"/>
      <c r="AQ474" s="707"/>
      <c r="AR474" s="707"/>
      <c r="AS474" s="707"/>
      <c r="AT474" s="707"/>
      <c r="AU474" s="707"/>
      <c r="AV474" s="707"/>
      <c r="AW474" s="707"/>
      <c r="AX474" s="707"/>
      <c r="AY474" s="707"/>
      <c r="AZ474" s="707"/>
      <c r="BA474" s="707"/>
      <c r="BB474" s="707"/>
      <c r="BC474" s="707"/>
      <c r="BD474" s="707"/>
      <c r="BE474" s="707"/>
      <c r="BF474" s="707"/>
      <c r="BG474" s="707"/>
      <c r="BH474" s="707"/>
      <c r="BI474" s="707"/>
      <c r="BJ474" s="707"/>
      <c r="BK474" s="707"/>
      <c r="BL474" s="707"/>
      <c r="BM474" s="707"/>
      <c r="BN474" s="707"/>
      <c r="BO474" s="707"/>
      <c r="BP474" s="707"/>
      <c r="BQ474" s="707"/>
      <c r="BR474" s="707"/>
      <c r="BS474" s="707"/>
      <c r="BT474" s="707"/>
      <c r="BU474" s="707"/>
      <c r="BV474" s="707"/>
      <c r="BW474" s="707"/>
      <c r="BX474" s="707"/>
      <c r="BY474" s="707"/>
      <c r="BZ474" s="707"/>
      <c r="CA474" s="707"/>
      <c r="CB474" s="707"/>
      <c r="CC474" s="707"/>
      <c r="CD474" s="707"/>
      <c r="CE474" s="707"/>
      <c r="CF474" s="707"/>
      <c r="CG474" s="707"/>
      <c r="CH474" s="707"/>
      <c r="CI474" s="707"/>
      <c r="CJ474" s="707"/>
      <c r="CK474" s="707"/>
      <c r="CL474" s="707"/>
      <c r="CM474" s="707"/>
      <c r="CN474" s="707"/>
      <c r="CO474" s="707"/>
      <c r="CP474" s="707"/>
      <c r="CQ474" s="707"/>
      <c r="CR474" s="707"/>
      <c r="CS474" s="707"/>
      <c r="CT474" s="707"/>
      <c r="CU474" s="707"/>
      <c r="CV474" s="707"/>
      <c r="CW474" s="707"/>
      <c r="CX474" s="707"/>
      <c r="CY474" s="707"/>
      <c r="CZ474" s="707"/>
      <c r="DA474" s="707"/>
      <c r="DB474" s="707"/>
      <c r="DC474" s="707"/>
      <c r="DD474" s="707"/>
      <c r="DE474" s="707"/>
      <c r="DF474" s="707"/>
      <c r="DG474" s="707"/>
      <c r="DH474" s="707"/>
      <c r="DI474" s="707"/>
      <c r="DJ474" s="707"/>
      <c r="DK474" s="707"/>
      <c r="DL474" s="707"/>
      <c r="DM474" s="707"/>
      <c r="DN474" s="707"/>
      <c r="DO474" s="707"/>
      <c r="DP474" s="707"/>
      <c r="DQ474" s="707"/>
      <c r="DR474" s="707"/>
      <c r="DS474" s="707"/>
      <c r="DT474" s="707"/>
      <c r="DU474" s="707"/>
      <c r="DV474" s="707"/>
      <c r="DW474" s="707"/>
      <c r="DX474" s="707"/>
      <c r="DY474" s="707"/>
      <c r="DZ474" s="707"/>
      <c r="EA474" s="707"/>
      <c r="EB474" s="707"/>
      <c r="EC474" s="707"/>
      <c r="ED474" s="707"/>
      <c r="EE474" s="707"/>
      <c r="EF474" s="707"/>
      <c r="EG474" s="707"/>
      <c r="EH474" s="707"/>
      <c r="EI474" s="707"/>
      <c r="EJ474" s="707"/>
      <c r="EK474" s="707"/>
      <c r="EL474" s="707"/>
      <c r="EM474" s="707"/>
      <c r="EN474" s="707"/>
      <c r="EO474" s="707"/>
      <c r="EP474" s="707"/>
      <c r="EQ474" s="707"/>
      <c r="ER474" s="707"/>
      <c r="ES474" s="707"/>
      <c r="ET474" s="707"/>
      <c r="EU474" s="707"/>
      <c r="EV474" s="707"/>
      <c r="EW474" s="707"/>
      <c r="EX474" s="707"/>
      <c r="EY474" s="707"/>
      <c r="EZ474" s="707"/>
      <c r="FA474" s="707"/>
      <c r="FB474" s="707"/>
      <c r="FC474" s="707"/>
      <c r="FD474" s="707"/>
      <c r="FE474" s="707"/>
      <c r="FF474" s="707"/>
      <c r="FG474" s="707"/>
      <c r="FH474" s="707"/>
      <c r="FI474" s="707"/>
      <c r="FJ474" s="707"/>
      <c r="FK474" s="707"/>
      <c r="FL474" s="707"/>
      <c r="FM474" s="707"/>
      <c r="FN474" s="707"/>
      <c r="FO474" s="707"/>
      <c r="FP474" s="707"/>
      <c r="FQ474" s="707"/>
      <c r="FR474" s="707"/>
      <c r="FS474" s="707"/>
      <c r="FT474" s="707"/>
      <c r="FU474" s="707"/>
      <c r="FV474" s="707"/>
      <c r="FW474" s="707"/>
      <c r="FX474" s="707"/>
      <c r="FY474" s="707"/>
      <c r="FZ474" s="707"/>
      <c r="GA474" s="707"/>
      <c r="GB474" s="707"/>
      <c r="GC474" s="707"/>
      <c r="GD474" s="707"/>
      <c r="GE474" s="707"/>
      <c r="GF474" s="707"/>
      <c r="GG474" s="707"/>
      <c r="GH474" s="707"/>
      <c r="GI474" s="707"/>
      <c r="GJ474" s="707"/>
      <c r="GK474" s="707"/>
      <c r="GL474" s="707"/>
      <c r="GM474" s="707"/>
      <c r="GN474" s="707"/>
      <c r="GO474" s="707"/>
      <c r="GP474" s="707"/>
      <c r="GQ474" s="707"/>
      <c r="GR474" s="707"/>
      <c r="GS474" s="707"/>
      <c r="GT474" s="707"/>
      <c r="GU474" s="707"/>
      <c r="GV474" s="707"/>
      <c r="GW474" s="707"/>
      <c r="GX474" s="707"/>
      <c r="GY474" s="707"/>
      <c r="GZ474" s="707"/>
      <c r="HA474" s="707"/>
      <c r="HB474" s="707"/>
      <c r="HC474" s="707"/>
      <c r="HD474" s="707"/>
      <c r="HE474" s="707"/>
      <c r="HF474" s="707"/>
      <c r="HG474" s="707"/>
      <c r="HH474" s="707"/>
      <c r="HI474" s="707"/>
      <c r="HJ474" s="707"/>
      <c r="HK474" s="707"/>
      <c r="HL474" s="707"/>
      <c r="HM474" s="707"/>
      <c r="HN474" s="707"/>
      <c r="HO474" s="707"/>
      <c r="HP474" s="707"/>
      <c r="HQ474" s="707"/>
      <c r="HR474" s="707"/>
      <c r="HS474" s="707"/>
      <c r="HT474" s="707"/>
      <c r="HU474" s="707"/>
      <c r="HV474" s="707"/>
      <c r="HW474" s="707"/>
      <c r="HX474" s="707"/>
      <c r="HY474" s="707"/>
      <c r="HZ474" s="707"/>
      <c r="IA474" s="707"/>
      <c r="IB474" s="707"/>
      <c r="IC474" s="707"/>
      <c r="ID474" s="707"/>
      <c r="IE474" s="707"/>
      <c r="IF474" s="707"/>
      <c r="IG474" s="707"/>
      <c r="IH474" s="707"/>
      <c r="II474" s="707"/>
      <c r="IJ474" s="707"/>
      <c r="IK474" s="707"/>
      <c r="IL474" s="707"/>
      <c r="IM474" s="707"/>
      <c r="IN474" s="707"/>
      <c r="IO474" s="707"/>
      <c r="IP474" s="707"/>
      <c r="IQ474" s="707"/>
      <c r="IR474" s="707"/>
      <c r="IS474" s="707"/>
      <c r="IT474" s="707"/>
      <c r="IU474" s="707"/>
      <c r="IV474" s="707"/>
      <c r="IW474" s="707"/>
    </row>
    <row r="475" customFormat="false" ht="12.75" hidden="false" customHeight="false" outlineLevel="1" collapsed="false">
      <c r="A475" s="367"/>
      <c r="B475" s="714"/>
      <c r="C475" s="714"/>
      <c r="D475" s="714"/>
      <c r="E475" s="713"/>
      <c r="F475" s="713"/>
      <c r="G475" s="713"/>
      <c r="H475" s="713"/>
      <c r="I475" s="713"/>
      <c r="J475" s="713"/>
      <c r="K475" s="713"/>
      <c r="L475" s="713"/>
      <c r="M475" s="713"/>
      <c r="N475" s="713"/>
      <c r="O475" s="713"/>
      <c r="P475" s="713"/>
      <c r="Q475" s="713"/>
      <c r="R475" s="713"/>
      <c r="S475" s="713"/>
      <c r="T475" s="713"/>
      <c r="U475" s="713"/>
      <c r="V475" s="713"/>
      <c r="W475" s="713"/>
      <c r="X475" s="713"/>
      <c r="Y475" s="713"/>
      <c r="Z475" s="713"/>
      <c r="AA475" s="707"/>
      <c r="AB475" s="707"/>
      <c r="AC475" s="707"/>
      <c r="AD475" s="707"/>
      <c r="AE475" s="707"/>
      <c r="AF475" s="707"/>
      <c r="AG475" s="707"/>
      <c r="AH475" s="707"/>
      <c r="AI475" s="707"/>
      <c r="AJ475" s="707"/>
      <c r="AK475" s="707"/>
      <c r="AL475" s="707"/>
      <c r="AM475" s="707"/>
      <c r="AN475" s="707"/>
      <c r="AO475" s="707"/>
      <c r="AP475" s="707"/>
      <c r="AQ475" s="707"/>
      <c r="AR475" s="707"/>
      <c r="AS475" s="707"/>
      <c r="AT475" s="707"/>
      <c r="AU475" s="707"/>
      <c r="AV475" s="707"/>
      <c r="AW475" s="707"/>
      <c r="AX475" s="707"/>
      <c r="AY475" s="707"/>
      <c r="AZ475" s="707"/>
      <c r="BA475" s="707"/>
      <c r="BB475" s="707"/>
      <c r="BC475" s="707"/>
      <c r="BD475" s="707"/>
      <c r="BE475" s="707"/>
      <c r="BF475" s="707"/>
      <c r="BG475" s="707"/>
      <c r="BH475" s="707"/>
      <c r="BI475" s="707"/>
      <c r="BJ475" s="707"/>
      <c r="BK475" s="707"/>
      <c r="BL475" s="707"/>
      <c r="BM475" s="707"/>
      <c r="BN475" s="707"/>
      <c r="BO475" s="707"/>
      <c r="BP475" s="707"/>
      <c r="BQ475" s="707"/>
      <c r="BR475" s="707"/>
      <c r="BS475" s="707"/>
      <c r="BT475" s="707"/>
      <c r="BU475" s="707"/>
      <c r="BV475" s="707"/>
      <c r="BW475" s="707"/>
      <c r="BX475" s="707"/>
      <c r="BY475" s="707"/>
      <c r="BZ475" s="707"/>
      <c r="CA475" s="707"/>
      <c r="CB475" s="707"/>
      <c r="CC475" s="707"/>
      <c r="CD475" s="707"/>
      <c r="CE475" s="707"/>
      <c r="CF475" s="707"/>
      <c r="CG475" s="707"/>
      <c r="CH475" s="707"/>
      <c r="CI475" s="707"/>
      <c r="CJ475" s="707"/>
      <c r="CK475" s="707"/>
      <c r="CL475" s="707"/>
      <c r="CM475" s="707"/>
      <c r="CN475" s="707"/>
      <c r="CO475" s="707"/>
      <c r="CP475" s="707"/>
      <c r="CQ475" s="707"/>
      <c r="CR475" s="707"/>
      <c r="CS475" s="707"/>
      <c r="CT475" s="707"/>
      <c r="CU475" s="707"/>
      <c r="CV475" s="707"/>
      <c r="CW475" s="707"/>
      <c r="CX475" s="707"/>
      <c r="CY475" s="707"/>
      <c r="CZ475" s="707"/>
      <c r="DA475" s="707"/>
      <c r="DB475" s="707"/>
      <c r="DC475" s="707"/>
      <c r="DD475" s="707"/>
      <c r="DE475" s="707"/>
      <c r="DF475" s="707"/>
      <c r="DG475" s="707"/>
      <c r="DH475" s="707"/>
      <c r="DI475" s="707"/>
      <c r="DJ475" s="707"/>
      <c r="DK475" s="707"/>
      <c r="DL475" s="707"/>
      <c r="DM475" s="707"/>
      <c r="DN475" s="707"/>
      <c r="DO475" s="707"/>
      <c r="DP475" s="707"/>
      <c r="DQ475" s="707"/>
      <c r="DR475" s="707"/>
      <c r="DS475" s="707"/>
      <c r="DT475" s="707"/>
      <c r="DU475" s="707"/>
      <c r="DV475" s="707"/>
      <c r="DW475" s="707"/>
      <c r="DX475" s="707"/>
      <c r="DY475" s="707"/>
      <c r="DZ475" s="707"/>
      <c r="EA475" s="707"/>
      <c r="EB475" s="707"/>
      <c r="EC475" s="707"/>
      <c r="ED475" s="707"/>
      <c r="EE475" s="707"/>
      <c r="EF475" s="707"/>
      <c r="EG475" s="707"/>
      <c r="EH475" s="707"/>
      <c r="EI475" s="707"/>
      <c r="EJ475" s="707"/>
      <c r="EK475" s="707"/>
      <c r="EL475" s="707"/>
      <c r="EM475" s="707"/>
      <c r="EN475" s="707"/>
      <c r="EO475" s="707"/>
      <c r="EP475" s="707"/>
      <c r="EQ475" s="707"/>
      <c r="ER475" s="707"/>
      <c r="ES475" s="707"/>
      <c r="ET475" s="707"/>
      <c r="EU475" s="707"/>
      <c r="EV475" s="707"/>
      <c r="EW475" s="707"/>
      <c r="EX475" s="707"/>
      <c r="EY475" s="707"/>
      <c r="EZ475" s="707"/>
      <c r="FA475" s="707"/>
      <c r="FB475" s="707"/>
      <c r="FC475" s="707"/>
      <c r="FD475" s="707"/>
      <c r="FE475" s="707"/>
      <c r="FF475" s="707"/>
      <c r="FG475" s="707"/>
      <c r="FH475" s="707"/>
      <c r="FI475" s="707"/>
      <c r="FJ475" s="707"/>
      <c r="FK475" s="707"/>
      <c r="FL475" s="707"/>
      <c r="FM475" s="707"/>
      <c r="FN475" s="707"/>
      <c r="FO475" s="707"/>
      <c r="FP475" s="707"/>
      <c r="FQ475" s="707"/>
      <c r="FR475" s="707"/>
      <c r="FS475" s="707"/>
      <c r="FT475" s="707"/>
      <c r="FU475" s="707"/>
      <c r="FV475" s="707"/>
      <c r="FW475" s="707"/>
      <c r="FX475" s="707"/>
      <c r="FY475" s="707"/>
      <c r="FZ475" s="707"/>
      <c r="GA475" s="707"/>
      <c r="GB475" s="707"/>
      <c r="GC475" s="707"/>
      <c r="GD475" s="707"/>
      <c r="GE475" s="707"/>
      <c r="GF475" s="707"/>
      <c r="GG475" s="707"/>
      <c r="GH475" s="707"/>
      <c r="GI475" s="707"/>
      <c r="GJ475" s="707"/>
      <c r="GK475" s="707"/>
      <c r="GL475" s="707"/>
      <c r="GM475" s="707"/>
      <c r="GN475" s="707"/>
      <c r="GO475" s="707"/>
      <c r="GP475" s="707"/>
      <c r="GQ475" s="707"/>
      <c r="GR475" s="707"/>
      <c r="GS475" s="707"/>
      <c r="GT475" s="707"/>
      <c r="GU475" s="707"/>
      <c r="GV475" s="707"/>
      <c r="GW475" s="707"/>
      <c r="GX475" s="707"/>
      <c r="GY475" s="707"/>
      <c r="GZ475" s="707"/>
      <c r="HA475" s="707"/>
      <c r="HB475" s="707"/>
      <c r="HC475" s="707"/>
      <c r="HD475" s="707"/>
      <c r="HE475" s="707"/>
      <c r="HF475" s="707"/>
      <c r="HG475" s="707"/>
      <c r="HH475" s="707"/>
      <c r="HI475" s="707"/>
      <c r="HJ475" s="707"/>
      <c r="HK475" s="707"/>
      <c r="HL475" s="707"/>
      <c r="HM475" s="707"/>
      <c r="HN475" s="707"/>
      <c r="HO475" s="707"/>
      <c r="HP475" s="707"/>
      <c r="HQ475" s="707"/>
      <c r="HR475" s="707"/>
      <c r="HS475" s="707"/>
      <c r="HT475" s="707"/>
      <c r="HU475" s="707"/>
      <c r="HV475" s="707"/>
      <c r="HW475" s="707"/>
      <c r="HX475" s="707"/>
      <c r="HY475" s="707"/>
      <c r="HZ475" s="707"/>
      <c r="IA475" s="707"/>
      <c r="IB475" s="707"/>
      <c r="IC475" s="707"/>
      <c r="ID475" s="707"/>
      <c r="IE475" s="707"/>
      <c r="IF475" s="707"/>
      <c r="IG475" s="707"/>
      <c r="IH475" s="707"/>
      <c r="II475" s="707"/>
      <c r="IJ475" s="707"/>
      <c r="IK475" s="707"/>
      <c r="IL475" s="707"/>
      <c r="IM475" s="707"/>
      <c r="IN475" s="707"/>
      <c r="IO475" s="707"/>
      <c r="IP475" s="707"/>
      <c r="IQ475" s="707"/>
      <c r="IR475" s="707"/>
      <c r="IS475" s="707"/>
      <c r="IT475" s="707"/>
      <c r="IU475" s="707"/>
      <c r="IV475" s="707"/>
      <c r="IW475" s="707"/>
    </row>
    <row r="476" customFormat="false" ht="12.75" hidden="false" customHeight="false" outlineLevel="1" collapsed="false">
      <c r="A476" s="367"/>
      <c r="B476" s="715"/>
      <c r="C476" s="715"/>
      <c r="D476" s="715"/>
      <c r="E476" s="713"/>
      <c r="F476" s="713"/>
      <c r="G476" s="713"/>
      <c r="H476" s="713"/>
      <c r="I476" s="713"/>
      <c r="J476" s="713"/>
      <c r="K476" s="713"/>
      <c r="L476" s="713"/>
      <c r="M476" s="713"/>
      <c r="N476" s="713"/>
      <c r="O476" s="713"/>
      <c r="P476" s="713"/>
      <c r="Q476" s="713"/>
      <c r="R476" s="713"/>
      <c r="S476" s="713"/>
      <c r="T476" s="713"/>
      <c r="U476" s="713"/>
      <c r="V476" s="713"/>
      <c r="W476" s="713"/>
      <c r="X476" s="713"/>
      <c r="Y476" s="713"/>
      <c r="Z476" s="713"/>
      <c r="AA476" s="707"/>
      <c r="AB476" s="707"/>
      <c r="AC476" s="707"/>
      <c r="AD476" s="707"/>
      <c r="AE476" s="707"/>
      <c r="AF476" s="707"/>
      <c r="AG476" s="707"/>
      <c r="AH476" s="707"/>
      <c r="AI476" s="707"/>
      <c r="AJ476" s="707"/>
      <c r="AK476" s="707"/>
      <c r="AL476" s="707"/>
      <c r="AM476" s="707"/>
      <c r="AN476" s="707"/>
      <c r="AO476" s="707"/>
      <c r="AP476" s="707"/>
      <c r="AQ476" s="707"/>
      <c r="AR476" s="707"/>
      <c r="AS476" s="707"/>
      <c r="AT476" s="707"/>
      <c r="AU476" s="707"/>
      <c r="AV476" s="707"/>
      <c r="AW476" s="707"/>
      <c r="AX476" s="707"/>
      <c r="AY476" s="707"/>
      <c r="AZ476" s="707"/>
      <c r="BA476" s="707"/>
      <c r="BB476" s="707"/>
      <c r="BC476" s="707"/>
      <c r="BD476" s="707"/>
      <c r="BE476" s="707"/>
      <c r="BF476" s="707"/>
      <c r="BG476" s="707"/>
      <c r="BH476" s="707"/>
      <c r="BI476" s="707"/>
      <c r="BJ476" s="707"/>
      <c r="BK476" s="707"/>
      <c r="BL476" s="707"/>
      <c r="BM476" s="707"/>
      <c r="BN476" s="707"/>
      <c r="BO476" s="707"/>
      <c r="BP476" s="707"/>
      <c r="BQ476" s="707"/>
      <c r="BR476" s="707"/>
      <c r="BS476" s="707"/>
      <c r="BT476" s="707"/>
      <c r="BU476" s="707"/>
      <c r="BV476" s="707"/>
      <c r="BW476" s="707"/>
      <c r="BX476" s="707"/>
      <c r="BY476" s="707"/>
      <c r="BZ476" s="707"/>
      <c r="CA476" s="707"/>
      <c r="CB476" s="707"/>
      <c r="CC476" s="707"/>
      <c r="CD476" s="707"/>
      <c r="CE476" s="707"/>
      <c r="CF476" s="707"/>
      <c r="CG476" s="707"/>
      <c r="CH476" s="707"/>
      <c r="CI476" s="707"/>
      <c r="CJ476" s="707"/>
      <c r="CK476" s="707"/>
      <c r="CL476" s="707"/>
      <c r="CM476" s="707"/>
      <c r="CN476" s="707"/>
      <c r="CO476" s="707"/>
      <c r="CP476" s="707"/>
      <c r="CQ476" s="707"/>
      <c r="CR476" s="707"/>
      <c r="CS476" s="707"/>
      <c r="CT476" s="707"/>
      <c r="CU476" s="707"/>
      <c r="CV476" s="707"/>
      <c r="CW476" s="707"/>
      <c r="CX476" s="707"/>
      <c r="CY476" s="707"/>
      <c r="CZ476" s="707"/>
      <c r="DA476" s="707"/>
      <c r="DB476" s="707"/>
      <c r="DC476" s="707"/>
      <c r="DD476" s="707"/>
      <c r="DE476" s="707"/>
      <c r="DF476" s="707"/>
      <c r="DG476" s="707"/>
      <c r="DH476" s="707"/>
      <c r="DI476" s="707"/>
      <c r="DJ476" s="707"/>
      <c r="DK476" s="707"/>
      <c r="DL476" s="707"/>
      <c r="DM476" s="707"/>
      <c r="DN476" s="707"/>
      <c r="DO476" s="707"/>
      <c r="DP476" s="707"/>
      <c r="DQ476" s="707"/>
      <c r="DR476" s="707"/>
      <c r="DS476" s="707"/>
      <c r="DT476" s="707"/>
      <c r="DU476" s="707"/>
      <c r="DV476" s="707"/>
      <c r="DW476" s="707"/>
      <c r="DX476" s="707"/>
      <c r="DY476" s="707"/>
      <c r="DZ476" s="707"/>
      <c r="EA476" s="707"/>
      <c r="EB476" s="707"/>
      <c r="EC476" s="707"/>
      <c r="ED476" s="707"/>
      <c r="EE476" s="707"/>
      <c r="EF476" s="707"/>
      <c r="EG476" s="707"/>
      <c r="EH476" s="707"/>
      <c r="EI476" s="707"/>
      <c r="EJ476" s="707"/>
      <c r="EK476" s="707"/>
      <c r="EL476" s="707"/>
      <c r="EM476" s="707"/>
      <c r="EN476" s="707"/>
      <c r="EO476" s="707"/>
      <c r="EP476" s="707"/>
      <c r="EQ476" s="707"/>
      <c r="ER476" s="707"/>
      <c r="ES476" s="707"/>
      <c r="ET476" s="707"/>
      <c r="EU476" s="707"/>
      <c r="EV476" s="707"/>
      <c r="EW476" s="707"/>
      <c r="EX476" s="707"/>
      <c r="EY476" s="707"/>
      <c r="EZ476" s="707"/>
      <c r="FA476" s="707"/>
      <c r="FB476" s="707"/>
      <c r="FC476" s="707"/>
      <c r="FD476" s="707"/>
      <c r="FE476" s="707"/>
      <c r="FF476" s="707"/>
      <c r="FG476" s="707"/>
      <c r="FH476" s="707"/>
      <c r="FI476" s="707"/>
      <c r="FJ476" s="707"/>
      <c r="FK476" s="707"/>
      <c r="FL476" s="707"/>
      <c r="FM476" s="707"/>
      <c r="FN476" s="707"/>
      <c r="FO476" s="707"/>
      <c r="FP476" s="707"/>
      <c r="FQ476" s="707"/>
      <c r="FR476" s="707"/>
      <c r="FS476" s="707"/>
      <c r="FT476" s="707"/>
      <c r="FU476" s="707"/>
      <c r="FV476" s="707"/>
      <c r="FW476" s="707"/>
      <c r="FX476" s="707"/>
      <c r="FY476" s="707"/>
      <c r="FZ476" s="707"/>
      <c r="GA476" s="707"/>
      <c r="GB476" s="707"/>
      <c r="GC476" s="707"/>
      <c r="GD476" s="707"/>
      <c r="GE476" s="707"/>
      <c r="GF476" s="707"/>
      <c r="GG476" s="707"/>
      <c r="GH476" s="707"/>
      <c r="GI476" s="707"/>
      <c r="GJ476" s="707"/>
      <c r="GK476" s="707"/>
      <c r="GL476" s="707"/>
      <c r="GM476" s="707"/>
      <c r="GN476" s="707"/>
      <c r="GO476" s="707"/>
      <c r="GP476" s="707"/>
      <c r="GQ476" s="707"/>
      <c r="GR476" s="707"/>
      <c r="GS476" s="707"/>
      <c r="GT476" s="707"/>
      <c r="GU476" s="707"/>
      <c r="GV476" s="707"/>
      <c r="GW476" s="707"/>
      <c r="GX476" s="707"/>
      <c r="GY476" s="707"/>
      <c r="GZ476" s="707"/>
      <c r="HA476" s="707"/>
      <c r="HB476" s="707"/>
      <c r="HC476" s="707"/>
      <c r="HD476" s="707"/>
      <c r="HE476" s="707"/>
      <c r="HF476" s="707"/>
      <c r="HG476" s="707"/>
      <c r="HH476" s="707"/>
      <c r="HI476" s="707"/>
      <c r="HJ476" s="707"/>
      <c r="HK476" s="707"/>
      <c r="HL476" s="707"/>
      <c r="HM476" s="707"/>
      <c r="HN476" s="707"/>
      <c r="HO476" s="707"/>
      <c r="HP476" s="707"/>
      <c r="HQ476" s="707"/>
      <c r="HR476" s="707"/>
      <c r="HS476" s="707"/>
      <c r="HT476" s="707"/>
      <c r="HU476" s="707"/>
      <c r="HV476" s="707"/>
      <c r="HW476" s="707"/>
      <c r="HX476" s="707"/>
      <c r="HY476" s="707"/>
      <c r="HZ476" s="707"/>
      <c r="IA476" s="707"/>
      <c r="IB476" s="707"/>
      <c r="IC476" s="707"/>
      <c r="ID476" s="707"/>
      <c r="IE476" s="707"/>
      <c r="IF476" s="707"/>
      <c r="IG476" s="707"/>
      <c r="IH476" s="707"/>
      <c r="II476" s="707"/>
      <c r="IJ476" s="707"/>
      <c r="IK476" s="707"/>
      <c r="IL476" s="707"/>
      <c r="IM476" s="707"/>
      <c r="IN476" s="707"/>
      <c r="IO476" s="707"/>
      <c r="IP476" s="707"/>
      <c r="IQ476" s="707"/>
      <c r="IR476" s="707"/>
      <c r="IS476" s="707"/>
      <c r="IT476" s="707"/>
      <c r="IU476" s="707"/>
      <c r="IV476" s="707"/>
      <c r="IW476" s="707"/>
    </row>
    <row r="477" customFormat="false" ht="12.75" hidden="false" customHeight="false" outlineLevel="1" collapsed="false">
      <c r="A477" s="366"/>
      <c r="B477" s="712"/>
      <c r="C477" s="712"/>
      <c r="D477" s="712"/>
      <c r="E477" s="713"/>
      <c r="F477" s="713"/>
      <c r="G477" s="713"/>
      <c r="H477" s="713"/>
      <c r="I477" s="713"/>
      <c r="J477" s="713"/>
      <c r="K477" s="713"/>
      <c r="L477" s="713"/>
      <c r="M477" s="713"/>
      <c r="N477" s="713"/>
      <c r="O477" s="713"/>
      <c r="P477" s="713"/>
      <c r="Q477" s="713"/>
      <c r="R477" s="713"/>
      <c r="S477" s="713"/>
      <c r="T477" s="713"/>
      <c r="U477" s="713"/>
      <c r="V477" s="713"/>
      <c r="W477" s="713"/>
      <c r="X477" s="713"/>
      <c r="Y477" s="713"/>
      <c r="Z477" s="713"/>
      <c r="AA477" s="707"/>
      <c r="AB477" s="707"/>
      <c r="AC477" s="707"/>
      <c r="AD477" s="707"/>
      <c r="AE477" s="707"/>
      <c r="AF477" s="707"/>
      <c r="AG477" s="707"/>
      <c r="AH477" s="707"/>
      <c r="AI477" s="707"/>
      <c r="AJ477" s="707"/>
      <c r="AK477" s="707"/>
      <c r="AL477" s="707"/>
      <c r="AM477" s="707"/>
      <c r="AN477" s="707"/>
      <c r="AO477" s="707"/>
      <c r="AP477" s="707"/>
      <c r="AQ477" s="707"/>
      <c r="AR477" s="707"/>
      <c r="AS477" s="707"/>
      <c r="AT477" s="707"/>
      <c r="AU477" s="707"/>
      <c r="AV477" s="707"/>
      <c r="AW477" s="707"/>
      <c r="AX477" s="707"/>
      <c r="AY477" s="707"/>
      <c r="AZ477" s="707"/>
      <c r="BA477" s="707"/>
      <c r="BB477" s="707"/>
      <c r="BC477" s="707"/>
      <c r="BD477" s="707"/>
      <c r="BE477" s="707"/>
      <c r="BF477" s="707"/>
      <c r="BG477" s="707"/>
      <c r="BH477" s="707"/>
      <c r="BI477" s="707"/>
      <c r="BJ477" s="707"/>
      <c r="BK477" s="707"/>
      <c r="BL477" s="707"/>
      <c r="BM477" s="707"/>
      <c r="BN477" s="707"/>
      <c r="BO477" s="707"/>
      <c r="BP477" s="707"/>
      <c r="BQ477" s="707"/>
      <c r="BR477" s="707"/>
      <c r="BS477" s="707"/>
      <c r="BT477" s="707"/>
      <c r="BU477" s="707"/>
      <c r="BV477" s="707"/>
      <c r="BW477" s="707"/>
      <c r="BX477" s="707"/>
      <c r="BY477" s="707"/>
      <c r="BZ477" s="707"/>
      <c r="CA477" s="707"/>
      <c r="CB477" s="707"/>
      <c r="CC477" s="707"/>
      <c r="CD477" s="707"/>
      <c r="CE477" s="707"/>
      <c r="CF477" s="707"/>
      <c r="CG477" s="707"/>
      <c r="CH477" s="707"/>
      <c r="CI477" s="707"/>
      <c r="CJ477" s="707"/>
      <c r="CK477" s="707"/>
      <c r="CL477" s="707"/>
      <c r="CM477" s="707"/>
      <c r="CN477" s="707"/>
      <c r="CO477" s="707"/>
      <c r="CP477" s="707"/>
      <c r="CQ477" s="707"/>
      <c r="CR477" s="707"/>
      <c r="CS477" s="707"/>
      <c r="CT477" s="707"/>
      <c r="CU477" s="707"/>
      <c r="CV477" s="707"/>
      <c r="CW477" s="707"/>
      <c r="CX477" s="707"/>
      <c r="CY477" s="707"/>
      <c r="CZ477" s="707"/>
      <c r="DA477" s="707"/>
      <c r="DB477" s="707"/>
      <c r="DC477" s="707"/>
      <c r="DD477" s="707"/>
      <c r="DE477" s="707"/>
      <c r="DF477" s="707"/>
      <c r="DG477" s="707"/>
      <c r="DH477" s="707"/>
      <c r="DI477" s="707"/>
      <c r="DJ477" s="707"/>
      <c r="DK477" s="707"/>
      <c r="DL477" s="707"/>
      <c r="DM477" s="707"/>
      <c r="DN477" s="707"/>
      <c r="DO477" s="707"/>
      <c r="DP477" s="707"/>
      <c r="DQ477" s="707"/>
      <c r="DR477" s="707"/>
      <c r="DS477" s="707"/>
      <c r="DT477" s="707"/>
      <c r="DU477" s="707"/>
      <c r="DV477" s="707"/>
      <c r="DW477" s="707"/>
      <c r="DX477" s="707"/>
      <c r="DY477" s="707"/>
      <c r="DZ477" s="707"/>
      <c r="EA477" s="707"/>
      <c r="EB477" s="707"/>
      <c r="EC477" s="707"/>
      <c r="ED477" s="707"/>
      <c r="EE477" s="707"/>
      <c r="EF477" s="707"/>
      <c r="EG477" s="707"/>
      <c r="EH477" s="707"/>
      <c r="EI477" s="707"/>
      <c r="EJ477" s="707"/>
      <c r="EK477" s="707"/>
      <c r="EL477" s="707"/>
      <c r="EM477" s="707"/>
      <c r="EN477" s="707"/>
      <c r="EO477" s="707"/>
      <c r="EP477" s="707"/>
      <c r="EQ477" s="707"/>
      <c r="ER477" s="707"/>
      <c r="ES477" s="707"/>
      <c r="ET477" s="707"/>
      <c r="EU477" s="707"/>
      <c r="EV477" s="707"/>
      <c r="EW477" s="707"/>
      <c r="EX477" s="707"/>
      <c r="EY477" s="707"/>
      <c r="EZ477" s="707"/>
      <c r="FA477" s="707"/>
      <c r="FB477" s="707"/>
      <c r="FC477" s="707"/>
      <c r="FD477" s="707"/>
      <c r="FE477" s="707"/>
      <c r="FF477" s="707"/>
      <c r="FG477" s="707"/>
      <c r="FH477" s="707"/>
      <c r="FI477" s="707"/>
      <c r="FJ477" s="707"/>
      <c r="FK477" s="707"/>
      <c r="FL477" s="707"/>
      <c r="FM477" s="707"/>
      <c r="FN477" s="707"/>
      <c r="FO477" s="707"/>
      <c r="FP477" s="707"/>
      <c r="FQ477" s="707"/>
      <c r="FR477" s="707"/>
      <c r="FS477" s="707"/>
      <c r="FT477" s="707"/>
      <c r="FU477" s="707"/>
      <c r="FV477" s="707"/>
      <c r="FW477" s="707"/>
      <c r="FX477" s="707"/>
      <c r="FY477" s="707"/>
      <c r="FZ477" s="707"/>
      <c r="GA477" s="707"/>
      <c r="GB477" s="707"/>
      <c r="GC477" s="707"/>
      <c r="GD477" s="707"/>
      <c r="GE477" s="707"/>
      <c r="GF477" s="707"/>
      <c r="GG477" s="707"/>
      <c r="GH477" s="707"/>
      <c r="GI477" s="707"/>
      <c r="GJ477" s="707"/>
      <c r="GK477" s="707"/>
      <c r="GL477" s="707"/>
      <c r="GM477" s="707"/>
      <c r="GN477" s="707"/>
      <c r="GO477" s="707"/>
      <c r="GP477" s="707"/>
      <c r="GQ477" s="707"/>
      <c r="GR477" s="707"/>
      <c r="GS477" s="707"/>
      <c r="GT477" s="707"/>
      <c r="GU477" s="707"/>
      <c r="GV477" s="707"/>
      <c r="GW477" s="707"/>
      <c r="GX477" s="707"/>
      <c r="GY477" s="707"/>
      <c r="GZ477" s="707"/>
      <c r="HA477" s="707"/>
      <c r="HB477" s="707"/>
      <c r="HC477" s="707"/>
      <c r="HD477" s="707"/>
      <c r="HE477" s="707"/>
      <c r="HF477" s="707"/>
      <c r="HG477" s="707"/>
      <c r="HH477" s="707"/>
      <c r="HI477" s="707"/>
      <c r="HJ477" s="707"/>
      <c r="HK477" s="707"/>
      <c r="HL477" s="707"/>
      <c r="HM477" s="707"/>
      <c r="HN477" s="707"/>
      <c r="HO477" s="707"/>
      <c r="HP477" s="707"/>
      <c r="HQ477" s="707"/>
      <c r="HR477" s="707"/>
      <c r="HS477" s="707"/>
      <c r="HT477" s="707"/>
      <c r="HU477" s="707"/>
      <c r="HV477" s="707"/>
      <c r="HW477" s="707"/>
      <c r="HX477" s="707"/>
      <c r="HY477" s="707"/>
      <c r="HZ477" s="707"/>
      <c r="IA477" s="707"/>
      <c r="IB477" s="707"/>
      <c r="IC477" s="707"/>
      <c r="ID477" s="707"/>
      <c r="IE477" s="707"/>
      <c r="IF477" s="707"/>
      <c r="IG477" s="707"/>
      <c r="IH477" s="707"/>
      <c r="II477" s="707"/>
      <c r="IJ477" s="707"/>
      <c r="IK477" s="707"/>
      <c r="IL477" s="707"/>
      <c r="IM477" s="707"/>
      <c r="IN477" s="707"/>
      <c r="IO477" s="707"/>
      <c r="IP477" s="707"/>
      <c r="IQ477" s="707"/>
      <c r="IR477" s="707"/>
      <c r="IS477" s="707"/>
      <c r="IT477" s="707"/>
      <c r="IU477" s="707"/>
      <c r="IV477" s="707"/>
      <c r="IW477" s="707"/>
    </row>
    <row r="478" customFormat="false" ht="12.75" hidden="false" customHeight="false" outlineLevel="1" collapsed="false">
      <c r="A478" s="245"/>
      <c r="B478" s="707"/>
      <c r="C478" s="707"/>
      <c r="D478" s="707"/>
      <c r="E478" s="713"/>
      <c r="F478" s="713"/>
      <c r="G478" s="713"/>
      <c r="H478" s="713"/>
      <c r="I478" s="713"/>
      <c r="J478" s="713"/>
      <c r="K478" s="713"/>
      <c r="L478" s="713"/>
      <c r="M478" s="713"/>
      <c r="N478" s="713"/>
      <c r="O478" s="713"/>
      <c r="P478" s="713"/>
      <c r="Q478" s="713"/>
      <c r="R478" s="713"/>
      <c r="S478" s="713"/>
      <c r="T478" s="713"/>
      <c r="U478" s="713"/>
      <c r="V478" s="713"/>
      <c r="W478" s="713"/>
      <c r="X478" s="713"/>
      <c r="Y478" s="713"/>
      <c r="Z478" s="713"/>
      <c r="AA478" s="707"/>
      <c r="AB478" s="707"/>
      <c r="AC478" s="707"/>
      <c r="AD478" s="707"/>
      <c r="AE478" s="707"/>
      <c r="AF478" s="707"/>
      <c r="AG478" s="707"/>
      <c r="AH478" s="707"/>
      <c r="AI478" s="707"/>
      <c r="AJ478" s="707"/>
      <c r="AK478" s="707"/>
      <c r="AL478" s="707"/>
      <c r="AM478" s="707"/>
      <c r="AN478" s="707"/>
      <c r="AO478" s="707"/>
      <c r="AP478" s="707"/>
      <c r="AQ478" s="707"/>
      <c r="AR478" s="707"/>
      <c r="AS478" s="707"/>
      <c r="AT478" s="707"/>
      <c r="AU478" s="707"/>
      <c r="AV478" s="707"/>
      <c r="AW478" s="707"/>
      <c r="AX478" s="707"/>
      <c r="AY478" s="707"/>
      <c r="AZ478" s="707"/>
      <c r="BA478" s="707"/>
      <c r="BB478" s="707"/>
      <c r="BC478" s="707"/>
      <c r="BD478" s="707"/>
      <c r="BE478" s="707"/>
      <c r="BF478" s="707"/>
      <c r="BG478" s="707"/>
      <c r="BH478" s="707"/>
      <c r="BI478" s="707"/>
      <c r="BJ478" s="707"/>
      <c r="BK478" s="707"/>
      <c r="BL478" s="707"/>
      <c r="BM478" s="707"/>
      <c r="BN478" s="707"/>
      <c r="BO478" s="707"/>
      <c r="BP478" s="707"/>
      <c r="BQ478" s="707"/>
      <c r="BR478" s="707"/>
      <c r="BS478" s="707"/>
      <c r="BT478" s="707"/>
      <c r="BU478" s="707"/>
      <c r="BV478" s="707"/>
      <c r="BW478" s="707"/>
      <c r="BX478" s="707"/>
      <c r="BY478" s="707"/>
      <c r="BZ478" s="707"/>
      <c r="CA478" s="707"/>
      <c r="CB478" s="707"/>
      <c r="CC478" s="707"/>
      <c r="CD478" s="707"/>
      <c r="CE478" s="707"/>
      <c r="CF478" s="707"/>
      <c r="CG478" s="707"/>
      <c r="CH478" s="707"/>
      <c r="CI478" s="707"/>
      <c r="CJ478" s="707"/>
      <c r="CK478" s="707"/>
      <c r="CL478" s="707"/>
      <c r="CM478" s="707"/>
      <c r="CN478" s="707"/>
      <c r="CO478" s="707"/>
      <c r="CP478" s="707"/>
      <c r="CQ478" s="707"/>
      <c r="CR478" s="707"/>
      <c r="CS478" s="707"/>
      <c r="CT478" s="707"/>
      <c r="CU478" s="707"/>
      <c r="CV478" s="707"/>
      <c r="CW478" s="707"/>
      <c r="CX478" s="707"/>
      <c r="CY478" s="707"/>
      <c r="CZ478" s="707"/>
      <c r="DA478" s="707"/>
      <c r="DB478" s="707"/>
      <c r="DC478" s="707"/>
      <c r="DD478" s="707"/>
      <c r="DE478" s="707"/>
      <c r="DF478" s="707"/>
      <c r="DG478" s="707"/>
      <c r="DH478" s="707"/>
      <c r="DI478" s="707"/>
      <c r="DJ478" s="707"/>
      <c r="DK478" s="707"/>
      <c r="DL478" s="707"/>
      <c r="DM478" s="707"/>
      <c r="DN478" s="707"/>
      <c r="DO478" s="707"/>
      <c r="DP478" s="707"/>
      <c r="DQ478" s="707"/>
      <c r="DR478" s="707"/>
      <c r="DS478" s="707"/>
      <c r="DT478" s="707"/>
      <c r="DU478" s="707"/>
      <c r="DV478" s="707"/>
      <c r="DW478" s="707"/>
      <c r="DX478" s="707"/>
      <c r="DY478" s="707"/>
      <c r="DZ478" s="707"/>
      <c r="EA478" s="707"/>
      <c r="EB478" s="707"/>
      <c r="EC478" s="707"/>
      <c r="ED478" s="707"/>
      <c r="EE478" s="707"/>
      <c r="EF478" s="707"/>
      <c r="EG478" s="707"/>
      <c r="EH478" s="707"/>
      <c r="EI478" s="707"/>
      <c r="EJ478" s="707"/>
      <c r="EK478" s="707"/>
      <c r="EL478" s="707"/>
      <c r="EM478" s="707"/>
      <c r="EN478" s="707"/>
      <c r="EO478" s="707"/>
      <c r="EP478" s="707"/>
      <c r="EQ478" s="707"/>
      <c r="ER478" s="707"/>
      <c r="ES478" s="707"/>
      <c r="ET478" s="707"/>
      <c r="EU478" s="707"/>
      <c r="EV478" s="707"/>
      <c r="EW478" s="707"/>
      <c r="EX478" s="707"/>
      <c r="EY478" s="707"/>
      <c r="EZ478" s="707"/>
      <c r="FA478" s="707"/>
      <c r="FB478" s="707"/>
      <c r="FC478" s="707"/>
      <c r="FD478" s="707"/>
      <c r="FE478" s="707"/>
      <c r="FF478" s="707"/>
      <c r="FG478" s="707"/>
      <c r="FH478" s="707"/>
      <c r="FI478" s="707"/>
      <c r="FJ478" s="707"/>
      <c r="FK478" s="707"/>
      <c r="FL478" s="707"/>
      <c r="FM478" s="707"/>
      <c r="FN478" s="707"/>
      <c r="FO478" s="707"/>
      <c r="FP478" s="707"/>
      <c r="FQ478" s="707"/>
      <c r="FR478" s="707"/>
      <c r="FS478" s="707"/>
      <c r="FT478" s="707"/>
      <c r="FU478" s="707"/>
      <c r="FV478" s="707"/>
      <c r="FW478" s="707"/>
      <c r="FX478" s="707"/>
      <c r="FY478" s="707"/>
      <c r="FZ478" s="707"/>
      <c r="GA478" s="707"/>
      <c r="GB478" s="707"/>
      <c r="GC478" s="707"/>
      <c r="GD478" s="707"/>
      <c r="GE478" s="707"/>
      <c r="GF478" s="707"/>
      <c r="GG478" s="707"/>
      <c r="GH478" s="707"/>
      <c r="GI478" s="707"/>
      <c r="GJ478" s="707"/>
      <c r="GK478" s="707"/>
      <c r="GL478" s="707"/>
      <c r="GM478" s="707"/>
      <c r="GN478" s="707"/>
      <c r="GO478" s="707"/>
      <c r="GP478" s="707"/>
      <c r="GQ478" s="707"/>
      <c r="GR478" s="707"/>
      <c r="GS478" s="707"/>
      <c r="GT478" s="707"/>
      <c r="GU478" s="707"/>
      <c r="GV478" s="707"/>
      <c r="GW478" s="707"/>
      <c r="GX478" s="707"/>
      <c r="GY478" s="707"/>
      <c r="GZ478" s="707"/>
      <c r="HA478" s="707"/>
      <c r="HB478" s="707"/>
      <c r="HC478" s="707"/>
      <c r="HD478" s="707"/>
      <c r="HE478" s="707"/>
      <c r="HF478" s="707"/>
      <c r="HG478" s="707"/>
      <c r="HH478" s="707"/>
      <c r="HI478" s="707"/>
      <c r="HJ478" s="707"/>
      <c r="HK478" s="707"/>
      <c r="HL478" s="707"/>
      <c r="HM478" s="707"/>
      <c r="HN478" s="707"/>
      <c r="HO478" s="707"/>
      <c r="HP478" s="707"/>
      <c r="HQ478" s="707"/>
      <c r="HR478" s="707"/>
      <c r="HS478" s="707"/>
      <c r="HT478" s="707"/>
      <c r="HU478" s="707"/>
      <c r="HV478" s="707"/>
      <c r="HW478" s="707"/>
      <c r="HX478" s="707"/>
      <c r="HY478" s="707"/>
      <c r="HZ478" s="707"/>
      <c r="IA478" s="707"/>
      <c r="IB478" s="707"/>
      <c r="IC478" s="707"/>
      <c r="ID478" s="707"/>
      <c r="IE478" s="707"/>
      <c r="IF478" s="707"/>
      <c r="IG478" s="707"/>
      <c r="IH478" s="707"/>
      <c r="II478" s="707"/>
      <c r="IJ478" s="707"/>
      <c r="IK478" s="707"/>
      <c r="IL478" s="707"/>
      <c r="IM478" s="707"/>
      <c r="IN478" s="707"/>
      <c r="IO478" s="707"/>
      <c r="IP478" s="707"/>
      <c r="IQ478" s="707"/>
      <c r="IR478" s="707"/>
      <c r="IS478" s="707"/>
      <c r="IT478" s="707"/>
      <c r="IU478" s="707"/>
      <c r="IV478" s="707"/>
      <c r="IW478" s="707"/>
    </row>
    <row r="479" customFormat="false" ht="12.75" hidden="false" customHeight="false" outlineLevel="1" collapsed="false">
      <c r="A479" s="388"/>
      <c r="B479" s="706"/>
      <c r="C479" s="706"/>
      <c r="D479" s="706"/>
      <c r="E479" s="713"/>
      <c r="F479" s="713"/>
      <c r="G479" s="713"/>
      <c r="H479" s="713"/>
      <c r="I479" s="713"/>
      <c r="J479" s="713"/>
      <c r="K479" s="713"/>
      <c r="L479" s="713"/>
      <c r="M479" s="713"/>
      <c r="N479" s="713"/>
      <c r="O479" s="713"/>
      <c r="P479" s="713"/>
      <c r="Q479" s="713"/>
      <c r="R479" s="713"/>
      <c r="S479" s="713"/>
      <c r="T479" s="713"/>
      <c r="U479" s="713"/>
      <c r="V479" s="713"/>
      <c r="W479" s="713"/>
      <c r="X479" s="713"/>
      <c r="Y479" s="713"/>
      <c r="Z479" s="713"/>
      <c r="AA479" s="707"/>
      <c r="AB479" s="707"/>
      <c r="AC479" s="707"/>
      <c r="AD479" s="707"/>
      <c r="AE479" s="707"/>
      <c r="AF479" s="707"/>
      <c r="AG479" s="707"/>
      <c r="AH479" s="707"/>
      <c r="AI479" s="707"/>
      <c r="AJ479" s="707"/>
      <c r="AK479" s="707"/>
      <c r="AL479" s="707"/>
      <c r="AM479" s="707"/>
      <c r="AN479" s="707"/>
      <c r="AO479" s="707"/>
      <c r="AP479" s="707"/>
      <c r="AQ479" s="707"/>
      <c r="AR479" s="707"/>
      <c r="AS479" s="707"/>
      <c r="AT479" s="707"/>
      <c r="AU479" s="707"/>
      <c r="AV479" s="707"/>
      <c r="AW479" s="707"/>
      <c r="AX479" s="707"/>
      <c r="AY479" s="707"/>
      <c r="AZ479" s="707"/>
      <c r="BA479" s="707"/>
      <c r="BB479" s="707"/>
      <c r="BC479" s="707"/>
      <c r="BD479" s="707"/>
      <c r="BE479" s="707"/>
      <c r="BF479" s="707"/>
      <c r="BG479" s="707"/>
      <c r="BH479" s="707"/>
      <c r="BI479" s="707"/>
      <c r="BJ479" s="707"/>
      <c r="BK479" s="707"/>
      <c r="BL479" s="707"/>
      <c r="BM479" s="707"/>
      <c r="BN479" s="707"/>
      <c r="BO479" s="707"/>
      <c r="BP479" s="707"/>
      <c r="BQ479" s="707"/>
      <c r="BR479" s="707"/>
      <c r="BS479" s="707"/>
      <c r="BT479" s="707"/>
      <c r="BU479" s="707"/>
      <c r="BV479" s="707"/>
      <c r="BW479" s="707"/>
      <c r="BX479" s="707"/>
      <c r="BY479" s="707"/>
      <c r="BZ479" s="707"/>
      <c r="CA479" s="707"/>
      <c r="CB479" s="707"/>
      <c r="CC479" s="707"/>
      <c r="CD479" s="707"/>
      <c r="CE479" s="707"/>
      <c r="CF479" s="707"/>
      <c r="CG479" s="707"/>
      <c r="CH479" s="707"/>
      <c r="CI479" s="707"/>
      <c r="CJ479" s="707"/>
      <c r="CK479" s="707"/>
      <c r="CL479" s="707"/>
      <c r="CM479" s="707"/>
      <c r="CN479" s="707"/>
      <c r="CO479" s="707"/>
      <c r="CP479" s="707"/>
      <c r="CQ479" s="707"/>
      <c r="CR479" s="707"/>
      <c r="CS479" s="707"/>
      <c r="CT479" s="707"/>
      <c r="CU479" s="707"/>
      <c r="CV479" s="707"/>
      <c r="CW479" s="707"/>
      <c r="CX479" s="707"/>
      <c r="CY479" s="707"/>
      <c r="CZ479" s="707"/>
      <c r="DA479" s="707"/>
      <c r="DB479" s="707"/>
      <c r="DC479" s="707"/>
      <c r="DD479" s="707"/>
      <c r="DE479" s="707"/>
      <c r="DF479" s="707"/>
      <c r="DG479" s="707"/>
      <c r="DH479" s="707"/>
      <c r="DI479" s="707"/>
      <c r="DJ479" s="707"/>
      <c r="DK479" s="707"/>
      <c r="DL479" s="707"/>
      <c r="DM479" s="707"/>
      <c r="DN479" s="707"/>
      <c r="DO479" s="707"/>
      <c r="DP479" s="707"/>
      <c r="DQ479" s="707"/>
      <c r="DR479" s="707"/>
      <c r="DS479" s="707"/>
      <c r="DT479" s="707"/>
      <c r="DU479" s="707"/>
      <c r="DV479" s="707"/>
      <c r="DW479" s="707"/>
      <c r="DX479" s="707"/>
      <c r="DY479" s="707"/>
      <c r="DZ479" s="707"/>
      <c r="EA479" s="707"/>
      <c r="EB479" s="707"/>
      <c r="EC479" s="707"/>
      <c r="ED479" s="707"/>
      <c r="EE479" s="707"/>
      <c r="EF479" s="707"/>
      <c r="EG479" s="707"/>
      <c r="EH479" s="707"/>
      <c r="EI479" s="707"/>
      <c r="EJ479" s="707"/>
      <c r="EK479" s="707"/>
      <c r="EL479" s="707"/>
      <c r="EM479" s="707"/>
      <c r="EN479" s="707"/>
      <c r="EO479" s="707"/>
      <c r="EP479" s="707"/>
      <c r="EQ479" s="707"/>
      <c r="ER479" s="707"/>
      <c r="ES479" s="707"/>
      <c r="ET479" s="707"/>
      <c r="EU479" s="707"/>
      <c r="EV479" s="707"/>
      <c r="EW479" s="707"/>
      <c r="EX479" s="707"/>
      <c r="EY479" s="707"/>
      <c r="EZ479" s="707"/>
      <c r="FA479" s="707"/>
      <c r="FB479" s="707"/>
      <c r="FC479" s="707"/>
      <c r="FD479" s="707"/>
      <c r="FE479" s="707"/>
      <c r="FF479" s="707"/>
      <c r="FG479" s="707"/>
      <c r="FH479" s="707"/>
      <c r="FI479" s="707"/>
      <c r="FJ479" s="707"/>
      <c r="FK479" s="707"/>
      <c r="FL479" s="707"/>
      <c r="FM479" s="707"/>
      <c r="FN479" s="707"/>
      <c r="FO479" s="707"/>
      <c r="FP479" s="707"/>
      <c r="FQ479" s="707"/>
      <c r="FR479" s="707"/>
      <c r="FS479" s="707"/>
      <c r="FT479" s="707"/>
      <c r="FU479" s="707"/>
      <c r="FV479" s="707"/>
      <c r="FW479" s="707"/>
      <c r="FX479" s="707"/>
      <c r="FY479" s="707"/>
      <c r="FZ479" s="707"/>
      <c r="GA479" s="707"/>
      <c r="GB479" s="707"/>
      <c r="GC479" s="707"/>
      <c r="GD479" s="707"/>
      <c r="GE479" s="707"/>
      <c r="GF479" s="707"/>
      <c r="GG479" s="707"/>
      <c r="GH479" s="707"/>
      <c r="GI479" s="707"/>
      <c r="GJ479" s="707"/>
      <c r="GK479" s="707"/>
      <c r="GL479" s="707"/>
      <c r="GM479" s="707"/>
      <c r="GN479" s="707"/>
      <c r="GO479" s="707"/>
      <c r="GP479" s="707"/>
      <c r="GQ479" s="707"/>
      <c r="GR479" s="707"/>
      <c r="GS479" s="707"/>
      <c r="GT479" s="707"/>
      <c r="GU479" s="707"/>
      <c r="GV479" s="707"/>
      <c r="GW479" s="707"/>
      <c r="GX479" s="707"/>
      <c r="GY479" s="707"/>
      <c r="GZ479" s="707"/>
      <c r="HA479" s="707"/>
      <c r="HB479" s="707"/>
      <c r="HC479" s="707"/>
      <c r="HD479" s="707"/>
      <c r="HE479" s="707"/>
      <c r="HF479" s="707"/>
      <c r="HG479" s="707"/>
      <c r="HH479" s="707"/>
      <c r="HI479" s="707"/>
      <c r="HJ479" s="707"/>
      <c r="HK479" s="707"/>
      <c r="HL479" s="707"/>
      <c r="HM479" s="707"/>
      <c r="HN479" s="707"/>
      <c r="HO479" s="707"/>
      <c r="HP479" s="707"/>
      <c r="HQ479" s="707"/>
      <c r="HR479" s="707"/>
      <c r="HS479" s="707"/>
      <c r="HT479" s="707"/>
      <c r="HU479" s="707"/>
      <c r="HV479" s="707"/>
      <c r="HW479" s="707"/>
      <c r="HX479" s="707"/>
      <c r="HY479" s="707"/>
      <c r="HZ479" s="707"/>
      <c r="IA479" s="707"/>
      <c r="IB479" s="707"/>
      <c r="IC479" s="707"/>
      <c r="ID479" s="707"/>
      <c r="IE479" s="707"/>
      <c r="IF479" s="707"/>
      <c r="IG479" s="707"/>
      <c r="IH479" s="707"/>
      <c r="II479" s="707"/>
      <c r="IJ479" s="707"/>
      <c r="IK479" s="707"/>
      <c r="IL479" s="707"/>
      <c r="IM479" s="707"/>
      <c r="IN479" s="707"/>
      <c r="IO479" s="707"/>
      <c r="IP479" s="707"/>
      <c r="IQ479" s="707"/>
      <c r="IR479" s="707"/>
      <c r="IS479" s="707"/>
      <c r="IT479" s="707"/>
      <c r="IU479" s="707"/>
      <c r="IV479" s="707"/>
      <c r="IW479" s="707"/>
    </row>
    <row r="480" customFormat="false" ht="12.75" hidden="false" customHeight="false" outlineLevel="1" collapsed="false">
      <c r="A480" s="716"/>
      <c r="B480" s="717"/>
      <c r="C480" s="717"/>
      <c r="D480" s="717"/>
      <c r="E480" s="713"/>
      <c r="F480" s="713"/>
      <c r="G480" s="713"/>
      <c r="H480" s="713"/>
      <c r="I480" s="713"/>
      <c r="J480" s="713"/>
      <c r="K480" s="713"/>
      <c r="L480" s="713"/>
      <c r="M480" s="713"/>
      <c r="N480" s="713"/>
      <c r="O480" s="713"/>
      <c r="P480" s="713"/>
      <c r="Q480" s="713"/>
      <c r="R480" s="713"/>
      <c r="S480" s="713"/>
      <c r="T480" s="713"/>
      <c r="U480" s="713"/>
      <c r="V480" s="713"/>
      <c r="W480" s="713"/>
      <c r="X480" s="713"/>
      <c r="Y480" s="713"/>
      <c r="Z480" s="713"/>
      <c r="AA480" s="707"/>
      <c r="AB480" s="707"/>
      <c r="AC480" s="707"/>
      <c r="AD480" s="707"/>
      <c r="AE480" s="707"/>
      <c r="AF480" s="707"/>
      <c r="AG480" s="707"/>
      <c r="AH480" s="707"/>
      <c r="AI480" s="707"/>
      <c r="AJ480" s="707"/>
      <c r="AK480" s="707"/>
      <c r="AL480" s="707"/>
      <c r="AM480" s="707"/>
      <c r="AN480" s="707"/>
      <c r="AO480" s="707"/>
      <c r="AP480" s="707"/>
      <c r="AQ480" s="707"/>
      <c r="AR480" s="707"/>
      <c r="AS480" s="707"/>
      <c r="AT480" s="707"/>
      <c r="AU480" s="707"/>
      <c r="AV480" s="707"/>
      <c r="AW480" s="707"/>
      <c r="AX480" s="707"/>
      <c r="AY480" s="707"/>
      <c r="AZ480" s="707"/>
      <c r="BA480" s="707"/>
      <c r="BB480" s="707"/>
      <c r="BC480" s="707"/>
      <c r="BD480" s="707"/>
      <c r="BE480" s="707"/>
      <c r="BF480" s="707"/>
      <c r="BG480" s="707"/>
      <c r="BH480" s="707"/>
      <c r="BI480" s="707"/>
      <c r="BJ480" s="707"/>
      <c r="BK480" s="707"/>
      <c r="BL480" s="707"/>
      <c r="BM480" s="707"/>
      <c r="BN480" s="707"/>
      <c r="BO480" s="707"/>
      <c r="BP480" s="707"/>
      <c r="BQ480" s="707"/>
      <c r="BR480" s="707"/>
      <c r="BS480" s="707"/>
      <c r="BT480" s="707"/>
      <c r="BU480" s="707"/>
      <c r="BV480" s="707"/>
      <c r="BW480" s="707"/>
      <c r="BX480" s="707"/>
      <c r="BY480" s="707"/>
      <c r="BZ480" s="707"/>
      <c r="CA480" s="707"/>
      <c r="CB480" s="707"/>
      <c r="CC480" s="707"/>
      <c r="CD480" s="707"/>
      <c r="CE480" s="707"/>
      <c r="CF480" s="707"/>
      <c r="CG480" s="707"/>
      <c r="CH480" s="707"/>
      <c r="CI480" s="707"/>
      <c r="CJ480" s="707"/>
      <c r="CK480" s="707"/>
      <c r="CL480" s="707"/>
      <c r="CM480" s="707"/>
      <c r="CN480" s="707"/>
      <c r="CO480" s="707"/>
      <c r="CP480" s="707"/>
      <c r="CQ480" s="707"/>
      <c r="CR480" s="707"/>
      <c r="CS480" s="707"/>
      <c r="CT480" s="707"/>
      <c r="CU480" s="707"/>
      <c r="CV480" s="707"/>
      <c r="CW480" s="707"/>
      <c r="CX480" s="707"/>
      <c r="CY480" s="707"/>
      <c r="CZ480" s="707"/>
      <c r="DA480" s="707"/>
      <c r="DB480" s="707"/>
      <c r="DC480" s="707"/>
      <c r="DD480" s="707"/>
      <c r="DE480" s="707"/>
      <c r="DF480" s="707"/>
      <c r="DG480" s="707"/>
      <c r="DH480" s="707"/>
      <c r="DI480" s="707"/>
      <c r="DJ480" s="707"/>
      <c r="DK480" s="707"/>
      <c r="DL480" s="707"/>
      <c r="DM480" s="707"/>
      <c r="DN480" s="707"/>
      <c r="DO480" s="707"/>
      <c r="DP480" s="707"/>
      <c r="DQ480" s="707"/>
      <c r="DR480" s="707"/>
      <c r="DS480" s="707"/>
      <c r="DT480" s="707"/>
      <c r="DU480" s="707"/>
      <c r="DV480" s="707"/>
      <c r="DW480" s="707"/>
      <c r="DX480" s="707"/>
      <c r="DY480" s="707"/>
      <c r="DZ480" s="707"/>
      <c r="EA480" s="707"/>
      <c r="EB480" s="707"/>
      <c r="EC480" s="707"/>
      <c r="ED480" s="707"/>
      <c r="EE480" s="707"/>
      <c r="EF480" s="707"/>
      <c r="EG480" s="707"/>
      <c r="EH480" s="707"/>
      <c r="EI480" s="707"/>
      <c r="EJ480" s="707"/>
      <c r="EK480" s="707"/>
      <c r="EL480" s="707"/>
      <c r="EM480" s="707"/>
      <c r="EN480" s="707"/>
      <c r="EO480" s="707"/>
      <c r="EP480" s="707"/>
      <c r="EQ480" s="707"/>
      <c r="ER480" s="707"/>
      <c r="ES480" s="707"/>
      <c r="ET480" s="707"/>
      <c r="EU480" s="707"/>
      <c r="EV480" s="707"/>
      <c r="EW480" s="707"/>
      <c r="EX480" s="707"/>
      <c r="EY480" s="707"/>
      <c r="EZ480" s="707"/>
      <c r="FA480" s="707"/>
      <c r="FB480" s="707"/>
      <c r="FC480" s="707"/>
      <c r="FD480" s="707"/>
      <c r="FE480" s="707"/>
      <c r="FF480" s="707"/>
      <c r="FG480" s="707"/>
      <c r="FH480" s="707"/>
      <c r="FI480" s="707"/>
      <c r="FJ480" s="707"/>
      <c r="FK480" s="707"/>
      <c r="FL480" s="707"/>
      <c r="FM480" s="707"/>
      <c r="FN480" s="707"/>
      <c r="FO480" s="707"/>
      <c r="FP480" s="707"/>
      <c r="FQ480" s="707"/>
      <c r="FR480" s="707"/>
      <c r="FS480" s="707"/>
      <c r="FT480" s="707"/>
      <c r="FU480" s="707"/>
      <c r="FV480" s="707"/>
      <c r="FW480" s="707"/>
      <c r="FX480" s="707"/>
      <c r="FY480" s="707"/>
      <c r="FZ480" s="707"/>
      <c r="GA480" s="707"/>
      <c r="GB480" s="707"/>
      <c r="GC480" s="707"/>
      <c r="GD480" s="707"/>
      <c r="GE480" s="707"/>
      <c r="GF480" s="707"/>
      <c r="GG480" s="707"/>
      <c r="GH480" s="707"/>
      <c r="GI480" s="707"/>
      <c r="GJ480" s="707"/>
      <c r="GK480" s="707"/>
      <c r="GL480" s="707"/>
      <c r="GM480" s="707"/>
      <c r="GN480" s="707"/>
      <c r="GO480" s="707"/>
      <c r="GP480" s="707"/>
      <c r="GQ480" s="707"/>
      <c r="GR480" s="707"/>
      <c r="GS480" s="707"/>
      <c r="GT480" s="707"/>
      <c r="GU480" s="707"/>
      <c r="GV480" s="707"/>
      <c r="GW480" s="707"/>
      <c r="GX480" s="707"/>
      <c r="GY480" s="707"/>
      <c r="GZ480" s="707"/>
      <c r="HA480" s="707"/>
      <c r="HB480" s="707"/>
      <c r="HC480" s="707"/>
      <c r="HD480" s="707"/>
      <c r="HE480" s="707"/>
      <c r="HF480" s="707"/>
      <c r="HG480" s="707"/>
      <c r="HH480" s="707"/>
      <c r="HI480" s="707"/>
      <c r="HJ480" s="707"/>
      <c r="HK480" s="707"/>
      <c r="HL480" s="707"/>
      <c r="HM480" s="707"/>
      <c r="HN480" s="707"/>
      <c r="HO480" s="707"/>
      <c r="HP480" s="707"/>
      <c r="HQ480" s="707"/>
      <c r="HR480" s="707"/>
      <c r="HS480" s="707"/>
      <c r="HT480" s="707"/>
      <c r="HU480" s="707"/>
      <c r="HV480" s="707"/>
      <c r="HW480" s="707"/>
      <c r="HX480" s="707"/>
      <c r="HY480" s="707"/>
      <c r="HZ480" s="707"/>
      <c r="IA480" s="707"/>
      <c r="IB480" s="707"/>
      <c r="IC480" s="707"/>
      <c r="ID480" s="707"/>
      <c r="IE480" s="707"/>
      <c r="IF480" s="707"/>
      <c r="IG480" s="707"/>
      <c r="IH480" s="707"/>
      <c r="II480" s="707"/>
      <c r="IJ480" s="707"/>
      <c r="IK480" s="707"/>
      <c r="IL480" s="707"/>
      <c r="IM480" s="707"/>
      <c r="IN480" s="707"/>
      <c r="IO480" s="707"/>
      <c r="IP480" s="707"/>
      <c r="IQ480" s="707"/>
      <c r="IR480" s="707"/>
      <c r="IS480" s="707"/>
      <c r="IT480" s="707"/>
      <c r="IU480" s="707"/>
      <c r="IV480" s="707"/>
      <c r="IW480" s="707"/>
    </row>
    <row r="481" customFormat="false" ht="12.75" hidden="false" customHeight="false" outlineLevel="1" collapsed="false">
      <c r="A481" s="716"/>
      <c r="B481" s="717"/>
      <c r="C481" s="717"/>
      <c r="D481" s="717"/>
      <c r="E481" s="713"/>
      <c r="F481" s="713"/>
      <c r="G481" s="713"/>
      <c r="H481" s="713"/>
      <c r="I481" s="713"/>
      <c r="J481" s="713"/>
      <c r="K481" s="713"/>
      <c r="L481" s="713"/>
      <c r="M481" s="713"/>
      <c r="N481" s="713"/>
      <c r="O481" s="713"/>
      <c r="P481" s="713"/>
      <c r="Q481" s="713"/>
      <c r="R481" s="713"/>
      <c r="S481" s="713"/>
      <c r="T481" s="713"/>
      <c r="U481" s="713"/>
      <c r="V481" s="713"/>
      <c r="W481" s="713"/>
      <c r="X481" s="713"/>
      <c r="Y481" s="713"/>
      <c r="Z481" s="713"/>
      <c r="AA481" s="707"/>
      <c r="AB481" s="707"/>
      <c r="AC481" s="707"/>
      <c r="AD481" s="707"/>
      <c r="AE481" s="707"/>
      <c r="AF481" s="707"/>
      <c r="AG481" s="707"/>
      <c r="AH481" s="707"/>
      <c r="AI481" s="707"/>
      <c r="AJ481" s="707"/>
      <c r="AK481" s="707"/>
      <c r="AL481" s="707"/>
      <c r="AM481" s="707"/>
      <c r="AN481" s="707"/>
      <c r="AO481" s="707"/>
      <c r="AP481" s="707"/>
      <c r="AQ481" s="707"/>
      <c r="AR481" s="707"/>
      <c r="AS481" s="707"/>
      <c r="AT481" s="707"/>
      <c r="AU481" s="707"/>
      <c r="AV481" s="707"/>
      <c r="AW481" s="707"/>
      <c r="AX481" s="707"/>
      <c r="AY481" s="707"/>
      <c r="AZ481" s="707"/>
      <c r="BA481" s="707"/>
      <c r="BB481" s="707"/>
      <c r="BC481" s="707"/>
      <c r="BD481" s="707"/>
      <c r="BE481" s="707"/>
      <c r="BF481" s="707"/>
      <c r="BG481" s="707"/>
      <c r="BH481" s="707"/>
      <c r="BI481" s="707"/>
      <c r="BJ481" s="707"/>
      <c r="BK481" s="707"/>
      <c r="BL481" s="707"/>
      <c r="BM481" s="707"/>
      <c r="BN481" s="707"/>
      <c r="BO481" s="707"/>
      <c r="BP481" s="707"/>
      <c r="BQ481" s="707"/>
      <c r="BR481" s="707"/>
      <c r="BS481" s="707"/>
      <c r="BT481" s="707"/>
      <c r="BU481" s="707"/>
      <c r="BV481" s="707"/>
      <c r="BW481" s="707"/>
      <c r="BX481" s="707"/>
      <c r="BY481" s="707"/>
      <c r="BZ481" s="707"/>
      <c r="CA481" s="707"/>
      <c r="CB481" s="707"/>
      <c r="CC481" s="707"/>
      <c r="CD481" s="707"/>
      <c r="CE481" s="707"/>
      <c r="CF481" s="707"/>
      <c r="CG481" s="707"/>
      <c r="CH481" s="707"/>
      <c r="CI481" s="707"/>
      <c r="CJ481" s="707"/>
      <c r="CK481" s="707"/>
      <c r="CL481" s="707"/>
      <c r="CM481" s="707"/>
      <c r="CN481" s="707"/>
      <c r="CO481" s="707"/>
      <c r="CP481" s="707"/>
      <c r="CQ481" s="707"/>
      <c r="CR481" s="707"/>
      <c r="CS481" s="707"/>
      <c r="CT481" s="707"/>
      <c r="CU481" s="707"/>
      <c r="CV481" s="707"/>
      <c r="CW481" s="707"/>
      <c r="CX481" s="707"/>
      <c r="CY481" s="707"/>
      <c r="CZ481" s="707"/>
      <c r="DA481" s="707"/>
      <c r="DB481" s="707"/>
      <c r="DC481" s="707"/>
      <c r="DD481" s="707"/>
      <c r="DE481" s="707"/>
      <c r="DF481" s="707"/>
      <c r="DG481" s="707"/>
      <c r="DH481" s="707"/>
      <c r="DI481" s="707"/>
      <c r="DJ481" s="707"/>
      <c r="DK481" s="707"/>
      <c r="DL481" s="707"/>
      <c r="DM481" s="707"/>
      <c r="DN481" s="707"/>
      <c r="DO481" s="707"/>
      <c r="DP481" s="707"/>
      <c r="DQ481" s="707"/>
      <c r="DR481" s="707"/>
      <c r="DS481" s="707"/>
      <c r="DT481" s="707"/>
      <c r="DU481" s="707"/>
      <c r="DV481" s="707"/>
      <c r="DW481" s="707"/>
      <c r="DX481" s="707"/>
      <c r="DY481" s="707"/>
      <c r="DZ481" s="707"/>
      <c r="EA481" s="707"/>
      <c r="EB481" s="707"/>
      <c r="EC481" s="707"/>
      <c r="ED481" s="707"/>
      <c r="EE481" s="707"/>
      <c r="EF481" s="707"/>
      <c r="EG481" s="707"/>
      <c r="EH481" s="707"/>
      <c r="EI481" s="707"/>
      <c r="EJ481" s="707"/>
      <c r="EK481" s="707"/>
      <c r="EL481" s="707"/>
      <c r="EM481" s="707"/>
      <c r="EN481" s="707"/>
      <c r="EO481" s="707"/>
      <c r="EP481" s="707"/>
      <c r="EQ481" s="707"/>
      <c r="ER481" s="707"/>
      <c r="ES481" s="707"/>
      <c r="ET481" s="707"/>
      <c r="EU481" s="707"/>
      <c r="EV481" s="707"/>
      <c r="EW481" s="707"/>
      <c r="EX481" s="707"/>
      <c r="EY481" s="707"/>
      <c r="EZ481" s="707"/>
      <c r="FA481" s="707"/>
      <c r="FB481" s="707"/>
      <c r="FC481" s="707"/>
      <c r="FD481" s="707"/>
      <c r="FE481" s="707"/>
      <c r="FF481" s="707"/>
      <c r="FG481" s="707"/>
      <c r="FH481" s="707"/>
      <c r="FI481" s="707"/>
      <c r="FJ481" s="707"/>
      <c r="FK481" s="707"/>
      <c r="FL481" s="707"/>
      <c r="FM481" s="707"/>
      <c r="FN481" s="707"/>
      <c r="FO481" s="707"/>
      <c r="FP481" s="707"/>
      <c r="FQ481" s="707"/>
      <c r="FR481" s="707"/>
      <c r="FS481" s="707"/>
      <c r="FT481" s="707"/>
      <c r="FU481" s="707"/>
      <c r="FV481" s="707"/>
      <c r="FW481" s="707"/>
      <c r="FX481" s="707"/>
      <c r="FY481" s="707"/>
      <c r="FZ481" s="707"/>
      <c r="GA481" s="707"/>
      <c r="GB481" s="707"/>
      <c r="GC481" s="707"/>
      <c r="GD481" s="707"/>
      <c r="GE481" s="707"/>
      <c r="GF481" s="707"/>
      <c r="GG481" s="707"/>
      <c r="GH481" s="707"/>
      <c r="GI481" s="707"/>
      <c r="GJ481" s="707"/>
      <c r="GK481" s="707"/>
      <c r="GL481" s="707"/>
      <c r="GM481" s="707"/>
      <c r="GN481" s="707"/>
      <c r="GO481" s="707"/>
      <c r="GP481" s="707"/>
      <c r="GQ481" s="707"/>
      <c r="GR481" s="707"/>
      <c r="GS481" s="707"/>
      <c r="GT481" s="707"/>
      <c r="GU481" s="707"/>
      <c r="GV481" s="707"/>
      <c r="GW481" s="707"/>
      <c r="GX481" s="707"/>
      <c r="GY481" s="707"/>
      <c r="GZ481" s="707"/>
      <c r="HA481" s="707"/>
      <c r="HB481" s="707"/>
      <c r="HC481" s="707"/>
      <c r="HD481" s="707"/>
      <c r="HE481" s="707"/>
      <c r="HF481" s="707"/>
      <c r="HG481" s="707"/>
      <c r="HH481" s="707"/>
      <c r="HI481" s="707"/>
      <c r="HJ481" s="707"/>
      <c r="HK481" s="707"/>
      <c r="HL481" s="707"/>
      <c r="HM481" s="707"/>
      <c r="HN481" s="707"/>
      <c r="HO481" s="707"/>
      <c r="HP481" s="707"/>
      <c r="HQ481" s="707"/>
      <c r="HR481" s="707"/>
      <c r="HS481" s="707"/>
      <c r="HT481" s="707"/>
      <c r="HU481" s="707"/>
      <c r="HV481" s="707"/>
      <c r="HW481" s="707"/>
      <c r="HX481" s="707"/>
      <c r="HY481" s="707"/>
      <c r="HZ481" s="707"/>
      <c r="IA481" s="707"/>
      <c r="IB481" s="707"/>
      <c r="IC481" s="707"/>
      <c r="ID481" s="707"/>
      <c r="IE481" s="707"/>
      <c r="IF481" s="707"/>
      <c r="IG481" s="707"/>
      <c r="IH481" s="707"/>
      <c r="II481" s="707"/>
      <c r="IJ481" s="707"/>
      <c r="IK481" s="707"/>
      <c r="IL481" s="707"/>
      <c r="IM481" s="707"/>
      <c r="IN481" s="707"/>
      <c r="IO481" s="707"/>
      <c r="IP481" s="707"/>
      <c r="IQ481" s="707"/>
      <c r="IR481" s="707"/>
      <c r="IS481" s="707"/>
      <c r="IT481" s="707"/>
      <c r="IU481" s="707"/>
      <c r="IV481" s="707"/>
      <c r="IW481" s="707"/>
    </row>
    <row r="482" customFormat="false" ht="12.75" hidden="false" customHeight="false" outlineLevel="1" collapsed="false">
      <c r="A482" s="716"/>
      <c r="B482" s="717"/>
      <c r="C482" s="717"/>
      <c r="D482" s="717"/>
      <c r="E482" s="713"/>
      <c r="F482" s="713"/>
      <c r="G482" s="713"/>
      <c r="H482" s="713"/>
      <c r="I482" s="713"/>
      <c r="J482" s="713"/>
      <c r="K482" s="713"/>
      <c r="L482" s="713"/>
      <c r="M482" s="713"/>
      <c r="N482" s="713"/>
      <c r="O482" s="713"/>
      <c r="P482" s="713"/>
      <c r="Q482" s="713"/>
      <c r="R482" s="713"/>
      <c r="S482" s="713"/>
      <c r="T482" s="713"/>
      <c r="U482" s="713"/>
      <c r="V482" s="713"/>
      <c r="W482" s="713"/>
      <c r="X482" s="713"/>
      <c r="Y482" s="713"/>
      <c r="Z482" s="713"/>
      <c r="AA482" s="707"/>
      <c r="AB482" s="707"/>
      <c r="AC482" s="707"/>
      <c r="AD482" s="707"/>
      <c r="AE482" s="707"/>
      <c r="AF482" s="707"/>
      <c r="AG482" s="707"/>
      <c r="AH482" s="707"/>
      <c r="AI482" s="707"/>
      <c r="AJ482" s="707"/>
      <c r="AK482" s="707"/>
      <c r="AL482" s="707"/>
      <c r="AM482" s="707"/>
      <c r="AN482" s="707"/>
      <c r="AO482" s="707"/>
      <c r="AP482" s="707"/>
      <c r="AQ482" s="707"/>
      <c r="AR482" s="707"/>
      <c r="AS482" s="707"/>
      <c r="AT482" s="707"/>
      <c r="AU482" s="707"/>
      <c r="AV482" s="707"/>
      <c r="AW482" s="707"/>
      <c r="AX482" s="707"/>
      <c r="AY482" s="707"/>
      <c r="AZ482" s="707"/>
      <c r="BA482" s="707"/>
      <c r="BB482" s="707"/>
      <c r="BC482" s="707"/>
      <c r="BD482" s="707"/>
      <c r="BE482" s="707"/>
      <c r="BF482" s="707"/>
      <c r="BG482" s="707"/>
      <c r="BH482" s="707"/>
      <c r="BI482" s="707"/>
      <c r="BJ482" s="707"/>
      <c r="BK482" s="707"/>
      <c r="BL482" s="707"/>
      <c r="BM482" s="707"/>
      <c r="BN482" s="707"/>
      <c r="BO482" s="707"/>
      <c r="BP482" s="707"/>
      <c r="BQ482" s="707"/>
      <c r="BR482" s="707"/>
      <c r="BS482" s="707"/>
      <c r="BT482" s="707"/>
      <c r="BU482" s="707"/>
      <c r="BV482" s="707"/>
      <c r="BW482" s="707"/>
      <c r="BX482" s="707"/>
      <c r="BY482" s="707"/>
      <c r="BZ482" s="707"/>
      <c r="CA482" s="707"/>
      <c r="CB482" s="707"/>
      <c r="CC482" s="707"/>
      <c r="CD482" s="707"/>
      <c r="CE482" s="707"/>
      <c r="CF482" s="707"/>
      <c r="CG482" s="707"/>
      <c r="CH482" s="707"/>
      <c r="CI482" s="707"/>
      <c r="CJ482" s="707"/>
      <c r="CK482" s="707"/>
      <c r="CL482" s="707"/>
      <c r="CM482" s="707"/>
      <c r="CN482" s="707"/>
      <c r="CO482" s="707"/>
      <c r="CP482" s="707"/>
      <c r="CQ482" s="707"/>
      <c r="CR482" s="707"/>
      <c r="CS482" s="707"/>
      <c r="CT482" s="707"/>
      <c r="CU482" s="707"/>
      <c r="CV482" s="707"/>
      <c r="CW482" s="707"/>
      <c r="CX482" s="707"/>
      <c r="CY482" s="707"/>
      <c r="CZ482" s="707"/>
      <c r="DA482" s="707"/>
      <c r="DB482" s="707"/>
      <c r="DC482" s="707"/>
      <c r="DD482" s="707"/>
      <c r="DE482" s="707"/>
      <c r="DF482" s="707"/>
      <c r="DG482" s="707"/>
      <c r="DH482" s="707"/>
      <c r="DI482" s="707"/>
      <c r="DJ482" s="707"/>
      <c r="DK482" s="707"/>
      <c r="DL482" s="707"/>
      <c r="DM482" s="707"/>
      <c r="DN482" s="707"/>
      <c r="DO482" s="707"/>
      <c r="DP482" s="707"/>
      <c r="DQ482" s="707"/>
      <c r="DR482" s="707"/>
      <c r="DS482" s="707"/>
      <c r="DT482" s="707"/>
      <c r="DU482" s="707"/>
      <c r="DV482" s="707"/>
      <c r="DW482" s="707"/>
      <c r="DX482" s="707"/>
      <c r="DY482" s="707"/>
      <c r="DZ482" s="707"/>
      <c r="EA482" s="707"/>
      <c r="EB482" s="707"/>
      <c r="EC482" s="707"/>
      <c r="ED482" s="707"/>
      <c r="EE482" s="707"/>
      <c r="EF482" s="707"/>
      <c r="EG482" s="707"/>
      <c r="EH482" s="707"/>
      <c r="EI482" s="707"/>
      <c r="EJ482" s="707"/>
      <c r="EK482" s="707"/>
      <c r="EL482" s="707"/>
      <c r="EM482" s="707"/>
      <c r="EN482" s="707"/>
      <c r="EO482" s="707"/>
      <c r="EP482" s="707"/>
      <c r="EQ482" s="707"/>
      <c r="ER482" s="707"/>
      <c r="ES482" s="707"/>
      <c r="ET482" s="707"/>
      <c r="EU482" s="707"/>
      <c r="EV482" s="707"/>
      <c r="EW482" s="707"/>
      <c r="EX482" s="707"/>
      <c r="EY482" s="707"/>
      <c r="EZ482" s="707"/>
      <c r="FA482" s="707"/>
      <c r="FB482" s="707"/>
      <c r="FC482" s="707"/>
      <c r="FD482" s="707"/>
      <c r="FE482" s="707"/>
      <c r="FF482" s="707"/>
      <c r="FG482" s="707"/>
      <c r="FH482" s="707"/>
      <c r="FI482" s="707"/>
      <c r="FJ482" s="707"/>
      <c r="FK482" s="707"/>
      <c r="FL482" s="707"/>
      <c r="FM482" s="707"/>
      <c r="FN482" s="707"/>
      <c r="FO482" s="707"/>
      <c r="FP482" s="707"/>
      <c r="FQ482" s="707"/>
      <c r="FR482" s="707"/>
      <c r="FS482" s="707"/>
      <c r="FT482" s="707"/>
      <c r="FU482" s="707"/>
      <c r="FV482" s="707"/>
      <c r="FW482" s="707"/>
      <c r="FX482" s="707"/>
      <c r="FY482" s="707"/>
      <c r="FZ482" s="707"/>
      <c r="GA482" s="707"/>
      <c r="GB482" s="707"/>
      <c r="GC482" s="707"/>
      <c r="GD482" s="707"/>
      <c r="GE482" s="707"/>
      <c r="GF482" s="707"/>
      <c r="GG482" s="707"/>
      <c r="GH482" s="707"/>
      <c r="GI482" s="707"/>
      <c r="GJ482" s="707"/>
      <c r="GK482" s="707"/>
      <c r="GL482" s="707"/>
      <c r="GM482" s="707"/>
      <c r="GN482" s="707"/>
      <c r="GO482" s="707"/>
      <c r="GP482" s="707"/>
      <c r="GQ482" s="707"/>
      <c r="GR482" s="707"/>
      <c r="GS482" s="707"/>
      <c r="GT482" s="707"/>
      <c r="GU482" s="707"/>
      <c r="GV482" s="707"/>
      <c r="GW482" s="707"/>
      <c r="GX482" s="707"/>
      <c r="GY482" s="707"/>
      <c r="GZ482" s="707"/>
      <c r="HA482" s="707"/>
      <c r="HB482" s="707"/>
      <c r="HC482" s="707"/>
      <c r="HD482" s="707"/>
      <c r="HE482" s="707"/>
      <c r="HF482" s="707"/>
      <c r="HG482" s="707"/>
      <c r="HH482" s="707"/>
      <c r="HI482" s="707"/>
      <c r="HJ482" s="707"/>
      <c r="HK482" s="707"/>
      <c r="HL482" s="707"/>
      <c r="HM482" s="707"/>
      <c r="HN482" s="707"/>
      <c r="HO482" s="707"/>
      <c r="HP482" s="707"/>
      <c r="HQ482" s="707"/>
      <c r="HR482" s="707"/>
      <c r="HS482" s="707"/>
      <c r="HT482" s="707"/>
      <c r="HU482" s="707"/>
      <c r="HV482" s="707"/>
      <c r="HW482" s="707"/>
      <c r="HX482" s="707"/>
      <c r="HY482" s="707"/>
      <c r="HZ482" s="707"/>
      <c r="IA482" s="707"/>
      <c r="IB482" s="707"/>
      <c r="IC482" s="707"/>
      <c r="ID482" s="707"/>
      <c r="IE482" s="707"/>
      <c r="IF482" s="707"/>
      <c r="IG482" s="707"/>
      <c r="IH482" s="707"/>
      <c r="II482" s="707"/>
      <c r="IJ482" s="707"/>
      <c r="IK482" s="707"/>
      <c r="IL482" s="707"/>
      <c r="IM482" s="707"/>
      <c r="IN482" s="707"/>
      <c r="IO482" s="707"/>
      <c r="IP482" s="707"/>
      <c r="IQ482" s="707"/>
      <c r="IR482" s="707"/>
      <c r="IS482" s="707"/>
      <c r="IT482" s="707"/>
      <c r="IU482" s="707"/>
      <c r="IV482" s="707"/>
      <c r="IW482" s="707"/>
    </row>
    <row r="483" customFormat="false" ht="12.75" hidden="false" customHeight="false" outlineLevel="1" collapsed="false">
      <c r="A483" s="716"/>
      <c r="B483" s="717"/>
      <c r="C483" s="717"/>
      <c r="D483" s="717"/>
      <c r="E483" s="713"/>
      <c r="F483" s="713"/>
      <c r="G483" s="713"/>
      <c r="H483" s="713"/>
      <c r="I483" s="713"/>
      <c r="J483" s="713"/>
      <c r="K483" s="713"/>
      <c r="L483" s="713"/>
      <c r="M483" s="713"/>
      <c r="N483" s="713"/>
      <c r="O483" s="713"/>
      <c r="P483" s="713"/>
      <c r="Q483" s="713"/>
      <c r="R483" s="713"/>
      <c r="S483" s="713"/>
      <c r="T483" s="713"/>
      <c r="U483" s="713"/>
      <c r="V483" s="713"/>
      <c r="W483" s="713"/>
      <c r="X483" s="713"/>
      <c r="Y483" s="713"/>
      <c r="Z483" s="713"/>
      <c r="AA483" s="707"/>
      <c r="AB483" s="707"/>
      <c r="AC483" s="707"/>
      <c r="AD483" s="707"/>
      <c r="AE483" s="707"/>
      <c r="AF483" s="707"/>
      <c r="AG483" s="707"/>
      <c r="AH483" s="707"/>
      <c r="AI483" s="707"/>
      <c r="AJ483" s="707"/>
      <c r="AK483" s="707"/>
      <c r="AL483" s="707"/>
      <c r="AM483" s="707"/>
      <c r="AN483" s="707"/>
      <c r="AO483" s="707"/>
      <c r="AP483" s="707"/>
      <c r="AQ483" s="707"/>
      <c r="AR483" s="707"/>
      <c r="AS483" s="707"/>
      <c r="AT483" s="707"/>
      <c r="AU483" s="707"/>
      <c r="AV483" s="707"/>
      <c r="AW483" s="707"/>
      <c r="AX483" s="707"/>
      <c r="AY483" s="707"/>
      <c r="AZ483" s="707"/>
      <c r="BA483" s="707"/>
      <c r="BB483" s="707"/>
      <c r="BC483" s="707"/>
      <c r="BD483" s="707"/>
      <c r="BE483" s="707"/>
      <c r="BF483" s="707"/>
      <c r="BG483" s="707"/>
      <c r="BH483" s="707"/>
      <c r="BI483" s="707"/>
      <c r="BJ483" s="707"/>
      <c r="BK483" s="707"/>
      <c r="BL483" s="707"/>
      <c r="BM483" s="707"/>
      <c r="BN483" s="707"/>
      <c r="BO483" s="707"/>
      <c r="BP483" s="707"/>
      <c r="BQ483" s="707"/>
      <c r="BR483" s="707"/>
      <c r="BS483" s="707"/>
      <c r="BT483" s="707"/>
      <c r="BU483" s="707"/>
      <c r="BV483" s="707"/>
      <c r="BW483" s="707"/>
      <c r="BX483" s="707"/>
      <c r="BY483" s="707"/>
      <c r="BZ483" s="707"/>
      <c r="CA483" s="707"/>
      <c r="CB483" s="707"/>
      <c r="CC483" s="707"/>
      <c r="CD483" s="707"/>
      <c r="CE483" s="707"/>
      <c r="CF483" s="707"/>
      <c r="CG483" s="707"/>
      <c r="CH483" s="707"/>
      <c r="CI483" s="707"/>
      <c r="CJ483" s="707"/>
      <c r="CK483" s="707"/>
      <c r="CL483" s="707"/>
      <c r="CM483" s="707"/>
      <c r="CN483" s="707"/>
      <c r="CO483" s="707"/>
      <c r="CP483" s="707"/>
      <c r="CQ483" s="707"/>
      <c r="CR483" s="707"/>
      <c r="CS483" s="707"/>
      <c r="CT483" s="707"/>
      <c r="CU483" s="707"/>
      <c r="CV483" s="707"/>
      <c r="CW483" s="707"/>
      <c r="CX483" s="707"/>
      <c r="CY483" s="707"/>
      <c r="CZ483" s="707"/>
      <c r="DA483" s="707"/>
      <c r="DB483" s="707"/>
      <c r="DC483" s="707"/>
      <c r="DD483" s="707"/>
      <c r="DE483" s="707"/>
      <c r="DF483" s="707"/>
      <c r="DG483" s="707"/>
      <c r="DH483" s="707"/>
      <c r="DI483" s="707"/>
      <c r="DJ483" s="707"/>
      <c r="DK483" s="707"/>
      <c r="DL483" s="707"/>
      <c r="DM483" s="707"/>
      <c r="DN483" s="707"/>
      <c r="DO483" s="707"/>
      <c r="DP483" s="707"/>
      <c r="DQ483" s="707"/>
      <c r="DR483" s="707"/>
      <c r="DS483" s="707"/>
      <c r="DT483" s="707"/>
      <c r="DU483" s="707"/>
      <c r="DV483" s="707"/>
      <c r="DW483" s="707"/>
      <c r="DX483" s="707"/>
      <c r="DY483" s="707"/>
      <c r="DZ483" s="707"/>
      <c r="EA483" s="707"/>
      <c r="EB483" s="707"/>
      <c r="EC483" s="707"/>
      <c r="ED483" s="707"/>
      <c r="EE483" s="707"/>
      <c r="EF483" s="707"/>
      <c r="EG483" s="707"/>
      <c r="EH483" s="707"/>
      <c r="EI483" s="707"/>
      <c r="EJ483" s="707"/>
      <c r="EK483" s="707"/>
      <c r="EL483" s="707"/>
      <c r="EM483" s="707"/>
      <c r="EN483" s="707"/>
      <c r="EO483" s="707"/>
      <c r="EP483" s="707"/>
      <c r="EQ483" s="707"/>
      <c r="ER483" s="707"/>
      <c r="ES483" s="707"/>
      <c r="ET483" s="707"/>
      <c r="EU483" s="707"/>
      <c r="EV483" s="707"/>
      <c r="EW483" s="707"/>
      <c r="EX483" s="707"/>
      <c r="EY483" s="707"/>
      <c r="EZ483" s="707"/>
      <c r="FA483" s="707"/>
      <c r="FB483" s="707"/>
      <c r="FC483" s="707"/>
      <c r="FD483" s="707"/>
      <c r="FE483" s="707"/>
      <c r="FF483" s="707"/>
      <c r="FG483" s="707"/>
      <c r="FH483" s="707"/>
      <c r="FI483" s="707"/>
      <c r="FJ483" s="707"/>
      <c r="FK483" s="707"/>
      <c r="FL483" s="707"/>
      <c r="FM483" s="707"/>
      <c r="FN483" s="707"/>
      <c r="FO483" s="707"/>
      <c r="FP483" s="707"/>
      <c r="FQ483" s="707"/>
      <c r="FR483" s="707"/>
      <c r="FS483" s="707"/>
      <c r="FT483" s="707"/>
      <c r="FU483" s="707"/>
      <c r="FV483" s="707"/>
      <c r="FW483" s="707"/>
      <c r="FX483" s="707"/>
      <c r="FY483" s="707"/>
      <c r="FZ483" s="707"/>
      <c r="GA483" s="707"/>
      <c r="GB483" s="707"/>
      <c r="GC483" s="707"/>
      <c r="GD483" s="707"/>
      <c r="GE483" s="707"/>
      <c r="GF483" s="707"/>
      <c r="GG483" s="707"/>
      <c r="GH483" s="707"/>
      <c r="GI483" s="707"/>
      <c r="GJ483" s="707"/>
      <c r="GK483" s="707"/>
      <c r="GL483" s="707"/>
      <c r="GM483" s="707"/>
      <c r="GN483" s="707"/>
      <c r="GO483" s="707"/>
      <c r="GP483" s="707"/>
      <c r="GQ483" s="707"/>
      <c r="GR483" s="707"/>
      <c r="GS483" s="707"/>
      <c r="GT483" s="707"/>
      <c r="GU483" s="707"/>
      <c r="GV483" s="707"/>
      <c r="GW483" s="707"/>
      <c r="GX483" s="707"/>
      <c r="GY483" s="707"/>
      <c r="GZ483" s="707"/>
      <c r="HA483" s="707"/>
      <c r="HB483" s="707"/>
      <c r="HC483" s="707"/>
      <c r="HD483" s="707"/>
      <c r="HE483" s="707"/>
      <c r="HF483" s="707"/>
      <c r="HG483" s="707"/>
      <c r="HH483" s="707"/>
      <c r="HI483" s="707"/>
      <c r="HJ483" s="707"/>
      <c r="HK483" s="707"/>
      <c r="HL483" s="707"/>
      <c r="HM483" s="707"/>
      <c r="HN483" s="707"/>
      <c r="HO483" s="707"/>
      <c r="HP483" s="707"/>
      <c r="HQ483" s="707"/>
      <c r="HR483" s="707"/>
      <c r="HS483" s="707"/>
      <c r="HT483" s="707"/>
      <c r="HU483" s="707"/>
      <c r="HV483" s="707"/>
      <c r="HW483" s="707"/>
      <c r="HX483" s="707"/>
      <c r="HY483" s="707"/>
      <c r="HZ483" s="707"/>
      <c r="IA483" s="707"/>
      <c r="IB483" s="707"/>
      <c r="IC483" s="707"/>
      <c r="ID483" s="707"/>
      <c r="IE483" s="707"/>
      <c r="IF483" s="707"/>
      <c r="IG483" s="707"/>
      <c r="IH483" s="707"/>
      <c r="II483" s="707"/>
      <c r="IJ483" s="707"/>
      <c r="IK483" s="707"/>
      <c r="IL483" s="707"/>
      <c r="IM483" s="707"/>
      <c r="IN483" s="707"/>
      <c r="IO483" s="707"/>
      <c r="IP483" s="707"/>
      <c r="IQ483" s="707"/>
      <c r="IR483" s="707"/>
      <c r="IS483" s="707"/>
      <c r="IT483" s="707"/>
      <c r="IU483" s="707"/>
      <c r="IV483" s="707"/>
      <c r="IW483" s="707"/>
    </row>
    <row r="484" customFormat="false" ht="12.75" hidden="false" customHeight="false" outlineLevel="1" collapsed="false">
      <c r="A484" s="716"/>
      <c r="B484" s="717"/>
      <c r="C484" s="717"/>
      <c r="D484" s="717"/>
      <c r="E484" s="713"/>
      <c r="F484" s="713"/>
      <c r="G484" s="713"/>
      <c r="H484" s="713"/>
      <c r="I484" s="713"/>
      <c r="J484" s="713"/>
      <c r="K484" s="713"/>
      <c r="L484" s="713"/>
      <c r="M484" s="713"/>
      <c r="N484" s="713"/>
      <c r="O484" s="713"/>
      <c r="P484" s="713"/>
      <c r="Q484" s="713"/>
      <c r="R484" s="713"/>
      <c r="S484" s="713"/>
      <c r="T484" s="713"/>
      <c r="U484" s="713"/>
      <c r="V484" s="713"/>
      <c r="W484" s="713"/>
      <c r="X484" s="713"/>
      <c r="Y484" s="713"/>
      <c r="Z484" s="713"/>
      <c r="AA484" s="707"/>
      <c r="AB484" s="707"/>
      <c r="AC484" s="707"/>
      <c r="AD484" s="707"/>
      <c r="AE484" s="707"/>
      <c r="AF484" s="707"/>
      <c r="AG484" s="707"/>
      <c r="AH484" s="707"/>
      <c r="AI484" s="707"/>
      <c r="AJ484" s="707"/>
      <c r="AK484" s="707"/>
      <c r="AL484" s="707"/>
      <c r="AM484" s="707"/>
      <c r="AN484" s="707"/>
      <c r="AO484" s="707"/>
      <c r="AP484" s="707"/>
      <c r="AQ484" s="707"/>
      <c r="AR484" s="707"/>
      <c r="AS484" s="707"/>
      <c r="AT484" s="707"/>
      <c r="AU484" s="707"/>
      <c r="AV484" s="707"/>
      <c r="AW484" s="707"/>
      <c r="AX484" s="707"/>
      <c r="AY484" s="707"/>
      <c r="AZ484" s="707"/>
      <c r="BA484" s="707"/>
      <c r="BB484" s="707"/>
      <c r="BC484" s="707"/>
      <c r="BD484" s="707"/>
      <c r="BE484" s="707"/>
      <c r="BF484" s="707"/>
      <c r="BG484" s="707"/>
      <c r="BH484" s="707"/>
      <c r="BI484" s="707"/>
      <c r="BJ484" s="707"/>
      <c r="BK484" s="707"/>
      <c r="BL484" s="707"/>
      <c r="BM484" s="707"/>
      <c r="BN484" s="707"/>
      <c r="BO484" s="707"/>
      <c r="BP484" s="707"/>
      <c r="BQ484" s="707"/>
      <c r="BR484" s="707"/>
      <c r="BS484" s="707"/>
      <c r="BT484" s="707"/>
      <c r="BU484" s="707"/>
      <c r="BV484" s="707"/>
      <c r="BW484" s="707"/>
      <c r="BX484" s="707"/>
      <c r="BY484" s="707"/>
      <c r="BZ484" s="707"/>
      <c r="CA484" s="707"/>
      <c r="CB484" s="707"/>
      <c r="CC484" s="707"/>
      <c r="CD484" s="707"/>
      <c r="CE484" s="707"/>
      <c r="CF484" s="707"/>
      <c r="CG484" s="707"/>
      <c r="CH484" s="707"/>
      <c r="CI484" s="707"/>
      <c r="CJ484" s="707"/>
      <c r="CK484" s="707"/>
      <c r="CL484" s="707"/>
      <c r="CM484" s="707"/>
      <c r="CN484" s="707"/>
      <c r="CO484" s="707"/>
      <c r="CP484" s="707"/>
      <c r="CQ484" s="707"/>
      <c r="CR484" s="707"/>
      <c r="CS484" s="707"/>
      <c r="CT484" s="707"/>
      <c r="CU484" s="707"/>
      <c r="CV484" s="707"/>
      <c r="CW484" s="707"/>
      <c r="CX484" s="707"/>
      <c r="CY484" s="707"/>
      <c r="CZ484" s="707"/>
      <c r="DA484" s="707"/>
      <c r="DB484" s="707"/>
      <c r="DC484" s="707"/>
      <c r="DD484" s="707"/>
      <c r="DE484" s="707"/>
      <c r="DF484" s="707"/>
      <c r="DG484" s="707"/>
      <c r="DH484" s="707"/>
      <c r="DI484" s="707"/>
      <c r="DJ484" s="707"/>
      <c r="DK484" s="707"/>
      <c r="DL484" s="707"/>
      <c r="DM484" s="707"/>
      <c r="DN484" s="707"/>
      <c r="DO484" s="707"/>
      <c r="DP484" s="707"/>
      <c r="DQ484" s="707"/>
      <c r="DR484" s="707"/>
      <c r="DS484" s="707"/>
      <c r="DT484" s="707"/>
      <c r="DU484" s="707"/>
      <c r="DV484" s="707"/>
      <c r="DW484" s="707"/>
      <c r="DX484" s="707"/>
      <c r="DY484" s="707"/>
      <c r="DZ484" s="707"/>
      <c r="EA484" s="707"/>
      <c r="EB484" s="707"/>
      <c r="EC484" s="707"/>
      <c r="ED484" s="707"/>
      <c r="EE484" s="707"/>
      <c r="EF484" s="707"/>
      <c r="EG484" s="707"/>
      <c r="EH484" s="707"/>
      <c r="EI484" s="707"/>
      <c r="EJ484" s="707"/>
      <c r="EK484" s="707"/>
      <c r="EL484" s="707"/>
      <c r="EM484" s="707"/>
      <c r="EN484" s="707"/>
      <c r="EO484" s="707"/>
      <c r="EP484" s="707"/>
      <c r="EQ484" s="707"/>
      <c r="ER484" s="707"/>
      <c r="ES484" s="707"/>
      <c r="ET484" s="707"/>
      <c r="EU484" s="707"/>
      <c r="EV484" s="707"/>
      <c r="EW484" s="707"/>
      <c r="EX484" s="707"/>
      <c r="EY484" s="707"/>
      <c r="EZ484" s="707"/>
      <c r="FA484" s="707"/>
      <c r="FB484" s="707"/>
      <c r="FC484" s="707"/>
      <c r="FD484" s="707"/>
      <c r="FE484" s="707"/>
      <c r="FF484" s="707"/>
      <c r="FG484" s="707"/>
      <c r="FH484" s="707"/>
      <c r="FI484" s="707"/>
      <c r="FJ484" s="707"/>
      <c r="FK484" s="707"/>
      <c r="FL484" s="707"/>
      <c r="FM484" s="707"/>
      <c r="FN484" s="707"/>
      <c r="FO484" s="707"/>
      <c r="FP484" s="707"/>
      <c r="FQ484" s="707"/>
      <c r="FR484" s="707"/>
      <c r="FS484" s="707"/>
      <c r="FT484" s="707"/>
      <c r="FU484" s="707"/>
      <c r="FV484" s="707"/>
      <c r="FW484" s="707"/>
      <c r="FX484" s="707"/>
      <c r="FY484" s="707"/>
      <c r="FZ484" s="707"/>
      <c r="GA484" s="707"/>
      <c r="GB484" s="707"/>
      <c r="GC484" s="707"/>
      <c r="GD484" s="707"/>
      <c r="GE484" s="707"/>
      <c r="GF484" s="707"/>
      <c r="GG484" s="707"/>
      <c r="GH484" s="707"/>
      <c r="GI484" s="707"/>
      <c r="GJ484" s="707"/>
      <c r="GK484" s="707"/>
      <c r="GL484" s="707"/>
      <c r="GM484" s="707"/>
      <c r="GN484" s="707"/>
      <c r="GO484" s="707"/>
      <c r="GP484" s="707"/>
      <c r="GQ484" s="707"/>
      <c r="GR484" s="707"/>
      <c r="GS484" s="707"/>
      <c r="GT484" s="707"/>
      <c r="GU484" s="707"/>
      <c r="GV484" s="707"/>
      <c r="GW484" s="707"/>
      <c r="GX484" s="707"/>
      <c r="GY484" s="707"/>
      <c r="GZ484" s="707"/>
      <c r="HA484" s="707"/>
      <c r="HB484" s="707"/>
      <c r="HC484" s="707"/>
      <c r="HD484" s="707"/>
      <c r="HE484" s="707"/>
      <c r="HF484" s="707"/>
      <c r="HG484" s="707"/>
      <c r="HH484" s="707"/>
      <c r="HI484" s="707"/>
      <c r="HJ484" s="707"/>
      <c r="HK484" s="707"/>
      <c r="HL484" s="707"/>
      <c r="HM484" s="707"/>
      <c r="HN484" s="707"/>
      <c r="HO484" s="707"/>
      <c r="HP484" s="707"/>
      <c r="HQ484" s="707"/>
      <c r="HR484" s="707"/>
      <c r="HS484" s="707"/>
      <c r="HT484" s="707"/>
      <c r="HU484" s="707"/>
      <c r="HV484" s="707"/>
      <c r="HW484" s="707"/>
      <c r="HX484" s="707"/>
      <c r="HY484" s="707"/>
      <c r="HZ484" s="707"/>
      <c r="IA484" s="707"/>
      <c r="IB484" s="707"/>
      <c r="IC484" s="707"/>
      <c r="ID484" s="707"/>
      <c r="IE484" s="707"/>
      <c r="IF484" s="707"/>
      <c r="IG484" s="707"/>
      <c r="IH484" s="707"/>
      <c r="II484" s="707"/>
      <c r="IJ484" s="707"/>
      <c r="IK484" s="707"/>
      <c r="IL484" s="707"/>
      <c r="IM484" s="707"/>
      <c r="IN484" s="707"/>
      <c r="IO484" s="707"/>
      <c r="IP484" s="707"/>
      <c r="IQ484" s="707"/>
      <c r="IR484" s="707"/>
      <c r="IS484" s="707"/>
      <c r="IT484" s="707"/>
      <c r="IU484" s="707"/>
      <c r="IV484" s="707"/>
      <c r="IW484" s="707"/>
    </row>
    <row r="485" customFormat="false" ht="12.75" hidden="false" customHeight="false" outlineLevel="1" collapsed="false">
      <c r="A485" s="398"/>
      <c r="B485" s="717"/>
      <c r="C485" s="717"/>
      <c r="D485" s="717"/>
      <c r="E485" s="713"/>
      <c r="F485" s="713"/>
      <c r="G485" s="713"/>
      <c r="H485" s="713"/>
      <c r="I485" s="713"/>
      <c r="J485" s="713"/>
      <c r="K485" s="713"/>
      <c r="L485" s="713"/>
      <c r="M485" s="713"/>
      <c r="N485" s="713"/>
      <c r="O485" s="713"/>
      <c r="P485" s="713"/>
      <c r="Q485" s="713"/>
      <c r="R485" s="713"/>
      <c r="S485" s="713"/>
      <c r="T485" s="713"/>
      <c r="U485" s="713"/>
      <c r="V485" s="713"/>
      <c r="W485" s="713"/>
      <c r="X485" s="713"/>
      <c r="Y485" s="713"/>
      <c r="Z485" s="713"/>
      <c r="AA485" s="707"/>
      <c r="AB485" s="707"/>
      <c r="AC485" s="707"/>
      <c r="AD485" s="707"/>
      <c r="AE485" s="707"/>
      <c r="AF485" s="707"/>
      <c r="AG485" s="707"/>
      <c r="AH485" s="707"/>
      <c r="AI485" s="707"/>
      <c r="AJ485" s="707"/>
      <c r="AK485" s="707"/>
      <c r="AL485" s="707"/>
      <c r="AM485" s="707"/>
      <c r="AN485" s="707"/>
      <c r="AO485" s="707"/>
      <c r="AP485" s="707"/>
      <c r="AQ485" s="707"/>
      <c r="AR485" s="707"/>
      <c r="AS485" s="707"/>
      <c r="AT485" s="707"/>
      <c r="AU485" s="707"/>
      <c r="AV485" s="707"/>
      <c r="AW485" s="707"/>
      <c r="AX485" s="707"/>
      <c r="AY485" s="707"/>
      <c r="AZ485" s="707"/>
      <c r="BA485" s="707"/>
      <c r="BB485" s="707"/>
      <c r="BC485" s="707"/>
      <c r="BD485" s="707"/>
      <c r="BE485" s="707"/>
      <c r="BF485" s="707"/>
      <c r="BG485" s="707"/>
      <c r="BH485" s="707"/>
      <c r="BI485" s="707"/>
      <c r="BJ485" s="707"/>
      <c r="BK485" s="707"/>
      <c r="BL485" s="707"/>
      <c r="BM485" s="707"/>
      <c r="BN485" s="707"/>
      <c r="BO485" s="707"/>
      <c r="BP485" s="707"/>
      <c r="BQ485" s="707"/>
      <c r="BR485" s="707"/>
      <c r="BS485" s="707"/>
      <c r="BT485" s="707"/>
      <c r="BU485" s="707"/>
      <c r="BV485" s="707"/>
      <c r="BW485" s="707"/>
      <c r="BX485" s="707"/>
      <c r="BY485" s="707"/>
      <c r="BZ485" s="707"/>
      <c r="CA485" s="707"/>
      <c r="CB485" s="707"/>
      <c r="CC485" s="707"/>
      <c r="CD485" s="707"/>
      <c r="CE485" s="707"/>
      <c r="CF485" s="707"/>
      <c r="CG485" s="707"/>
      <c r="CH485" s="707"/>
      <c r="CI485" s="707"/>
      <c r="CJ485" s="707"/>
      <c r="CK485" s="707"/>
      <c r="CL485" s="707"/>
      <c r="CM485" s="707"/>
      <c r="CN485" s="707"/>
      <c r="CO485" s="707"/>
      <c r="CP485" s="707"/>
      <c r="CQ485" s="707"/>
      <c r="CR485" s="707"/>
      <c r="CS485" s="707"/>
      <c r="CT485" s="707"/>
      <c r="CU485" s="707"/>
      <c r="CV485" s="707"/>
      <c r="CW485" s="707"/>
      <c r="CX485" s="707"/>
      <c r="CY485" s="707"/>
      <c r="CZ485" s="707"/>
      <c r="DA485" s="707"/>
      <c r="DB485" s="707"/>
      <c r="DC485" s="707"/>
      <c r="DD485" s="707"/>
      <c r="DE485" s="707"/>
      <c r="DF485" s="707"/>
      <c r="DG485" s="707"/>
      <c r="DH485" s="707"/>
      <c r="DI485" s="707"/>
      <c r="DJ485" s="707"/>
      <c r="DK485" s="707"/>
      <c r="DL485" s="707"/>
      <c r="DM485" s="707"/>
      <c r="DN485" s="707"/>
      <c r="DO485" s="707"/>
      <c r="DP485" s="707"/>
      <c r="DQ485" s="707"/>
      <c r="DR485" s="707"/>
      <c r="DS485" s="707"/>
      <c r="DT485" s="707"/>
      <c r="DU485" s="707"/>
      <c r="DV485" s="707"/>
      <c r="DW485" s="707"/>
      <c r="DX485" s="707"/>
      <c r="DY485" s="707"/>
      <c r="DZ485" s="707"/>
      <c r="EA485" s="707"/>
      <c r="EB485" s="707"/>
      <c r="EC485" s="707"/>
      <c r="ED485" s="707"/>
      <c r="EE485" s="707"/>
      <c r="EF485" s="707"/>
      <c r="EG485" s="707"/>
      <c r="EH485" s="707"/>
      <c r="EI485" s="707"/>
      <c r="EJ485" s="707"/>
      <c r="EK485" s="707"/>
      <c r="EL485" s="707"/>
      <c r="EM485" s="707"/>
      <c r="EN485" s="707"/>
      <c r="EO485" s="707"/>
      <c r="EP485" s="707"/>
      <c r="EQ485" s="707"/>
      <c r="ER485" s="707"/>
      <c r="ES485" s="707"/>
      <c r="ET485" s="707"/>
      <c r="EU485" s="707"/>
      <c r="EV485" s="707"/>
      <c r="EW485" s="707"/>
      <c r="EX485" s="707"/>
      <c r="EY485" s="707"/>
      <c r="EZ485" s="707"/>
      <c r="FA485" s="707"/>
      <c r="FB485" s="707"/>
      <c r="FC485" s="707"/>
      <c r="FD485" s="707"/>
      <c r="FE485" s="707"/>
      <c r="FF485" s="707"/>
      <c r="FG485" s="707"/>
      <c r="FH485" s="707"/>
      <c r="FI485" s="707"/>
      <c r="FJ485" s="707"/>
      <c r="FK485" s="707"/>
      <c r="FL485" s="707"/>
      <c r="FM485" s="707"/>
      <c r="FN485" s="707"/>
      <c r="FO485" s="707"/>
      <c r="FP485" s="707"/>
      <c r="FQ485" s="707"/>
      <c r="FR485" s="707"/>
      <c r="FS485" s="707"/>
      <c r="FT485" s="707"/>
      <c r="FU485" s="707"/>
      <c r="FV485" s="707"/>
      <c r="FW485" s="707"/>
      <c r="FX485" s="707"/>
      <c r="FY485" s="707"/>
      <c r="FZ485" s="707"/>
      <c r="GA485" s="707"/>
      <c r="GB485" s="707"/>
      <c r="GC485" s="707"/>
      <c r="GD485" s="707"/>
      <c r="GE485" s="707"/>
      <c r="GF485" s="707"/>
      <c r="GG485" s="707"/>
      <c r="GH485" s="707"/>
      <c r="GI485" s="707"/>
      <c r="GJ485" s="707"/>
      <c r="GK485" s="707"/>
      <c r="GL485" s="707"/>
      <c r="GM485" s="707"/>
      <c r="GN485" s="707"/>
      <c r="GO485" s="707"/>
      <c r="GP485" s="707"/>
      <c r="GQ485" s="707"/>
      <c r="GR485" s="707"/>
      <c r="GS485" s="707"/>
      <c r="GT485" s="707"/>
      <c r="GU485" s="707"/>
      <c r="GV485" s="707"/>
      <c r="GW485" s="707"/>
      <c r="GX485" s="707"/>
      <c r="GY485" s="707"/>
      <c r="GZ485" s="707"/>
      <c r="HA485" s="707"/>
      <c r="HB485" s="707"/>
      <c r="HC485" s="707"/>
      <c r="HD485" s="707"/>
      <c r="HE485" s="707"/>
      <c r="HF485" s="707"/>
      <c r="HG485" s="707"/>
      <c r="HH485" s="707"/>
      <c r="HI485" s="707"/>
      <c r="HJ485" s="707"/>
      <c r="HK485" s="707"/>
      <c r="HL485" s="707"/>
      <c r="HM485" s="707"/>
      <c r="HN485" s="707"/>
      <c r="HO485" s="707"/>
      <c r="HP485" s="707"/>
      <c r="HQ485" s="707"/>
      <c r="HR485" s="707"/>
      <c r="HS485" s="707"/>
      <c r="HT485" s="707"/>
      <c r="HU485" s="707"/>
      <c r="HV485" s="707"/>
      <c r="HW485" s="707"/>
      <c r="HX485" s="707"/>
      <c r="HY485" s="707"/>
      <c r="HZ485" s="707"/>
      <c r="IA485" s="707"/>
      <c r="IB485" s="707"/>
      <c r="IC485" s="707"/>
      <c r="ID485" s="707"/>
      <c r="IE485" s="707"/>
      <c r="IF485" s="707"/>
      <c r="IG485" s="707"/>
      <c r="IH485" s="707"/>
      <c r="II485" s="707"/>
      <c r="IJ485" s="707"/>
      <c r="IK485" s="707"/>
      <c r="IL485" s="707"/>
      <c r="IM485" s="707"/>
      <c r="IN485" s="707"/>
      <c r="IO485" s="707"/>
      <c r="IP485" s="707"/>
      <c r="IQ485" s="707"/>
      <c r="IR485" s="707"/>
      <c r="IS485" s="707"/>
      <c r="IT485" s="707"/>
      <c r="IU485" s="707"/>
      <c r="IV485" s="707"/>
      <c r="IW485" s="707"/>
    </row>
    <row r="486" customFormat="false" ht="12.75" hidden="false" customHeight="false" outlineLevel="1" collapsed="false">
      <c r="A486" s="716"/>
      <c r="B486" s="717"/>
      <c r="C486" s="717"/>
      <c r="D486" s="717"/>
      <c r="E486" s="713"/>
      <c r="F486" s="713"/>
      <c r="G486" s="713"/>
      <c r="H486" s="713"/>
      <c r="I486" s="713"/>
      <c r="J486" s="713"/>
      <c r="K486" s="713"/>
      <c r="L486" s="713"/>
      <c r="M486" s="713"/>
      <c r="N486" s="713"/>
      <c r="O486" s="713"/>
      <c r="P486" s="713"/>
      <c r="Q486" s="713"/>
      <c r="R486" s="713"/>
      <c r="S486" s="713"/>
      <c r="T486" s="713"/>
      <c r="U486" s="713"/>
      <c r="V486" s="713"/>
      <c r="W486" s="713"/>
      <c r="X486" s="713"/>
      <c r="Y486" s="713"/>
      <c r="Z486" s="713"/>
      <c r="AA486" s="707"/>
      <c r="AB486" s="707"/>
      <c r="AC486" s="707"/>
      <c r="AD486" s="707"/>
      <c r="AE486" s="707"/>
      <c r="AF486" s="707"/>
      <c r="AG486" s="707"/>
      <c r="AH486" s="707"/>
      <c r="AI486" s="707"/>
      <c r="AJ486" s="707"/>
      <c r="AK486" s="707"/>
      <c r="AL486" s="707"/>
      <c r="AM486" s="707"/>
      <c r="AN486" s="707"/>
      <c r="AO486" s="707"/>
      <c r="AP486" s="707"/>
      <c r="AQ486" s="707"/>
      <c r="AR486" s="707"/>
      <c r="AS486" s="707"/>
      <c r="AT486" s="707"/>
      <c r="AU486" s="707"/>
      <c r="AV486" s="707"/>
      <c r="AW486" s="707"/>
      <c r="AX486" s="707"/>
      <c r="AY486" s="707"/>
      <c r="AZ486" s="707"/>
      <c r="BA486" s="707"/>
      <c r="BB486" s="707"/>
      <c r="BC486" s="707"/>
      <c r="BD486" s="707"/>
      <c r="BE486" s="707"/>
      <c r="BF486" s="707"/>
      <c r="BG486" s="707"/>
      <c r="BH486" s="707"/>
      <c r="BI486" s="707"/>
      <c r="BJ486" s="707"/>
      <c r="BK486" s="707"/>
      <c r="BL486" s="707"/>
      <c r="BM486" s="707"/>
      <c r="BN486" s="707"/>
      <c r="BO486" s="707"/>
      <c r="BP486" s="707"/>
      <c r="BQ486" s="707"/>
      <c r="BR486" s="707"/>
      <c r="BS486" s="707"/>
      <c r="BT486" s="707"/>
      <c r="BU486" s="707"/>
      <c r="BV486" s="707"/>
      <c r="BW486" s="707"/>
      <c r="BX486" s="707"/>
      <c r="BY486" s="707"/>
      <c r="BZ486" s="707"/>
      <c r="CA486" s="707"/>
      <c r="CB486" s="707"/>
      <c r="CC486" s="707"/>
      <c r="CD486" s="707"/>
      <c r="CE486" s="707"/>
      <c r="CF486" s="707"/>
      <c r="CG486" s="707"/>
      <c r="CH486" s="707"/>
      <c r="CI486" s="707"/>
      <c r="CJ486" s="707"/>
      <c r="CK486" s="707"/>
      <c r="CL486" s="707"/>
      <c r="CM486" s="707"/>
      <c r="CN486" s="707"/>
      <c r="CO486" s="707"/>
      <c r="CP486" s="707"/>
      <c r="CQ486" s="707"/>
      <c r="CR486" s="707"/>
      <c r="CS486" s="707"/>
      <c r="CT486" s="707"/>
      <c r="CU486" s="707"/>
      <c r="CV486" s="707"/>
      <c r="CW486" s="707"/>
      <c r="CX486" s="707"/>
      <c r="CY486" s="707"/>
      <c r="CZ486" s="707"/>
      <c r="DA486" s="707"/>
      <c r="DB486" s="707"/>
      <c r="DC486" s="707"/>
      <c r="DD486" s="707"/>
      <c r="DE486" s="707"/>
      <c r="DF486" s="707"/>
      <c r="DG486" s="707"/>
      <c r="DH486" s="707"/>
      <c r="DI486" s="707"/>
      <c r="DJ486" s="707"/>
      <c r="DK486" s="707"/>
      <c r="DL486" s="707"/>
      <c r="DM486" s="707"/>
      <c r="DN486" s="707"/>
      <c r="DO486" s="707"/>
      <c r="DP486" s="707"/>
      <c r="DQ486" s="707"/>
      <c r="DR486" s="707"/>
      <c r="DS486" s="707"/>
      <c r="DT486" s="707"/>
      <c r="DU486" s="707"/>
      <c r="DV486" s="707"/>
      <c r="DW486" s="707"/>
      <c r="DX486" s="707"/>
      <c r="DY486" s="707"/>
      <c r="DZ486" s="707"/>
      <c r="EA486" s="707"/>
      <c r="EB486" s="707"/>
      <c r="EC486" s="707"/>
      <c r="ED486" s="707"/>
      <c r="EE486" s="707"/>
      <c r="EF486" s="707"/>
      <c r="EG486" s="707"/>
      <c r="EH486" s="707"/>
      <c r="EI486" s="707"/>
      <c r="EJ486" s="707"/>
      <c r="EK486" s="707"/>
      <c r="EL486" s="707"/>
      <c r="EM486" s="707"/>
      <c r="EN486" s="707"/>
      <c r="EO486" s="707"/>
      <c r="EP486" s="707"/>
      <c r="EQ486" s="707"/>
      <c r="ER486" s="707"/>
      <c r="ES486" s="707"/>
      <c r="ET486" s="707"/>
      <c r="EU486" s="707"/>
      <c r="EV486" s="707"/>
      <c r="EW486" s="707"/>
      <c r="EX486" s="707"/>
      <c r="EY486" s="707"/>
      <c r="EZ486" s="707"/>
      <c r="FA486" s="707"/>
      <c r="FB486" s="707"/>
      <c r="FC486" s="707"/>
      <c r="FD486" s="707"/>
      <c r="FE486" s="707"/>
      <c r="FF486" s="707"/>
      <c r="FG486" s="707"/>
      <c r="FH486" s="707"/>
      <c r="FI486" s="707"/>
      <c r="FJ486" s="707"/>
      <c r="FK486" s="707"/>
      <c r="FL486" s="707"/>
      <c r="FM486" s="707"/>
      <c r="FN486" s="707"/>
      <c r="FO486" s="707"/>
      <c r="FP486" s="707"/>
      <c r="FQ486" s="707"/>
      <c r="FR486" s="707"/>
      <c r="FS486" s="707"/>
      <c r="FT486" s="707"/>
      <c r="FU486" s="707"/>
      <c r="FV486" s="707"/>
      <c r="FW486" s="707"/>
      <c r="FX486" s="707"/>
      <c r="FY486" s="707"/>
      <c r="FZ486" s="707"/>
      <c r="GA486" s="707"/>
      <c r="GB486" s="707"/>
      <c r="GC486" s="707"/>
      <c r="GD486" s="707"/>
      <c r="GE486" s="707"/>
      <c r="GF486" s="707"/>
      <c r="GG486" s="707"/>
      <c r="GH486" s="707"/>
      <c r="GI486" s="707"/>
      <c r="GJ486" s="707"/>
      <c r="GK486" s="707"/>
      <c r="GL486" s="707"/>
      <c r="GM486" s="707"/>
      <c r="GN486" s="707"/>
      <c r="GO486" s="707"/>
      <c r="GP486" s="707"/>
      <c r="GQ486" s="707"/>
      <c r="GR486" s="707"/>
      <c r="GS486" s="707"/>
      <c r="GT486" s="707"/>
      <c r="GU486" s="707"/>
      <c r="GV486" s="707"/>
      <c r="GW486" s="707"/>
      <c r="GX486" s="707"/>
      <c r="GY486" s="707"/>
      <c r="GZ486" s="707"/>
      <c r="HA486" s="707"/>
      <c r="HB486" s="707"/>
      <c r="HC486" s="707"/>
      <c r="HD486" s="707"/>
      <c r="HE486" s="707"/>
      <c r="HF486" s="707"/>
      <c r="HG486" s="707"/>
      <c r="HH486" s="707"/>
      <c r="HI486" s="707"/>
      <c r="HJ486" s="707"/>
      <c r="HK486" s="707"/>
      <c r="HL486" s="707"/>
      <c r="HM486" s="707"/>
      <c r="HN486" s="707"/>
      <c r="HO486" s="707"/>
      <c r="HP486" s="707"/>
      <c r="HQ486" s="707"/>
      <c r="HR486" s="707"/>
      <c r="HS486" s="707"/>
      <c r="HT486" s="707"/>
      <c r="HU486" s="707"/>
      <c r="HV486" s="707"/>
      <c r="HW486" s="707"/>
      <c r="HX486" s="707"/>
      <c r="HY486" s="707"/>
      <c r="HZ486" s="707"/>
      <c r="IA486" s="707"/>
      <c r="IB486" s="707"/>
      <c r="IC486" s="707"/>
      <c r="ID486" s="707"/>
      <c r="IE486" s="707"/>
      <c r="IF486" s="707"/>
      <c r="IG486" s="707"/>
      <c r="IH486" s="707"/>
      <c r="II486" s="707"/>
      <c r="IJ486" s="707"/>
      <c r="IK486" s="707"/>
      <c r="IL486" s="707"/>
      <c r="IM486" s="707"/>
      <c r="IN486" s="707"/>
      <c r="IO486" s="707"/>
      <c r="IP486" s="707"/>
      <c r="IQ486" s="707"/>
      <c r="IR486" s="707"/>
      <c r="IS486" s="707"/>
      <c r="IT486" s="707"/>
      <c r="IU486" s="707"/>
      <c r="IV486" s="707"/>
      <c r="IW486" s="707"/>
    </row>
    <row r="487" customFormat="false" ht="12.75" hidden="false" customHeight="false" outlineLevel="1" collapsed="false">
      <c r="A487" s="716"/>
      <c r="B487" s="717"/>
      <c r="C487" s="717"/>
      <c r="D487" s="717"/>
      <c r="E487" s="713"/>
      <c r="F487" s="713"/>
      <c r="G487" s="713"/>
      <c r="H487" s="713"/>
      <c r="I487" s="713"/>
      <c r="J487" s="713"/>
      <c r="K487" s="713"/>
      <c r="L487" s="713"/>
      <c r="M487" s="713"/>
      <c r="N487" s="713"/>
      <c r="O487" s="713"/>
      <c r="P487" s="713"/>
      <c r="Q487" s="713"/>
      <c r="R487" s="713"/>
      <c r="S487" s="713"/>
      <c r="T487" s="713"/>
      <c r="U487" s="713"/>
      <c r="V487" s="713"/>
      <c r="W487" s="713"/>
      <c r="X487" s="713"/>
      <c r="Y487" s="713"/>
      <c r="Z487" s="713"/>
      <c r="AA487" s="707"/>
      <c r="AB487" s="707"/>
      <c r="AC487" s="707"/>
      <c r="AD487" s="707"/>
      <c r="AE487" s="707"/>
      <c r="AF487" s="707"/>
      <c r="AG487" s="707"/>
      <c r="AH487" s="707"/>
      <c r="AI487" s="707"/>
      <c r="AJ487" s="707"/>
      <c r="AK487" s="707"/>
      <c r="AL487" s="707"/>
      <c r="AM487" s="707"/>
      <c r="AN487" s="707"/>
      <c r="AO487" s="707"/>
      <c r="AP487" s="707"/>
      <c r="AQ487" s="707"/>
      <c r="AR487" s="707"/>
      <c r="AS487" s="707"/>
      <c r="AT487" s="707"/>
      <c r="AU487" s="707"/>
      <c r="AV487" s="707"/>
      <c r="AW487" s="707"/>
      <c r="AX487" s="707"/>
      <c r="AY487" s="707"/>
      <c r="AZ487" s="707"/>
      <c r="BA487" s="707"/>
      <c r="BB487" s="707"/>
      <c r="BC487" s="707"/>
      <c r="BD487" s="707"/>
      <c r="BE487" s="707"/>
      <c r="BF487" s="707"/>
      <c r="BG487" s="707"/>
      <c r="BH487" s="707"/>
      <c r="BI487" s="707"/>
      <c r="BJ487" s="707"/>
      <c r="BK487" s="707"/>
      <c r="BL487" s="707"/>
      <c r="BM487" s="707"/>
      <c r="BN487" s="707"/>
      <c r="BO487" s="707"/>
      <c r="BP487" s="707"/>
      <c r="BQ487" s="707"/>
      <c r="BR487" s="707"/>
      <c r="BS487" s="707"/>
      <c r="BT487" s="707"/>
      <c r="BU487" s="707"/>
      <c r="BV487" s="707"/>
      <c r="BW487" s="707"/>
      <c r="BX487" s="707"/>
      <c r="BY487" s="707"/>
      <c r="BZ487" s="707"/>
      <c r="CA487" s="707"/>
      <c r="CB487" s="707"/>
      <c r="CC487" s="707"/>
      <c r="CD487" s="707"/>
      <c r="CE487" s="707"/>
      <c r="CF487" s="707"/>
      <c r="CG487" s="707"/>
      <c r="CH487" s="707"/>
      <c r="CI487" s="707"/>
      <c r="CJ487" s="707"/>
      <c r="CK487" s="707"/>
      <c r="CL487" s="707"/>
      <c r="CM487" s="707"/>
      <c r="CN487" s="707"/>
      <c r="CO487" s="707"/>
      <c r="CP487" s="707"/>
      <c r="CQ487" s="707"/>
      <c r="CR487" s="707"/>
      <c r="CS487" s="707"/>
      <c r="CT487" s="707"/>
      <c r="CU487" s="707"/>
      <c r="CV487" s="707"/>
      <c r="CW487" s="707"/>
      <c r="CX487" s="707"/>
      <c r="CY487" s="707"/>
      <c r="CZ487" s="707"/>
      <c r="DA487" s="707"/>
      <c r="DB487" s="707"/>
      <c r="DC487" s="707"/>
      <c r="DD487" s="707"/>
      <c r="DE487" s="707"/>
      <c r="DF487" s="707"/>
      <c r="DG487" s="707"/>
      <c r="DH487" s="707"/>
      <c r="DI487" s="707"/>
      <c r="DJ487" s="707"/>
      <c r="DK487" s="707"/>
      <c r="DL487" s="707"/>
      <c r="DM487" s="707"/>
      <c r="DN487" s="707"/>
      <c r="DO487" s="707"/>
      <c r="DP487" s="707"/>
      <c r="DQ487" s="707"/>
      <c r="DR487" s="707"/>
      <c r="DS487" s="707"/>
      <c r="DT487" s="707"/>
      <c r="DU487" s="707"/>
      <c r="DV487" s="707"/>
      <c r="DW487" s="707"/>
      <c r="DX487" s="707"/>
      <c r="DY487" s="707"/>
      <c r="DZ487" s="707"/>
      <c r="EA487" s="707"/>
      <c r="EB487" s="707"/>
      <c r="EC487" s="707"/>
      <c r="ED487" s="707"/>
      <c r="EE487" s="707"/>
      <c r="EF487" s="707"/>
      <c r="EG487" s="707"/>
      <c r="EH487" s="707"/>
      <c r="EI487" s="707"/>
      <c r="EJ487" s="707"/>
      <c r="EK487" s="707"/>
      <c r="EL487" s="707"/>
      <c r="EM487" s="707"/>
      <c r="EN487" s="707"/>
      <c r="EO487" s="707"/>
      <c r="EP487" s="707"/>
      <c r="EQ487" s="707"/>
      <c r="ER487" s="707"/>
      <c r="ES487" s="707"/>
      <c r="ET487" s="707"/>
      <c r="EU487" s="707"/>
      <c r="EV487" s="707"/>
      <c r="EW487" s="707"/>
      <c r="EX487" s="707"/>
      <c r="EY487" s="707"/>
      <c r="EZ487" s="707"/>
      <c r="FA487" s="707"/>
      <c r="FB487" s="707"/>
      <c r="FC487" s="707"/>
      <c r="FD487" s="707"/>
      <c r="FE487" s="707"/>
      <c r="FF487" s="707"/>
      <c r="FG487" s="707"/>
      <c r="FH487" s="707"/>
      <c r="FI487" s="707"/>
      <c r="FJ487" s="707"/>
      <c r="FK487" s="707"/>
      <c r="FL487" s="707"/>
      <c r="FM487" s="707"/>
      <c r="FN487" s="707"/>
      <c r="FO487" s="707"/>
      <c r="FP487" s="707"/>
      <c r="FQ487" s="707"/>
      <c r="FR487" s="707"/>
      <c r="FS487" s="707"/>
      <c r="FT487" s="707"/>
      <c r="FU487" s="707"/>
      <c r="FV487" s="707"/>
      <c r="FW487" s="707"/>
      <c r="FX487" s="707"/>
      <c r="FY487" s="707"/>
      <c r="FZ487" s="707"/>
      <c r="GA487" s="707"/>
      <c r="GB487" s="707"/>
      <c r="GC487" s="707"/>
      <c r="GD487" s="707"/>
      <c r="GE487" s="707"/>
      <c r="GF487" s="707"/>
      <c r="GG487" s="707"/>
      <c r="GH487" s="707"/>
      <c r="GI487" s="707"/>
      <c r="GJ487" s="707"/>
      <c r="GK487" s="707"/>
      <c r="GL487" s="707"/>
      <c r="GM487" s="707"/>
      <c r="GN487" s="707"/>
      <c r="GO487" s="707"/>
      <c r="GP487" s="707"/>
      <c r="GQ487" s="707"/>
      <c r="GR487" s="707"/>
      <c r="GS487" s="707"/>
      <c r="GT487" s="707"/>
      <c r="GU487" s="707"/>
      <c r="GV487" s="707"/>
      <c r="GW487" s="707"/>
      <c r="GX487" s="707"/>
      <c r="GY487" s="707"/>
      <c r="GZ487" s="707"/>
      <c r="HA487" s="707"/>
      <c r="HB487" s="707"/>
      <c r="HC487" s="707"/>
      <c r="HD487" s="707"/>
      <c r="HE487" s="707"/>
      <c r="HF487" s="707"/>
      <c r="HG487" s="707"/>
      <c r="HH487" s="707"/>
      <c r="HI487" s="707"/>
      <c r="HJ487" s="707"/>
      <c r="HK487" s="707"/>
      <c r="HL487" s="707"/>
      <c r="HM487" s="707"/>
      <c r="HN487" s="707"/>
      <c r="HO487" s="707"/>
      <c r="HP487" s="707"/>
      <c r="HQ487" s="707"/>
      <c r="HR487" s="707"/>
      <c r="HS487" s="707"/>
      <c r="HT487" s="707"/>
      <c r="HU487" s="707"/>
      <c r="HV487" s="707"/>
      <c r="HW487" s="707"/>
      <c r="HX487" s="707"/>
      <c r="HY487" s="707"/>
      <c r="HZ487" s="707"/>
      <c r="IA487" s="707"/>
      <c r="IB487" s="707"/>
      <c r="IC487" s="707"/>
      <c r="ID487" s="707"/>
      <c r="IE487" s="707"/>
      <c r="IF487" s="707"/>
      <c r="IG487" s="707"/>
      <c r="IH487" s="707"/>
      <c r="II487" s="707"/>
      <c r="IJ487" s="707"/>
      <c r="IK487" s="707"/>
      <c r="IL487" s="707"/>
      <c r="IM487" s="707"/>
      <c r="IN487" s="707"/>
      <c r="IO487" s="707"/>
      <c r="IP487" s="707"/>
      <c r="IQ487" s="707"/>
      <c r="IR487" s="707"/>
      <c r="IS487" s="707"/>
      <c r="IT487" s="707"/>
      <c r="IU487" s="707"/>
      <c r="IV487" s="707"/>
      <c r="IW487" s="707"/>
    </row>
    <row r="488" customFormat="false" ht="12.75" hidden="false" customHeight="false" outlineLevel="1" collapsed="false">
      <c r="A488" s="716"/>
      <c r="B488" s="717"/>
      <c r="C488" s="717"/>
      <c r="D488" s="717"/>
      <c r="E488" s="713"/>
      <c r="F488" s="713"/>
      <c r="G488" s="713"/>
      <c r="H488" s="713"/>
      <c r="I488" s="713"/>
      <c r="J488" s="713"/>
      <c r="K488" s="713"/>
      <c r="L488" s="713"/>
      <c r="M488" s="713"/>
      <c r="N488" s="713"/>
      <c r="O488" s="713"/>
      <c r="P488" s="713"/>
      <c r="Q488" s="713"/>
      <c r="R488" s="713"/>
      <c r="S488" s="713"/>
      <c r="T488" s="713"/>
      <c r="U488" s="713"/>
      <c r="V488" s="713"/>
      <c r="W488" s="713"/>
      <c r="X488" s="713"/>
      <c r="Y488" s="713"/>
      <c r="Z488" s="713"/>
      <c r="AA488" s="707"/>
      <c r="AB488" s="707"/>
      <c r="AC488" s="707"/>
      <c r="AD488" s="707"/>
      <c r="AE488" s="707"/>
      <c r="AF488" s="707"/>
      <c r="AG488" s="707"/>
      <c r="AH488" s="707"/>
      <c r="AI488" s="707"/>
      <c r="AJ488" s="707"/>
      <c r="AK488" s="707"/>
      <c r="AL488" s="707"/>
      <c r="AM488" s="707"/>
      <c r="AN488" s="707"/>
      <c r="AO488" s="707"/>
      <c r="AP488" s="707"/>
      <c r="AQ488" s="707"/>
      <c r="AR488" s="707"/>
      <c r="AS488" s="707"/>
      <c r="AT488" s="707"/>
      <c r="AU488" s="707"/>
      <c r="AV488" s="707"/>
      <c r="AW488" s="707"/>
      <c r="AX488" s="707"/>
      <c r="AY488" s="707"/>
      <c r="AZ488" s="707"/>
      <c r="BA488" s="707"/>
      <c r="BB488" s="707"/>
      <c r="BC488" s="707"/>
      <c r="BD488" s="707"/>
      <c r="BE488" s="707"/>
      <c r="BF488" s="707"/>
      <c r="BG488" s="707"/>
      <c r="BH488" s="707"/>
      <c r="BI488" s="707"/>
      <c r="BJ488" s="707"/>
      <c r="BK488" s="707"/>
      <c r="BL488" s="707"/>
      <c r="BM488" s="707"/>
      <c r="BN488" s="707"/>
      <c r="BO488" s="707"/>
      <c r="BP488" s="707"/>
      <c r="BQ488" s="707"/>
      <c r="BR488" s="707"/>
      <c r="BS488" s="707"/>
      <c r="BT488" s="707"/>
      <c r="BU488" s="707"/>
      <c r="BV488" s="707"/>
      <c r="BW488" s="707"/>
      <c r="BX488" s="707"/>
      <c r="BY488" s="707"/>
      <c r="BZ488" s="707"/>
      <c r="CA488" s="707"/>
      <c r="CB488" s="707"/>
      <c r="CC488" s="707"/>
      <c r="CD488" s="707"/>
      <c r="CE488" s="707"/>
      <c r="CF488" s="707"/>
      <c r="CG488" s="707"/>
      <c r="CH488" s="707"/>
      <c r="CI488" s="707"/>
      <c r="CJ488" s="707"/>
      <c r="CK488" s="707"/>
      <c r="CL488" s="707"/>
      <c r="CM488" s="707"/>
      <c r="CN488" s="707"/>
      <c r="CO488" s="707"/>
      <c r="CP488" s="707"/>
      <c r="CQ488" s="707"/>
      <c r="CR488" s="707"/>
      <c r="CS488" s="707"/>
      <c r="CT488" s="707"/>
      <c r="CU488" s="707"/>
      <c r="CV488" s="707"/>
      <c r="CW488" s="707"/>
      <c r="CX488" s="707"/>
      <c r="CY488" s="707"/>
      <c r="CZ488" s="707"/>
      <c r="DA488" s="707"/>
      <c r="DB488" s="707"/>
      <c r="DC488" s="707"/>
      <c r="DD488" s="707"/>
      <c r="DE488" s="707"/>
      <c r="DF488" s="707"/>
      <c r="DG488" s="707"/>
      <c r="DH488" s="707"/>
      <c r="DI488" s="707"/>
      <c r="DJ488" s="707"/>
      <c r="DK488" s="707"/>
      <c r="DL488" s="707"/>
      <c r="DM488" s="707"/>
      <c r="DN488" s="707"/>
      <c r="DO488" s="707"/>
      <c r="DP488" s="707"/>
      <c r="DQ488" s="707"/>
      <c r="DR488" s="707"/>
      <c r="DS488" s="707"/>
      <c r="DT488" s="707"/>
      <c r="DU488" s="707"/>
      <c r="DV488" s="707"/>
      <c r="DW488" s="707"/>
      <c r="DX488" s="707"/>
      <c r="DY488" s="707"/>
      <c r="DZ488" s="707"/>
      <c r="EA488" s="707"/>
      <c r="EB488" s="707"/>
      <c r="EC488" s="707"/>
      <c r="ED488" s="707"/>
      <c r="EE488" s="707"/>
      <c r="EF488" s="707"/>
      <c r="EG488" s="707"/>
      <c r="EH488" s="707"/>
      <c r="EI488" s="707"/>
      <c r="EJ488" s="707"/>
      <c r="EK488" s="707"/>
      <c r="EL488" s="707"/>
      <c r="EM488" s="707"/>
      <c r="EN488" s="707"/>
      <c r="EO488" s="707"/>
      <c r="EP488" s="707"/>
      <c r="EQ488" s="707"/>
      <c r="ER488" s="707"/>
      <c r="ES488" s="707"/>
      <c r="ET488" s="707"/>
      <c r="EU488" s="707"/>
      <c r="EV488" s="707"/>
      <c r="EW488" s="707"/>
      <c r="EX488" s="707"/>
      <c r="EY488" s="707"/>
      <c r="EZ488" s="707"/>
      <c r="FA488" s="707"/>
      <c r="FB488" s="707"/>
      <c r="FC488" s="707"/>
      <c r="FD488" s="707"/>
      <c r="FE488" s="707"/>
      <c r="FF488" s="707"/>
      <c r="FG488" s="707"/>
      <c r="FH488" s="707"/>
      <c r="FI488" s="707"/>
      <c r="FJ488" s="707"/>
      <c r="FK488" s="707"/>
      <c r="FL488" s="707"/>
      <c r="FM488" s="707"/>
      <c r="FN488" s="707"/>
      <c r="FO488" s="707"/>
      <c r="FP488" s="707"/>
      <c r="FQ488" s="707"/>
      <c r="FR488" s="707"/>
      <c r="FS488" s="707"/>
      <c r="FT488" s="707"/>
      <c r="FU488" s="707"/>
      <c r="FV488" s="707"/>
      <c r="FW488" s="707"/>
      <c r="FX488" s="707"/>
      <c r="FY488" s="707"/>
      <c r="FZ488" s="707"/>
      <c r="GA488" s="707"/>
      <c r="GB488" s="707"/>
      <c r="GC488" s="707"/>
      <c r="GD488" s="707"/>
      <c r="GE488" s="707"/>
      <c r="GF488" s="707"/>
      <c r="GG488" s="707"/>
      <c r="GH488" s="707"/>
      <c r="GI488" s="707"/>
      <c r="GJ488" s="707"/>
      <c r="GK488" s="707"/>
      <c r="GL488" s="707"/>
      <c r="GM488" s="707"/>
      <c r="GN488" s="707"/>
      <c r="GO488" s="707"/>
      <c r="GP488" s="707"/>
      <c r="GQ488" s="707"/>
      <c r="GR488" s="707"/>
      <c r="GS488" s="707"/>
      <c r="GT488" s="707"/>
      <c r="GU488" s="707"/>
      <c r="GV488" s="707"/>
      <c r="GW488" s="707"/>
      <c r="GX488" s="707"/>
      <c r="GY488" s="707"/>
      <c r="GZ488" s="707"/>
      <c r="HA488" s="707"/>
      <c r="HB488" s="707"/>
      <c r="HC488" s="707"/>
      <c r="HD488" s="707"/>
      <c r="HE488" s="707"/>
      <c r="HF488" s="707"/>
      <c r="HG488" s="707"/>
      <c r="HH488" s="707"/>
      <c r="HI488" s="707"/>
      <c r="HJ488" s="707"/>
      <c r="HK488" s="707"/>
      <c r="HL488" s="707"/>
      <c r="HM488" s="707"/>
      <c r="HN488" s="707"/>
      <c r="HO488" s="707"/>
      <c r="HP488" s="707"/>
      <c r="HQ488" s="707"/>
      <c r="HR488" s="707"/>
      <c r="HS488" s="707"/>
      <c r="HT488" s="707"/>
      <c r="HU488" s="707"/>
      <c r="HV488" s="707"/>
      <c r="HW488" s="707"/>
      <c r="HX488" s="707"/>
      <c r="HY488" s="707"/>
      <c r="HZ488" s="707"/>
      <c r="IA488" s="707"/>
      <c r="IB488" s="707"/>
      <c r="IC488" s="707"/>
      <c r="ID488" s="707"/>
      <c r="IE488" s="707"/>
      <c r="IF488" s="707"/>
      <c r="IG488" s="707"/>
      <c r="IH488" s="707"/>
      <c r="II488" s="707"/>
      <c r="IJ488" s="707"/>
      <c r="IK488" s="707"/>
      <c r="IL488" s="707"/>
      <c r="IM488" s="707"/>
      <c r="IN488" s="707"/>
      <c r="IO488" s="707"/>
      <c r="IP488" s="707"/>
      <c r="IQ488" s="707"/>
      <c r="IR488" s="707"/>
      <c r="IS488" s="707"/>
      <c r="IT488" s="707"/>
      <c r="IU488" s="707"/>
      <c r="IV488" s="707"/>
      <c r="IW488" s="707"/>
    </row>
    <row r="489" customFormat="false" ht="12.75" hidden="false" customHeight="false" outlineLevel="1" collapsed="false">
      <c r="A489" s="716"/>
      <c r="B489" s="717"/>
      <c r="C489" s="717"/>
      <c r="D489" s="717"/>
      <c r="E489" s="713"/>
      <c r="F489" s="713"/>
      <c r="G489" s="713"/>
      <c r="H489" s="713"/>
      <c r="I489" s="713"/>
      <c r="J489" s="713"/>
      <c r="K489" s="713"/>
      <c r="L489" s="713"/>
      <c r="M489" s="713"/>
      <c r="N489" s="713"/>
      <c r="O489" s="713"/>
      <c r="P489" s="713"/>
      <c r="Q489" s="713"/>
      <c r="R489" s="713"/>
      <c r="S489" s="713"/>
      <c r="T489" s="713"/>
      <c r="U489" s="713"/>
      <c r="V489" s="713"/>
      <c r="W489" s="713"/>
      <c r="X489" s="713"/>
      <c r="Y489" s="713"/>
      <c r="Z489" s="713"/>
      <c r="AA489" s="707"/>
      <c r="AB489" s="707"/>
      <c r="AC489" s="707"/>
      <c r="AD489" s="707"/>
      <c r="AE489" s="707"/>
      <c r="AF489" s="707"/>
      <c r="AG489" s="707"/>
      <c r="AH489" s="707"/>
      <c r="AI489" s="707"/>
      <c r="AJ489" s="707"/>
      <c r="AK489" s="707"/>
      <c r="AL489" s="707"/>
      <c r="AM489" s="707"/>
      <c r="AN489" s="707"/>
      <c r="AO489" s="707"/>
      <c r="AP489" s="707"/>
      <c r="AQ489" s="707"/>
      <c r="AR489" s="707"/>
      <c r="AS489" s="707"/>
      <c r="AT489" s="707"/>
      <c r="AU489" s="707"/>
      <c r="AV489" s="707"/>
      <c r="AW489" s="707"/>
      <c r="AX489" s="707"/>
      <c r="AY489" s="707"/>
      <c r="AZ489" s="707"/>
      <c r="BA489" s="707"/>
      <c r="BB489" s="707"/>
      <c r="BC489" s="707"/>
      <c r="BD489" s="707"/>
      <c r="BE489" s="707"/>
      <c r="BF489" s="707"/>
      <c r="BG489" s="707"/>
      <c r="BH489" s="707"/>
      <c r="BI489" s="707"/>
      <c r="BJ489" s="707"/>
      <c r="BK489" s="707"/>
      <c r="BL489" s="707"/>
      <c r="BM489" s="707"/>
      <c r="BN489" s="707"/>
      <c r="BO489" s="707"/>
      <c r="BP489" s="707"/>
      <c r="BQ489" s="707"/>
      <c r="BR489" s="707"/>
      <c r="BS489" s="707"/>
      <c r="BT489" s="707"/>
      <c r="BU489" s="707"/>
      <c r="BV489" s="707"/>
      <c r="BW489" s="707"/>
      <c r="BX489" s="707"/>
      <c r="BY489" s="707"/>
      <c r="BZ489" s="707"/>
      <c r="CA489" s="707"/>
      <c r="CB489" s="707"/>
      <c r="CC489" s="707"/>
      <c r="CD489" s="707"/>
      <c r="CE489" s="707"/>
      <c r="CF489" s="707"/>
      <c r="CG489" s="707"/>
      <c r="CH489" s="707"/>
      <c r="CI489" s="707"/>
      <c r="CJ489" s="707"/>
      <c r="CK489" s="707"/>
      <c r="CL489" s="707"/>
      <c r="CM489" s="707"/>
      <c r="CN489" s="707"/>
      <c r="CO489" s="707"/>
      <c r="CP489" s="707"/>
      <c r="CQ489" s="707"/>
      <c r="CR489" s="707"/>
      <c r="CS489" s="707"/>
      <c r="CT489" s="707"/>
      <c r="CU489" s="707"/>
      <c r="CV489" s="707"/>
      <c r="CW489" s="707"/>
      <c r="CX489" s="707"/>
      <c r="CY489" s="707"/>
      <c r="CZ489" s="707"/>
      <c r="DA489" s="707"/>
      <c r="DB489" s="707"/>
      <c r="DC489" s="707"/>
      <c r="DD489" s="707"/>
      <c r="DE489" s="707"/>
      <c r="DF489" s="707"/>
      <c r="DG489" s="707"/>
      <c r="DH489" s="707"/>
      <c r="DI489" s="707"/>
      <c r="DJ489" s="707"/>
      <c r="DK489" s="707"/>
      <c r="DL489" s="707"/>
      <c r="DM489" s="707"/>
      <c r="DN489" s="707"/>
      <c r="DO489" s="707"/>
      <c r="DP489" s="707"/>
      <c r="DQ489" s="707"/>
      <c r="DR489" s="707"/>
      <c r="DS489" s="707"/>
      <c r="DT489" s="707"/>
      <c r="DU489" s="707"/>
      <c r="DV489" s="707"/>
      <c r="DW489" s="707"/>
      <c r="DX489" s="707"/>
      <c r="DY489" s="707"/>
      <c r="DZ489" s="707"/>
      <c r="EA489" s="707"/>
      <c r="EB489" s="707"/>
      <c r="EC489" s="707"/>
      <c r="ED489" s="707"/>
      <c r="EE489" s="707"/>
      <c r="EF489" s="707"/>
      <c r="EG489" s="707"/>
      <c r="EH489" s="707"/>
      <c r="EI489" s="707"/>
      <c r="EJ489" s="707"/>
      <c r="EK489" s="707"/>
      <c r="EL489" s="707"/>
      <c r="EM489" s="707"/>
      <c r="EN489" s="707"/>
      <c r="EO489" s="707"/>
      <c r="EP489" s="707"/>
      <c r="EQ489" s="707"/>
      <c r="ER489" s="707"/>
      <c r="ES489" s="707"/>
      <c r="ET489" s="707"/>
      <c r="EU489" s="707"/>
      <c r="EV489" s="707"/>
      <c r="EW489" s="707"/>
      <c r="EX489" s="707"/>
      <c r="EY489" s="707"/>
      <c r="EZ489" s="707"/>
      <c r="FA489" s="707"/>
      <c r="FB489" s="707"/>
      <c r="FC489" s="707"/>
      <c r="FD489" s="707"/>
      <c r="FE489" s="707"/>
      <c r="FF489" s="707"/>
      <c r="FG489" s="707"/>
      <c r="FH489" s="707"/>
      <c r="FI489" s="707"/>
      <c r="FJ489" s="707"/>
      <c r="FK489" s="707"/>
      <c r="FL489" s="707"/>
      <c r="FM489" s="707"/>
      <c r="FN489" s="707"/>
      <c r="FO489" s="707"/>
      <c r="FP489" s="707"/>
      <c r="FQ489" s="707"/>
      <c r="FR489" s="707"/>
      <c r="FS489" s="707"/>
      <c r="FT489" s="707"/>
      <c r="FU489" s="707"/>
      <c r="FV489" s="707"/>
      <c r="FW489" s="707"/>
      <c r="FX489" s="707"/>
      <c r="FY489" s="707"/>
      <c r="FZ489" s="707"/>
      <c r="GA489" s="707"/>
      <c r="GB489" s="707"/>
      <c r="GC489" s="707"/>
      <c r="GD489" s="707"/>
      <c r="GE489" s="707"/>
      <c r="GF489" s="707"/>
      <c r="GG489" s="707"/>
      <c r="GH489" s="707"/>
      <c r="GI489" s="707"/>
      <c r="GJ489" s="707"/>
      <c r="GK489" s="707"/>
      <c r="GL489" s="707"/>
      <c r="GM489" s="707"/>
      <c r="GN489" s="707"/>
      <c r="GO489" s="707"/>
      <c r="GP489" s="707"/>
      <c r="GQ489" s="707"/>
      <c r="GR489" s="707"/>
      <c r="GS489" s="707"/>
      <c r="GT489" s="707"/>
      <c r="GU489" s="707"/>
      <c r="GV489" s="707"/>
      <c r="GW489" s="707"/>
      <c r="GX489" s="707"/>
      <c r="GY489" s="707"/>
      <c r="GZ489" s="707"/>
      <c r="HA489" s="707"/>
      <c r="HB489" s="707"/>
      <c r="HC489" s="707"/>
      <c r="HD489" s="707"/>
      <c r="HE489" s="707"/>
      <c r="HF489" s="707"/>
      <c r="HG489" s="707"/>
      <c r="HH489" s="707"/>
      <c r="HI489" s="707"/>
      <c r="HJ489" s="707"/>
      <c r="HK489" s="707"/>
      <c r="HL489" s="707"/>
      <c r="HM489" s="707"/>
      <c r="HN489" s="707"/>
      <c r="HO489" s="707"/>
      <c r="HP489" s="707"/>
      <c r="HQ489" s="707"/>
      <c r="HR489" s="707"/>
      <c r="HS489" s="707"/>
      <c r="HT489" s="707"/>
      <c r="HU489" s="707"/>
      <c r="HV489" s="707"/>
      <c r="HW489" s="707"/>
      <c r="HX489" s="707"/>
      <c r="HY489" s="707"/>
      <c r="HZ489" s="707"/>
      <c r="IA489" s="707"/>
      <c r="IB489" s="707"/>
      <c r="IC489" s="707"/>
      <c r="ID489" s="707"/>
      <c r="IE489" s="707"/>
      <c r="IF489" s="707"/>
      <c r="IG489" s="707"/>
      <c r="IH489" s="707"/>
      <c r="II489" s="707"/>
      <c r="IJ489" s="707"/>
      <c r="IK489" s="707"/>
      <c r="IL489" s="707"/>
      <c r="IM489" s="707"/>
      <c r="IN489" s="707"/>
      <c r="IO489" s="707"/>
      <c r="IP489" s="707"/>
      <c r="IQ489" s="707"/>
      <c r="IR489" s="707"/>
      <c r="IS489" s="707"/>
      <c r="IT489" s="707"/>
      <c r="IU489" s="707"/>
      <c r="IV489" s="707"/>
      <c r="IW489" s="707"/>
    </row>
    <row r="490" customFormat="false" ht="12.75" hidden="false" customHeight="false" outlineLevel="1" collapsed="false">
      <c r="A490" s="716"/>
      <c r="B490" s="718"/>
      <c r="C490" s="718"/>
      <c r="D490" s="718"/>
      <c r="E490" s="713"/>
      <c r="F490" s="713"/>
      <c r="G490" s="713"/>
      <c r="H490" s="713"/>
      <c r="I490" s="713"/>
      <c r="J490" s="713"/>
      <c r="K490" s="713"/>
      <c r="L490" s="713"/>
      <c r="M490" s="713"/>
      <c r="N490" s="713"/>
      <c r="O490" s="713"/>
      <c r="P490" s="713"/>
      <c r="Q490" s="713"/>
      <c r="R490" s="713"/>
      <c r="S490" s="713"/>
      <c r="T490" s="713"/>
      <c r="U490" s="713"/>
      <c r="V490" s="713"/>
      <c r="W490" s="713"/>
      <c r="X490" s="713"/>
      <c r="Y490" s="713"/>
      <c r="Z490" s="713"/>
      <c r="AA490" s="707"/>
      <c r="AB490" s="707"/>
      <c r="AC490" s="707"/>
      <c r="AD490" s="707"/>
      <c r="AE490" s="707"/>
      <c r="AF490" s="707"/>
      <c r="AG490" s="707"/>
      <c r="AH490" s="707"/>
      <c r="AI490" s="707"/>
      <c r="AJ490" s="707"/>
      <c r="AK490" s="707"/>
      <c r="AL490" s="707"/>
      <c r="AM490" s="707"/>
      <c r="AN490" s="707"/>
      <c r="AO490" s="707"/>
      <c r="AP490" s="707"/>
      <c r="AQ490" s="707"/>
      <c r="AR490" s="707"/>
      <c r="AS490" s="707"/>
      <c r="AT490" s="707"/>
      <c r="AU490" s="707"/>
      <c r="AV490" s="707"/>
      <c r="AW490" s="707"/>
      <c r="AX490" s="707"/>
      <c r="AY490" s="707"/>
      <c r="AZ490" s="707"/>
      <c r="BA490" s="707"/>
      <c r="BB490" s="707"/>
      <c r="BC490" s="707"/>
      <c r="BD490" s="707"/>
      <c r="BE490" s="707"/>
      <c r="BF490" s="707"/>
      <c r="BG490" s="707"/>
      <c r="BH490" s="707"/>
      <c r="BI490" s="707"/>
      <c r="BJ490" s="707"/>
      <c r="BK490" s="707"/>
      <c r="BL490" s="707"/>
      <c r="BM490" s="707"/>
      <c r="BN490" s="707"/>
      <c r="BO490" s="707"/>
      <c r="BP490" s="707"/>
      <c r="BQ490" s="707"/>
      <c r="BR490" s="707"/>
      <c r="BS490" s="707"/>
      <c r="BT490" s="707"/>
      <c r="BU490" s="707"/>
      <c r="BV490" s="707"/>
      <c r="BW490" s="707"/>
      <c r="BX490" s="707"/>
      <c r="BY490" s="707"/>
      <c r="BZ490" s="707"/>
      <c r="CA490" s="707"/>
      <c r="CB490" s="707"/>
      <c r="CC490" s="707"/>
      <c r="CD490" s="707"/>
      <c r="CE490" s="707"/>
      <c r="CF490" s="707"/>
      <c r="CG490" s="707"/>
      <c r="CH490" s="707"/>
      <c r="CI490" s="707"/>
      <c r="CJ490" s="707"/>
      <c r="CK490" s="707"/>
      <c r="CL490" s="707"/>
      <c r="CM490" s="707"/>
      <c r="CN490" s="707"/>
      <c r="CO490" s="707"/>
      <c r="CP490" s="707"/>
      <c r="CQ490" s="707"/>
      <c r="CR490" s="707"/>
      <c r="CS490" s="707"/>
      <c r="CT490" s="707"/>
      <c r="CU490" s="707"/>
      <c r="CV490" s="707"/>
      <c r="CW490" s="707"/>
      <c r="CX490" s="707"/>
      <c r="CY490" s="707"/>
      <c r="CZ490" s="707"/>
      <c r="DA490" s="707"/>
      <c r="DB490" s="707"/>
      <c r="DC490" s="707"/>
      <c r="DD490" s="707"/>
      <c r="DE490" s="707"/>
      <c r="DF490" s="707"/>
      <c r="DG490" s="707"/>
      <c r="DH490" s="707"/>
      <c r="DI490" s="707"/>
      <c r="DJ490" s="707"/>
      <c r="DK490" s="707"/>
      <c r="DL490" s="707"/>
      <c r="DM490" s="707"/>
      <c r="DN490" s="707"/>
      <c r="DO490" s="707"/>
      <c r="DP490" s="707"/>
      <c r="DQ490" s="707"/>
      <c r="DR490" s="707"/>
      <c r="DS490" s="707"/>
      <c r="DT490" s="707"/>
      <c r="DU490" s="707"/>
      <c r="DV490" s="707"/>
      <c r="DW490" s="707"/>
      <c r="DX490" s="707"/>
      <c r="DY490" s="707"/>
      <c r="DZ490" s="707"/>
      <c r="EA490" s="707"/>
      <c r="EB490" s="707"/>
      <c r="EC490" s="707"/>
      <c r="ED490" s="707"/>
      <c r="EE490" s="707"/>
      <c r="EF490" s="707"/>
      <c r="EG490" s="707"/>
      <c r="EH490" s="707"/>
      <c r="EI490" s="707"/>
      <c r="EJ490" s="707"/>
      <c r="EK490" s="707"/>
      <c r="EL490" s="707"/>
      <c r="EM490" s="707"/>
      <c r="EN490" s="707"/>
      <c r="EO490" s="707"/>
      <c r="EP490" s="707"/>
      <c r="EQ490" s="707"/>
      <c r="ER490" s="707"/>
      <c r="ES490" s="707"/>
      <c r="ET490" s="707"/>
      <c r="EU490" s="707"/>
      <c r="EV490" s="707"/>
      <c r="EW490" s="707"/>
      <c r="EX490" s="707"/>
      <c r="EY490" s="707"/>
      <c r="EZ490" s="707"/>
      <c r="FA490" s="707"/>
      <c r="FB490" s="707"/>
      <c r="FC490" s="707"/>
      <c r="FD490" s="707"/>
      <c r="FE490" s="707"/>
      <c r="FF490" s="707"/>
      <c r="FG490" s="707"/>
      <c r="FH490" s="707"/>
      <c r="FI490" s="707"/>
      <c r="FJ490" s="707"/>
      <c r="FK490" s="707"/>
      <c r="FL490" s="707"/>
      <c r="FM490" s="707"/>
      <c r="FN490" s="707"/>
      <c r="FO490" s="707"/>
      <c r="FP490" s="707"/>
      <c r="FQ490" s="707"/>
      <c r="FR490" s="707"/>
      <c r="FS490" s="707"/>
      <c r="FT490" s="707"/>
      <c r="FU490" s="707"/>
      <c r="FV490" s="707"/>
      <c r="FW490" s="707"/>
      <c r="FX490" s="707"/>
      <c r="FY490" s="707"/>
      <c r="FZ490" s="707"/>
      <c r="GA490" s="707"/>
      <c r="GB490" s="707"/>
      <c r="GC490" s="707"/>
      <c r="GD490" s="707"/>
      <c r="GE490" s="707"/>
      <c r="GF490" s="707"/>
      <c r="GG490" s="707"/>
      <c r="GH490" s="707"/>
      <c r="GI490" s="707"/>
      <c r="GJ490" s="707"/>
      <c r="GK490" s="707"/>
      <c r="GL490" s="707"/>
      <c r="GM490" s="707"/>
      <c r="GN490" s="707"/>
      <c r="GO490" s="707"/>
      <c r="GP490" s="707"/>
      <c r="GQ490" s="707"/>
      <c r="GR490" s="707"/>
      <c r="GS490" s="707"/>
      <c r="GT490" s="707"/>
      <c r="GU490" s="707"/>
      <c r="GV490" s="707"/>
      <c r="GW490" s="707"/>
      <c r="GX490" s="707"/>
      <c r="GY490" s="707"/>
      <c r="GZ490" s="707"/>
      <c r="HA490" s="707"/>
      <c r="HB490" s="707"/>
      <c r="HC490" s="707"/>
      <c r="HD490" s="707"/>
      <c r="HE490" s="707"/>
      <c r="HF490" s="707"/>
      <c r="HG490" s="707"/>
      <c r="HH490" s="707"/>
      <c r="HI490" s="707"/>
      <c r="HJ490" s="707"/>
      <c r="HK490" s="707"/>
      <c r="HL490" s="707"/>
      <c r="HM490" s="707"/>
      <c r="HN490" s="707"/>
      <c r="HO490" s="707"/>
      <c r="HP490" s="707"/>
      <c r="HQ490" s="707"/>
      <c r="HR490" s="707"/>
      <c r="HS490" s="707"/>
      <c r="HT490" s="707"/>
      <c r="HU490" s="707"/>
      <c r="HV490" s="707"/>
      <c r="HW490" s="707"/>
      <c r="HX490" s="707"/>
      <c r="HY490" s="707"/>
      <c r="HZ490" s="707"/>
      <c r="IA490" s="707"/>
      <c r="IB490" s="707"/>
      <c r="IC490" s="707"/>
      <c r="ID490" s="707"/>
      <c r="IE490" s="707"/>
      <c r="IF490" s="707"/>
      <c r="IG490" s="707"/>
      <c r="IH490" s="707"/>
      <c r="II490" s="707"/>
      <c r="IJ490" s="707"/>
      <c r="IK490" s="707"/>
      <c r="IL490" s="707"/>
      <c r="IM490" s="707"/>
      <c r="IN490" s="707"/>
      <c r="IO490" s="707"/>
      <c r="IP490" s="707"/>
      <c r="IQ490" s="707"/>
      <c r="IR490" s="707"/>
      <c r="IS490" s="707"/>
      <c r="IT490" s="707"/>
      <c r="IU490" s="707"/>
      <c r="IV490" s="707"/>
      <c r="IW490" s="707"/>
    </row>
    <row r="491" customFormat="false" ht="12.75" hidden="false" customHeight="false" outlineLevel="1" collapsed="false">
      <c r="A491" s="388"/>
      <c r="B491" s="717"/>
      <c r="C491" s="717"/>
      <c r="D491" s="717"/>
      <c r="E491" s="713"/>
      <c r="F491" s="713"/>
      <c r="G491" s="713"/>
      <c r="H491" s="713"/>
      <c r="I491" s="713"/>
      <c r="J491" s="713"/>
      <c r="K491" s="713"/>
      <c r="L491" s="713"/>
      <c r="M491" s="713"/>
      <c r="N491" s="713"/>
      <c r="O491" s="713"/>
      <c r="P491" s="713"/>
      <c r="Q491" s="713"/>
      <c r="R491" s="713"/>
      <c r="S491" s="713"/>
      <c r="T491" s="713"/>
      <c r="U491" s="713"/>
      <c r="V491" s="713"/>
      <c r="W491" s="713"/>
      <c r="X491" s="713"/>
      <c r="Y491" s="713"/>
      <c r="Z491" s="713"/>
      <c r="AA491" s="707"/>
      <c r="AB491" s="707"/>
      <c r="AC491" s="707"/>
      <c r="AD491" s="707"/>
      <c r="AE491" s="707"/>
      <c r="AF491" s="707"/>
      <c r="AG491" s="707"/>
      <c r="AH491" s="707"/>
      <c r="AI491" s="707"/>
      <c r="AJ491" s="707"/>
      <c r="AK491" s="707"/>
      <c r="AL491" s="707"/>
      <c r="AM491" s="707"/>
      <c r="AN491" s="707"/>
      <c r="AO491" s="707"/>
      <c r="AP491" s="707"/>
      <c r="AQ491" s="707"/>
      <c r="AR491" s="707"/>
      <c r="AS491" s="707"/>
      <c r="AT491" s="707"/>
      <c r="AU491" s="707"/>
      <c r="AV491" s="707"/>
      <c r="AW491" s="707"/>
      <c r="AX491" s="707"/>
      <c r="AY491" s="707"/>
      <c r="AZ491" s="707"/>
      <c r="BA491" s="707"/>
      <c r="BB491" s="707"/>
      <c r="BC491" s="707"/>
      <c r="BD491" s="707"/>
      <c r="BE491" s="707"/>
      <c r="BF491" s="707"/>
      <c r="BG491" s="707"/>
      <c r="BH491" s="707"/>
      <c r="BI491" s="707"/>
      <c r="BJ491" s="707"/>
      <c r="BK491" s="707"/>
      <c r="BL491" s="707"/>
      <c r="BM491" s="707"/>
      <c r="BN491" s="707"/>
      <c r="BO491" s="707"/>
      <c r="BP491" s="707"/>
      <c r="BQ491" s="707"/>
      <c r="BR491" s="707"/>
      <c r="BS491" s="707"/>
      <c r="BT491" s="707"/>
      <c r="BU491" s="707"/>
      <c r="BV491" s="707"/>
      <c r="BW491" s="707"/>
      <c r="BX491" s="707"/>
      <c r="BY491" s="707"/>
      <c r="BZ491" s="707"/>
      <c r="CA491" s="707"/>
      <c r="CB491" s="707"/>
      <c r="CC491" s="707"/>
      <c r="CD491" s="707"/>
      <c r="CE491" s="707"/>
      <c r="CF491" s="707"/>
      <c r="CG491" s="707"/>
      <c r="CH491" s="707"/>
      <c r="CI491" s="707"/>
      <c r="CJ491" s="707"/>
      <c r="CK491" s="707"/>
      <c r="CL491" s="707"/>
      <c r="CM491" s="707"/>
      <c r="CN491" s="707"/>
      <c r="CO491" s="707"/>
      <c r="CP491" s="707"/>
      <c r="CQ491" s="707"/>
      <c r="CR491" s="707"/>
      <c r="CS491" s="707"/>
      <c r="CT491" s="707"/>
      <c r="CU491" s="707"/>
      <c r="CV491" s="707"/>
      <c r="CW491" s="707"/>
      <c r="CX491" s="707"/>
      <c r="CY491" s="707"/>
      <c r="CZ491" s="707"/>
      <c r="DA491" s="707"/>
      <c r="DB491" s="707"/>
      <c r="DC491" s="707"/>
      <c r="DD491" s="707"/>
      <c r="DE491" s="707"/>
      <c r="DF491" s="707"/>
      <c r="DG491" s="707"/>
      <c r="DH491" s="707"/>
      <c r="DI491" s="707"/>
      <c r="DJ491" s="707"/>
      <c r="DK491" s="707"/>
      <c r="DL491" s="707"/>
      <c r="DM491" s="707"/>
      <c r="DN491" s="707"/>
      <c r="DO491" s="707"/>
      <c r="DP491" s="707"/>
      <c r="DQ491" s="707"/>
      <c r="DR491" s="707"/>
      <c r="DS491" s="707"/>
      <c r="DT491" s="707"/>
      <c r="DU491" s="707"/>
      <c r="DV491" s="707"/>
      <c r="DW491" s="707"/>
      <c r="DX491" s="707"/>
      <c r="DY491" s="707"/>
      <c r="DZ491" s="707"/>
      <c r="EA491" s="707"/>
      <c r="EB491" s="707"/>
      <c r="EC491" s="707"/>
      <c r="ED491" s="707"/>
      <c r="EE491" s="707"/>
      <c r="EF491" s="707"/>
      <c r="EG491" s="707"/>
      <c r="EH491" s="707"/>
      <c r="EI491" s="707"/>
      <c r="EJ491" s="707"/>
      <c r="EK491" s="707"/>
      <c r="EL491" s="707"/>
      <c r="EM491" s="707"/>
      <c r="EN491" s="707"/>
      <c r="EO491" s="707"/>
      <c r="EP491" s="707"/>
      <c r="EQ491" s="707"/>
      <c r="ER491" s="707"/>
      <c r="ES491" s="707"/>
      <c r="ET491" s="707"/>
      <c r="EU491" s="707"/>
      <c r="EV491" s="707"/>
      <c r="EW491" s="707"/>
      <c r="EX491" s="707"/>
      <c r="EY491" s="707"/>
      <c r="EZ491" s="707"/>
      <c r="FA491" s="707"/>
      <c r="FB491" s="707"/>
      <c r="FC491" s="707"/>
      <c r="FD491" s="707"/>
      <c r="FE491" s="707"/>
      <c r="FF491" s="707"/>
      <c r="FG491" s="707"/>
      <c r="FH491" s="707"/>
      <c r="FI491" s="707"/>
      <c r="FJ491" s="707"/>
      <c r="FK491" s="707"/>
      <c r="FL491" s="707"/>
      <c r="FM491" s="707"/>
      <c r="FN491" s="707"/>
      <c r="FO491" s="707"/>
      <c r="FP491" s="707"/>
      <c r="FQ491" s="707"/>
      <c r="FR491" s="707"/>
      <c r="FS491" s="707"/>
      <c r="FT491" s="707"/>
      <c r="FU491" s="707"/>
      <c r="FV491" s="707"/>
      <c r="FW491" s="707"/>
      <c r="FX491" s="707"/>
      <c r="FY491" s="707"/>
      <c r="FZ491" s="707"/>
      <c r="GA491" s="707"/>
      <c r="GB491" s="707"/>
      <c r="GC491" s="707"/>
      <c r="GD491" s="707"/>
      <c r="GE491" s="707"/>
      <c r="GF491" s="707"/>
      <c r="GG491" s="707"/>
      <c r="GH491" s="707"/>
      <c r="GI491" s="707"/>
      <c r="GJ491" s="707"/>
      <c r="GK491" s="707"/>
      <c r="GL491" s="707"/>
      <c r="GM491" s="707"/>
      <c r="GN491" s="707"/>
      <c r="GO491" s="707"/>
      <c r="GP491" s="707"/>
      <c r="GQ491" s="707"/>
      <c r="GR491" s="707"/>
      <c r="GS491" s="707"/>
      <c r="GT491" s="707"/>
      <c r="GU491" s="707"/>
      <c r="GV491" s="707"/>
      <c r="GW491" s="707"/>
      <c r="GX491" s="707"/>
      <c r="GY491" s="707"/>
      <c r="GZ491" s="707"/>
      <c r="HA491" s="707"/>
      <c r="HB491" s="707"/>
      <c r="HC491" s="707"/>
      <c r="HD491" s="707"/>
      <c r="HE491" s="707"/>
      <c r="HF491" s="707"/>
      <c r="HG491" s="707"/>
      <c r="HH491" s="707"/>
      <c r="HI491" s="707"/>
      <c r="HJ491" s="707"/>
      <c r="HK491" s="707"/>
      <c r="HL491" s="707"/>
      <c r="HM491" s="707"/>
      <c r="HN491" s="707"/>
      <c r="HO491" s="707"/>
      <c r="HP491" s="707"/>
      <c r="HQ491" s="707"/>
      <c r="HR491" s="707"/>
      <c r="HS491" s="707"/>
      <c r="HT491" s="707"/>
      <c r="HU491" s="707"/>
      <c r="HV491" s="707"/>
      <c r="HW491" s="707"/>
      <c r="HX491" s="707"/>
      <c r="HY491" s="707"/>
      <c r="HZ491" s="707"/>
      <c r="IA491" s="707"/>
      <c r="IB491" s="707"/>
      <c r="IC491" s="707"/>
      <c r="ID491" s="707"/>
      <c r="IE491" s="707"/>
      <c r="IF491" s="707"/>
      <c r="IG491" s="707"/>
      <c r="IH491" s="707"/>
      <c r="II491" s="707"/>
      <c r="IJ491" s="707"/>
      <c r="IK491" s="707"/>
      <c r="IL491" s="707"/>
      <c r="IM491" s="707"/>
      <c r="IN491" s="707"/>
      <c r="IO491" s="707"/>
      <c r="IP491" s="707"/>
      <c r="IQ491" s="707"/>
      <c r="IR491" s="707"/>
      <c r="IS491" s="707"/>
      <c r="IT491" s="707"/>
      <c r="IU491" s="707"/>
      <c r="IV491" s="707"/>
      <c r="IW491" s="707"/>
    </row>
    <row r="492" customFormat="false" ht="12.75" hidden="false" customHeight="false" outlineLevel="1" collapsed="false">
      <c r="A492" s="388"/>
      <c r="B492" s="717"/>
      <c r="C492" s="717"/>
      <c r="D492" s="717"/>
      <c r="E492" s="713"/>
      <c r="F492" s="713"/>
      <c r="G492" s="713"/>
      <c r="H492" s="713"/>
      <c r="I492" s="713"/>
      <c r="J492" s="713"/>
      <c r="K492" s="713"/>
      <c r="L492" s="713"/>
      <c r="M492" s="713"/>
      <c r="N492" s="713"/>
      <c r="O492" s="713"/>
      <c r="P492" s="713"/>
      <c r="Q492" s="713"/>
      <c r="R492" s="713"/>
      <c r="S492" s="713"/>
      <c r="T492" s="713"/>
      <c r="U492" s="713"/>
      <c r="V492" s="713"/>
      <c r="W492" s="713"/>
      <c r="X492" s="713"/>
      <c r="Y492" s="713"/>
      <c r="Z492" s="713"/>
      <c r="AA492" s="707"/>
      <c r="AB492" s="707"/>
      <c r="AC492" s="707"/>
      <c r="AD492" s="707"/>
      <c r="AE492" s="707"/>
      <c r="AF492" s="707"/>
      <c r="AG492" s="707"/>
      <c r="AH492" s="707"/>
      <c r="AI492" s="707"/>
      <c r="AJ492" s="707"/>
      <c r="AK492" s="707"/>
      <c r="AL492" s="707"/>
      <c r="AM492" s="707"/>
      <c r="AN492" s="707"/>
      <c r="AO492" s="707"/>
      <c r="AP492" s="707"/>
      <c r="AQ492" s="707"/>
      <c r="AR492" s="707"/>
      <c r="AS492" s="707"/>
      <c r="AT492" s="707"/>
      <c r="AU492" s="707"/>
      <c r="AV492" s="707"/>
      <c r="AW492" s="707"/>
      <c r="AX492" s="707"/>
      <c r="AY492" s="707"/>
      <c r="AZ492" s="707"/>
      <c r="BA492" s="707"/>
      <c r="BB492" s="707"/>
      <c r="BC492" s="707"/>
      <c r="BD492" s="707"/>
      <c r="BE492" s="707"/>
      <c r="BF492" s="707"/>
      <c r="BG492" s="707"/>
      <c r="BH492" s="707"/>
      <c r="BI492" s="707"/>
      <c r="BJ492" s="707"/>
      <c r="BK492" s="707"/>
      <c r="BL492" s="707"/>
      <c r="BM492" s="707"/>
      <c r="BN492" s="707"/>
      <c r="BO492" s="707"/>
      <c r="BP492" s="707"/>
      <c r="BQ492" s="707"/>
      <c r="BR492" s="707"/>
      <c r="BS492" s="707"/>
      <c r="BT492" s="707"/>
      <c r="BU492" s="707"/>
      <c r="BV492" s="707"/>
      <c r="BW492" s="707"/>
      <c r="BX492" s="707"/>
      <c r="BY492" s="707"/>
      <c r="BZ492" s="707"/>
      <c r="CA492" s="707"/>
      <c r="CB492" s="707"/>
      <c r="CC492" s="707"/>
      <c r="CD492" s="707"/>
      <c r="CE492" s="707"/>
      <c r="CF492" s="707"/>
      <c r="CG492" s="707"/>
      <c r="CH492" s="707"/>
      <c r="CI492" s="707"/>
      <c r="CJ492" s="707"/>
      <c r="CK492" s="707"/>
      <c r="CL492" s="707"/>
      <c r="CM492" s="707"/>
      <c r="CN492" s="707"/>
      <c r="CO492" s="707"/>
      <c r="CP492" s="707"/>
      <c r="CQ492" s="707"/>
      <c r="CR492" s="707"/>
      <c r="CS492" s="707"/>
      <c r="CT492" s="707"/>
      <c r="CU492" s="707"/>
      <c r="CV492" s="707"/>
      <c r="CW492" s="707"/>
      <c r="CX492" s="707"/>
      <c r="CY492" s="707"/>
      <c r="CZ492" s="707"/>
      <c r="DA492" s="707"/>
      <c r="DB492" s="707"/>
      <c r="DC492" s="707"/>
      <c r="DD492" s="707"/>
      <c r="DE492" s="707"/>
      <c r="DF492" s="707"/>
      <c r="DG492" s="707"/>
      <c r="DH492" s="707"/>
      <c r="DI492" s="707"/>
      <c r="DJ492" s="707"/>
      <c r="DK492" s="707"/>
      <c r="DL492" s="707"/>
      <c r="DM492" s="707"/>
      <c r="DN492" s="707"/>
      <c r="DO492" s="707"/>
      <c r="DP492" s="707"/>
      <c r="DQ492" s="707"/>
      <c r="DR492" s="707"/>
      <c r="DS492" s="707"/>
      <c r="DT492" s="707"/>
      <c r="DU492" s="707"/>
      <c r="DV492" s="707"/>
      <c r="DW492" s="707"/>
      <c r="DX492" s="707"/>
      <c r="DY492" s="707"/>
      <c r="DZ492" s="707"/>
      <c r="EA492" s="707"/>
      <c r="EB492" s="707"/>
      <c r="EC492" s="707"/>
      <c r="ED492" s="707"/>
      <c r="EE492" s="707"/>
      <c r="EF492" s="707"/>
      <c r="EG492" s="707"/>
      <c r="EH492" s="707"/>
      <c r="EI492" s="707"/>
      <c r="EJ492" s="707"/>
      <c r="EK492" s="707"/>
      <c r="EL492" s="707"/>
      <c r="EM492" s="707"/>
      <c r="EN492" s="707"/>
      <c r="EO492" s="707"/>
      <c r="EP492" s="707"/>
      <c r="EQ492" s="707"/>
      <c r="ER492" s="707"/>
      <c r="ES492" s="707"/>
      <c r="ET492" s="707"/>
      <c r="EU492" s="707"/>
      <c r="EV492" s="707"/>
      <c r="EW492" s="707"/>
      <c r="EX492" s="707"/>
      <c r="EY492" s="707"/>
      <c r="EZ492" s="707"/>
      <c r="FA492" s="707"/>
      <c r="FB492" s="707"/>
      <c r="FC492" s="707"/>
      <c r="FD492" s="707"/>
      <c r="FE492" s="707"/>
      <c r="FF492" s="707"/>
      <c r="FG492" s="707"/>
      <c r="FH492" s="707"/>
      <c r="FI492" s="707"/>
      <c r="FJ492" s="707"/>
      <c r="FK492" s="707"/>
      <c r="FL492" s="707"/>
      <c r="FM492" s="707"/>
      <c r="FN492" s="707"/>
      <c r="FO492" s="707"/>
      <c r="FP492" s="707"/>
      <c r="FQ492" s="707"/>
      <c r="FR492" s="707"/>
      <c r="FS492" s="707"/>
      <c r="FT492" s="707"/>
      <c r="FU492" s="707"/>
      <c r="FV492" s="707"/>
      <c r="FW492" s="707"/>
      <c r="FX492" s="707"/>
      <c r="FY492" s="707"/>
      <c r="FZ492" s="707"/>
      <c r="GA492" s="707"/>
      <c r="GB492" s="707"/>
      <c r="GC492" s="707"/>
      <c r="GD492" s="707"/>
      <c r="GE492" s="707"/>
      <c r="GF492" s="707"/>
      <c r="GG492" s="707"/>
      <c r="GH492" s="707"/>
      <c r="GI492" s="707"/>
      <c r="GJ492" s="707"/>
      <c r="GK492" s="707"/>
      <c r="GL492" s="707"/>
      <c r="GM492" s="707"/>
      <c r="GN492" s="707"/>
      <c r="GO492" s="707"/>
      <c r="GP492" s="707"/>
      <c r="GQ492" s="707"/>
      <c r="GR492" s="707"/>
      <c r="GS492" s="707"/>
      <c r="GT492" s="707"/>
      <c r="GU492" s="707"/>
      <c r="GV492" s="707"/>
      <c r="GW492" s="707"/>
      <c r="GX492" s="707"/>
      <c r="GY492" s="707"/>
      <c r="GZ492" s="707"/>
      <c r="HA492" s="707"/>
      <c r="HB492" s="707"/>
      <c r="HC492" s="707"/>
      <c r="HD492" s="707"/>
      <c r="HE492" s="707"/>
      <c r="HF492" s="707"/>
      <c r="HG492" s="707"/>
      <c r="HH492" s="707"/>
      <c r="HI492" s="707"/>
      <c r="HJ492" s="707"/>
      <c r="HK492" s="707"/>
      <c r="HL492" s="707"/>
      <c r="HM492" s="707"/>
      <c r="HN492" s="707"/>
      <c r="HO492" s="707"/>
      <c r="HP492" s="707"/>
      <c r="HQ492" s="707"/>
      <c r="HR492" s="707"/>
      <c r="HS492" s="707"/>
      <c r="HT492" s="707"/>
      <c r="HU492" s="707"/>
      <c r="HV492" s="707"/>
      <c r="HW492" s="707"/>
      <c r="HX492" s="707"/>
      <c r="HY492" s="707"/>
      <c r="HZ492" s="707"/>
      <c r="IA492" s="707"/>
      <c r="IB492" s="707"/>
      <c r="IC492" s="707"/>
      <c r="ID492" s="707"/>
      <c r="IE492" s="707"/>
      <c r="IF492" s="707"/>
      <c r="IG492" s="707"/>
      <c r="IH492" s="707"/>
      <c r="II492" s="707"/>
      <c r="IJ492" s="707"/>
      <c r="IK492" s="707"/>
      <c r="IL492" s="707"/>
      <c r="IM492" s="707"/>
      <c r="IN492" s="707"/>
      <c r="IO492" s="707"/>
      <c r="IP492" s="707"/>
      <c r="IQ492" s="707"/>
      <c r="IR492" s="707"/>
      <c r="IS492" s="707"/>
      <c r="IT492" s="707"/>
      <c r="IU492" s="707"/>
      <c r="IV492" s="707"/>
      <c r="IW492" s="707"/>
    </row>
    <row r="493" customFormat="false" ht="12.75" hidden="false" customHeight="false" outlineLevel="1" collapsed="false">
      <c r="A493" s="388"/>
      <c r="B493" s="717"/>
      <c r="C493" s="717"/>
      <c r="D493" s="717"/>
      <c r="E493" s="713"/>
      <c r="F493" s="713"/>
      <c r="G493" s="713"/>
      <c r="H493" s="713"/>
      <c r="I493" s="713"/>
      <c r="J493" s="713"/>
      <c r="K493" s="713"/>
      <c r="L493" s="713"/>
      <c r="M493" s="713"/>
      <c r="N493" s="713"/>
      <c r="O493" s="713"/>
      <c r="P493" s="713"/>
      <c r="Q493" s="713"/>
      <c r="R493" s="713"/>
      <c r="S493" s="713"/>
      <c r="T493" s="713"/>
      <c r="U493" s="713"/>
      <c r="V493" s="713"/>
      <c r="W493" s="713"/>
      <c r="X493" s="713"/>
      <c r="Y493" s="713"/>
      <c r="Z493" s="713"/>
      <c r="AA493" s="707"/>
      <c r="AB493" s="707"/>
      <c r="AC493" s="707"/>
      <c r="AD493" s="707"/>
      <c r="AE493" s="707"/>
      <c r="AF493" s="707"/>
      <c r="AG493" s="707"/>
      <c r="AH493" s="707"/>
      <c r="AI493" s="707"/>
      <c r="AJ493" s="707"/>
      <c r="AK493" s="707"/>
      <c r="AL493" s="707"/>
      <c r="AM493" s="707"/>
      <c r="AN493" s="707"/>
      <c r="AO493" s="707"/>
      <c r="AP493" s="707"/>
      <c r="AQ493" s="707"/>
      <c r="AR493" s="707"/>
      <c r="AS493" s="707"/>
      <c r="AT493" s="707"/>
      <c r="AU493" s="707"/>
      <c r="AV493" s="707"/>
      <c r="AW493" s="707"/>
      <c r="AX493" s="707"/>
      <c r="AY493" s="707"/>
      <c r="AZ493" s="707"/>
      <c r="BA493" s="707"/>
      <c r="BB493" s="707"/>
      <c r="BC493" s="707"/>
      <c r="BD493" s="707"/>
      <c r="BE493" s="707"/>
      <c r="BF493" s="707"/>
      <c r="BG493" s="707"/>
      <c r="BH493" s="707"/>
      <c r="BI493" s="707"/>
      <c r="BJ493" s="707"/>
      <c r="BK493" s="707"/>
      <c r="BL493" s="707"/>
      <c r="BM493" s="707"/>
      <c r="BN493" s="707"/>
      <c r="BO493" s="707"/>
      <c r="BP493" s="707"/>
      <c r="BQ493" s="707"/>
      <c r="BR493" s="707"/>
      <c r="BS493" s="707"/>
      <c r="BT493" s="707"/>
      <c r="BU493" s="707"/>
      <c r="BV493" s="707"/>
      <c r="BW493" s="707"/>
      <c r="BX493" s="707"/>
      <c r="BY493" s="707"/>
      <c r="BZ493" s="707"/>
      <c r="CA493" s="707"/>
      <c r="CB493" s="707"/>
      <c r="CC493" s="707"/>
      <c r="CD493" s="707"/>
      <c r="CE493" s="707"/>
      <c r="CF493" s="707"/>
      <c r="CG493" s="707"/>
      <c r="CH493" s="707"/>
      <c r="CI493" s="707"/>
      <c r="CJ493" s="707"/>
      <c r="CK493" s="707"/>
      <c r="CL493" s="707"/>
      <c r="CM493" s="707"/>
      <c r="CN493" s="707"/>
      <c r="CO493" s="707"/>
      <c r="CP493" s="707"/>
      <c r="CQ493" s="707"/>
      <c r="CR493" s="707"/>
      <c r="CS493" s="707"/>
      <c r="CT493" s="707"/>
      <c r="CU493" s="707"/>
      <c r="CV493" s="707"/>
      <c r="CW493" s="707"/>
      <c r="CX493" s="707"/>
      <c r="CY493" s="707"/>
      <c r="CZ493" s="707"/>
      <c r="DA493" s="707"/>
      <c r="DB493" s="707"/>
      <c r="DC493" s="707"/>
      <c r="DD493" s="707"/>
      <c r="DE493" s="707"/>
      <c r="DF493" s="707"/>
      <c r="DG493" s="707"/>
      <c r="DH493" s="707"/>
      <c r="DI493" s="707"/>
      <c r="DJ493" s="707"/>
      <c r="DK493" s="707"/>
      <c r="DL493" s="707"/>
      <c r="DM493" s="707"/>
      <c r="DN493" s="707"/>
      <c r="DO493" s="707"/>
      <c r="DP493" s="707"/>
      <c r="DQ493" s="707"/>
      <c r="DR493" s="707"/>
      <c r="DS493" s="707"/>
      <c r="DT493" s="707"/>
      <c r="DU493" s="707"/>
      <c r="DV493" s="707"/>
      <c r="DW493" s="707"/>
      <c r="DX493" s="707"/>
      <c r="DY493" s="707"/>
      <c r="DZ493" s="707"/>
      <c r="EA493" s="707"/>
      <c r="EB493" s="707"/>
      <c r="EC493" s="707"/>
      <c r="ED493" s="707"/>
      <c r="EE493" s="707"/>
      <c r="EF493" s="707"/>
      <c r="EG493" s="707"/>
      <c r="EH493" s="707"/>
      <c r="EI493" s="707"/>
      <c r="EJ493" s="707"/>
      <c r="EK493" s="707"/>
      <c r="EL493" s="707"/>
      <c r="EM493" s="707"/>
      <c r="EN493" s="707"/>
      <c r="EO493" s="707"/>
      <c r="EP493" s="707"/>
      <c r="EQ493" s="707"/>
      <c r="ER493" s="707"/>
      <c r="ES493" s="707"/>
      <c r="ET493" s="707"/>
      <c r="EU493" s="707"/>
      <c r="EV493" s="707"/>
      <c r="EW493" s="707"/>
      <c r="EX493" s="707"/>
      <c r="EY493" s="707"/>
      <c r="EZ493" s="707"/>
      <c r="FA493" s="707"/>
      <c r="FB493" s="707"/>
      <c r="FC493" s="707"/>
      <c r="FD493" s="707"/>
      <c r="FE493" s="707"/>
      <c r="FF493" s="707"/>
      <c r="FG493" s="707"/>
      <c r="FH493" s="707"/>
      <c r="FI493" s="707"/>
      <c r="FJ493" s="707"/>
      <c r="FK493" s="707"/>
      <c r="FL493" s="707"/>
      <c r="FM493" s="707"/>
      <c r="FN493" s="707"/>
      <c r="FO493" s="707"/>
      <c r="FP493" s="707"/>
      <c r="FQ493" s="707"/>
      <c r="FR493" s="707"/>
      <c r="FS493" s="707"/>
      <c r="FT493" s="707"/>
      <c r="FU493" s="707"/>
      <c r="FV493" s="707"/>
      <c r="FW493" s="707"/>
      <c r="FX493" s="707"/>
      <c r="FY493" s="707"/>
      <c r="FZ493" s="707"/>
      <c r="GA493" s="707"/>
      <c r="GB493" s="707"/>
      <c r="GC493" s="707"/>
      <c r="GD493" s="707"/>
      <c r="GE493" s="707"/>
      <c r="GF493" s="707"/>
      <c r="GG493" s="707"/>
      <c r="GH493" s="707"/>
      <c r="GI493" s="707"/>
      <c r="GJ493" s="707"/>
      <c r="GK493" s="707"/>
      <c r="GL493" s="707"/>
      <c r="GM493" s="707"/>
      <c r="GN493" s="707"/>
      <c r="GO493" s="707"/>
      <c r="GP493" s="707"/>
      <c r="GQ493" s="707"/>
      <c r="GR493" s="707"/>
      <c r="GS493" s="707"/>
      <c r="GT493" s="707"/>
      <c r="GU493" s="707"/>
      <c r="GV493" s="707"/>
      <c r="GW493" s="707"/>
      <c r="GX493" s="707"/>
      <c r="GY493" s="707"/>
      <c r="GZ493" s="707"/>
      <c r="HA493" s="707"/>
      <c r="HB493" s="707"/>
      <c r="HC493" s="707"/>
      <c r="HD493" s="707"/>
      <c r="HE493" s="707"/>
      <c r="HF493" s="707"/>
      <c r="HG493" s="707"/>
      <c r="HH493" s="707"/>
      <c r="HI493" s="707"/>
      <c r="HJ493" s="707"/>
      <c r="HK493" s="707"/>
      <c r="HL493" s="707"/>
      <c r="HM493" s="707"/>
      <c r="HN493" s="707"/>
      <c r="HO493" s="707"/>
      <c r="HP493" s="707"/>
      <c r="HQ493" s="707"/>
      <c r="HR493" s="707"/>
      <c r="HS493" s="707"/>
      <c r="HT493" s="707"/>
      <c r="HU493" s="707"/>
      <c r="HV493" s="707"/>
      <c r="HW493" s="707"/>
      <c r="HX493" s="707"/>
      <c r="HY493" s="707"/>
      <c r="HZ493" s="707"/>
      <c r="IA493" s="707"/>
      <c r="IB493" s="707"/>
      <c r="IC493" s="707"/>
      <c r="ID493" s="707"/>
      <c r="IE493" s="707"/>
      <c r="IF493" s="707"/>
      <c r="IG493" s="707"/>
      <c r="IH493" s="707"/>
      <c r="II493" s="707"/>
      <c r="IJ493" s="707"/>
      <c r="IK493" s="707"/>
      <c r="IL493" s="707"/>
      <c r="IM493" s="707"/>
      <c r="IN493" s="707"/>
      <c r="IO493" s="707"/>
      <c r="IP493" s="707"/>
      <c r="IQ493" s="707"/>
      <c r="IR493" s="707"/>
      <c r="IS493" s="707"/>
      <c r="IT493" s="707"/>
      <c r="IU493" s="707"/>
      <c r="IV493" s="707"/>
      <c r="IW493" s="707"/>
    </row>
    <row r="494" customFormat="false" ht="12.75" hidden="false" customHeight="false" outlineLevel="1" collapsed="false">
      <c r="A494" s="388"/>
      <c r="B494" s="717"/>
      <c r="C494" s="717"/>
      <c r="D494" s="717"/>
      <c r="E494" s="713"/>
      <c r="F494" s="713"/>
      <c r="G494" s="713"/>
      <c r="H494" s="713"/>
      <c r="I494" s="713"/>
      <c r="J494" s="713"/>
      <c r="K494" s="713"/>
      <c r="L494" s="713"/>
      <c r="M494" s="713"/>
      <c r="N494" s="713"/>
      <c r="O494" s="713"/>
      <c r="P494" s="713"/>
      <c r="Q494" s="713"/>
      <c r="R494" s="713"/>
      <c r="S494" s="713"/>
      <c r="T494" s="713"/>
      <c r="U494" s="713"/>
      <c r="V494" s="713"/>
      <c r="W494" s="713"/>
      <c r="X494" s="713"/>
      <c r="Y494" s="713"/>
      <c r="Z494" s="713"/>
      <c r="AA494" s="707"/>
      <c r="AB494" s="707"/>
      <c r="AC494" s="707"/>
      <c r="AD494" s="707"/>
      <c r="AE494" s="707"/>
      <c r="AF494" s="707"/>
      <c r="AG494" s="707"/>
      <c r="AH494" s="707"/>
      <c r="AI494" s="707"/>
      <c r="AJ494" s="707"/>
      <c r="AK494" s="707"/>
      <c r="AL494" s="707"/>
      <c r="AM494" s="707"/>
      <c r="AN494" s="707"/>
      <c r="AO494" s="707"/>
      <c r="AP494" s="707"/>
      <c r="AQ494" s="707"/>
      <c r="AR494" s="707"/>
      <c r="AS494" s="707"/>
      <c r="AT494" s="707"/>
      <c r="AU494" s="707"/>
      <c r="AV494" s="707"/>
      <c r="AW494" s="707"/>
      <c r="AX494" s="707"/>
      <c r="AY494" s="707"/>
      <c r="AZ494" s="707"/>
      <c r="BA494" s="707"/>
      <c r="BB494" s="707"/>
      <c r="BC494" s="707"/>
      <c r="BD494" s="707"/>
      <c r="BE494" s="707"/>
      <c r="BF494" s="707"/>
      <c r="BG494" s="707"/>
      <c r="BH494" s="707"/>
      <c r="BI494" s="707"/>
      <c r="BJ494" s="707"/>
      <c r="BK494" s="707"/>
      <c r="BL494" s="707"/>
      <c r="BM494" s="707"/>
      <c r="BN494" s="707"/>
      <c r="BO494" s="707"/>
      <c r="BP494" s="707"/>
      <c r="BQ494" s="707"/>
      <c r="BR494" s="707"/>
      <c r="BS494" s="707"/>
      <c r="BT494" s="707"/>
      <c r="BU494" s="707"/>
      <c r="BV494" s="707"/>
      <c r="BW494" s="707"/>
      <c r="BX494" s="707"/>
      <c r="BY494" s="707"/>
      <c r="BZ494" s="707"/>
      <c r="CA494" s="707"/>
      <c r="CB494" s="707"/>
      <c r="CC494" s="707"/>
      <c r="CD494" s="707"/>
      <c r="CE494" s="707"/>
      <c r="CF494" s="707"/>
      <c r="CG494" s="707"/>
      <c r="CH494" s="707"/>
      <c r="CI494" s="707"/>
      <c r="CJ494" s="707"/>
      <c r="CK494" s="707"/>
      <c r="CL494" s="707"/>
      <c r="CM494" s="707"/>
      <c r="CN494" s="707"/>
      <c r="CO494" s="707"/>
      <c r="CP494" s="707"/>
      <c r="CQ494" s="707"/>
      <c r="CR494" s="707"/>
      <c r="CS494" s="707"/>
      <c r="CT494" s="707"/>
      <c r="CU494" s="707"/>
      <c r="CV494" s="707"/>
      <c r="CW494" s="707"/>
      <c r="CX494" s="707"/>
      <c r="CY494" s="707"/>
      <c r="CZ494" s="707"/>
      <c r="DA494" s="707"/>
      <c r="DB494" s="707"/>
      <c r="DC494" s="707"/>
      <c r="DD494" s="707"/>
      <c r="DE494" s="707"/>
      <c r="DF494" s="707"/>
      <c r="DG494" s="707"/>
      <c r="DH494" s="707"/>
      <c r="DI494" s="707"/>
      <c r="DJ494" s="707"/>
      <c r="DK494" s="707"/>
      <c r="DL494" s="707"/>
      <c r="DM494" s="707"/>
      <c r="DN494" s="707"/>
      <c r="DO494" s="707"/>
      <c r="DP494" s="707"/>
      <c r="DQ494" s="707"/>
      <c r="DR494" s="707"/>
      <c r="DS494" s="707"/>
      <c r="DT494" s="707"/>
      <c r="DU494" s="707"/>
      <c r="DV494" s="707"/>
      <c r="DW494" s="707"/>
      <c r="DX494" s="707"/>
      <c r="DY494" s="707"/>
      <c r="DZ494" s="707"/>
      <c r="EA494" s="707"/>
      <c r="EB494" s="707"/>
      <c r="EC494" s="707"/>
      <c r="ED494" s="707"/>
      <c r="EE494" s="707"/>
      <c r="EF494" s="707"/>
      <c r="EG494" s="707"/>
      <c r="EH494" s="707"/>
      <c r="EI494" s="707"/>
      <c r="EJ494" s="707"/>
      <c r="EK494" s="707"/>
      <c r="EL494" s="707"/>
      <c r="EM494" s="707"/>
      <c r="EN494" s="707"/>
      <c r="EO494" s="707"/>
      <c r="EP494" s="707"/>
      <c r="EQ494" s="707"/>
      <c r="ER494" s="707"/>
      <c r="ES494" s="707"/>
      <c r="ET494" s="707"/>
      <c r="EU494" s="707"/>
      <c r="EV494" s="707"/>
      <c r="EW494" s="707"/>
      <c r="EX494" s="707"/>
      <c r="EY494" s="707"/>
      <c r="EZ494" s="707"/>
      <c r="FA494" s="707"/>
      <c r="FB494" s="707"/>
      <c r="FC494" s="707"/>
      <c r="FD494" s="707"/>
      <c r="FE494" s="707"/>
      <c r="FF494" s="707"/>
      <c r="FG494" s="707"/>
      <c r="FH494" s="707"/>
      <c r="FI494" s="707"/>
      <c r="FJ494" s="707"/>
      <c r="FK494" s="707"/>
      <c r="FL494" s="707"/>
      <c r="FM494" s="707"/>
      <c r="FN494" s="707"/>
      <c r="FO494" s="707"/>
      <c r="FP494" s="707"/>
      <c r="FQ494" s="707"/>
      <c r="FR494" s="707"/>
      <c r="FS494" s="707"/>
      <c r="FT494" s="707"/>
      <c r="FU494" s="707"/>
      <c r="FV494" s="707"/>
      <c r="FW494" s="707"/>
      <c r="FX494" s="707"/>
      <c r="FY494" s="707"/>
      <c r="FZ494" s="707"/>
      <c r="GA494" s="707"/>
      <c r="GB494" s="707"/>
      <c r="GC494" s="707"/>
      <c r="GD494" s="707"/>
      <c r="GE494" s="707"/>
      <c r="GF494" s="707"/>
      <c r="GG494" s="707"/>
      <c r="GH494" s="707"/>
      <c r="GI494" s="707"/>
      <c r="GJ494" s="707"/>
      <c r="GK494" s="707"/>
      <c r="GL494" s="707"/>
      <c r="GM494" s="707"/>
      <c r="GN494" s="707"/>
      <c r="GO494" s="707"/>
      <c r="GP494" s="707"/>
      <c r="GQ494" s="707"/>
      <c r="GR494" s="707"/>
      <c r="GS494" s="707"/>
      <c r="GT494" s="707"/>
      <c r="GU494" s="707"/>
      <c r="GV494" s="707"/>
      <c r="GW494" s="707"/>
      <c r="GX494" s="707"/>
      <c r="GY494" s="707"/>
      <c r="GZ494" s="707"/>
      <c r="HA494" s="707"/>
      <c r="HB494" s="707"/>
      <c r="HC494" s="707"/>
      <c r="HD494" s="707"/>
      <c r="HE494" s="707"/>
      <c r="HF494" s="707"/>
      <c r="HG494" s="707"/>
      <c r="HH494" s="707"/>
      <c r="HI494" s="707"/>
      <c r="HJ494" s="707"/>
      <c r="HK494" s="707"/>
      <c r="HL494" s="707"/>
      <c r="HM494" s="707"/>
      <c r="HN494" s="707"/>
      <c r="HO494" s="707"/>
      <c r="HP494" s="707"/>
      <c r="HQ494" s="707"/>
      <c r="HR494" s="707"/>
      <c r="HS494" s="707"/>
      <c r="HT494" s="707"/>
      <c r="HU494" s="707"/>
      <c r="HV494" s="707"/>
      <c r="HW494" s="707"/>
      <c r="HX494" s="707"/>
      <c r="HY494" s="707"/>
      <c r="HZ494" s="707"/>
      <c r="IA494" s="707"/>
      <c r="IB494" s="707"/>
      <c r="IC494" s="707"/>
      <c r="ID494" s="707"/>
      <c r="IE494" s="707"/>
      <c r="IF494" s="707"/>
      <c r="IG494" s="707"/>
      <c r="IH494" s="707"/>
      <c r="II494" s="707"/>
      <c r="IJ494" s="707"/>
      <c r="IK494" s="707"/>
      <c r="IL494" s="707"/>
      <c r="IM494" s="707"/>
      <c r="IN494" s="707"/>
      <c r="IO494" s="707"/>
      <c r="IP494" s="707"/>
      <c r="IQ494" s="707"/>
      <c r="IR494" s="707"/>
      <c r="IS494" s="707"/>
      <c r="IT494" s="707"/>
      <c r="IU494" s="707"/>
      <c r="IV494" s="707"/>
      <c r="IW494" s="707"/>
    </row>
    <row r="495" customFormat="false" ht="12.75" hidden="false" customHeight="false" outlineLevel="1" collapsed="false">
      <c r="A495" s="367"/>
      <c r="B495" s="717"/>
      <c r="C495" s="717"/>
      <c r="D495" s="717"/>
      <c r="E495" s="713"/>
      <c r="F495" s="713"/>
      <c r="G495" s="713"/>
      <c r="H495" s="713"/>
      <c r="I495" s="713"/>
      <c r="J495" s="713"/>
      <c r="K495" s="713"/>
      <c r="L495" s="713"/>
      <c r="M495" s="713"/>
      <c r="N495" s="713"/>
      <c r="O495" s="713"/>
      <c r="P495" s="713"/>
      <c r="Q495" s="713"/>
      <c r="R495" s="713"/>
      <c r="S495" s="713"/>
      <c r="T495" s="713"/>
      <c r="U495" s="713"/>
      <c r="V495" s="713"/>
      <c r="W495" s="713"/>
      <c r="X495" s="713"/>
      <c r="Y495" s="713"/>
      <c r="Z495" s="713"/>
      <c r="AA495" s="707"/>
      <c r="AB495" s="707"/>
      <c r="AC495" s="707"/>
      <c r="AD495" s="707"/>
      <c r="AE495" s="707"/>
      <c r="AF495" s="707"/>
      <c r="AG495" s="707"/>
      <c r="AH495" s="707"/>
      <c r="AI495" s="707"/>
      <c r="AJ495" s="707"/>
      <c r="AK495" s="707"/>
      <c r="AL495" s="707"/>
      <c r="AM495" s="707"/>
      <c r="AN495" s="707"/>
      <c r="AO495" s="707"/>
      <c r="AP495" s="707"/>
      <c r="AQ495" s="707"/>
      <c r="AR495" s="707"/>
      <c r="AS495" s="707"/>
      <c r="AT495" s="707"/>
      <c r="AU495" s="707"/>
      <c r="AV495" s="707"/>
      <c r="AW495" s="707"/>
      <c r="AX495" s="707"/>
      <c r="AY495" s="707"/>
      <c r="AZ495" s="707"/>
      <c r="BA495" s="707"/>
      <c r="BB495" s="707"/>
      <c r="BC495" s="707"/>
      <c r="BD495" s="707"/>
      <c r="BE495" s="707"/>
      <c r="BF495" s="707"/>
      <c r="BG495" s="707"/>
      <c r="BH495" s="707"/>
      <c r="BI495" s="707"/>
      <c r="BJ495" s="707"/>
      <c r="BK495" s="707"/>
      <c r="BL495" s="707"/>
      <c r="BM495" s="707"/>
      <c r="BN495" s="707"/>
      <c r="BO495" s="707"/>
      <c r="BP495" s="707"/>
      <c r="BQ495" s="707"/>
      <c r="BR495" s="707"/>
      <c r="BS495" s="707"/>
      <c r="BT495" s="707"/>
      <c r="BU495" s="707"/>
      <c r="BV495" s="707"/>
      <c r="BW495" s="707"/>
      <c r="BX495" s="707"/>
      <c r="BY495" s="707"/>
      <c r="BZ495" s="707"/>
      <c r="CA495" s="707"/>
      <c r="CB495" s="707"/>
      <c r="CC495" s="707"/>
      <c r="CD495" s="707"/>
      <c r="CE495" s="707"/>
      <c r="CF495" s="707"/>
      <c r="CG495" s="707"/>
      <c r="CH495" s="707"/>
      <c r="CI495" s="707"/>
      <c r="CJ495" s="707"/>
      <c r="CK495" s="707"/>
      <c r="CL495" s="707"/>
      <c r="CM495" s="707"/>
      <c r="CN495" s="707"/>
      <c r="CO495" s="707"/>
      <c r="CP495" s="707"/>
      <c r="CQ495" s="707"/>
      <c r="CR495" s="707"/>
      <c r="CS495" s="707"/>
      <c r="CT495" s="707"/>
      <c r="CU495" s="707"/>
      <c r="CV495" s="707"/>
      <c r="CW495" s="707"/>
      <c r="CX495" s="707"/>
      <c r="CY495" s="707"/>
      <c r="CZ495" s="707"/>
      <c r="DA495" s="707"/>
      <c r="DB495" s="707"/>
      <c r="DC495" s="707"/>
      <c r="DD495" s="707"/>
      <c r="DE495" s="707"/>
      <c r="DF495" s="707"/>
      <c r="DG495" s="707"/>
      <c r="DH495" s="707"/>
      <c r="DI495" s="707"/>
      <c r="DJ495" s="707"/>
      <c r="DK495" s="707"/>
      <c r="DL495" s="707"/>
      <c r="DM495" s="707"/>
      <c r="DN495" s="707"/>
      <c r="DO495" s="707"/>
      <c r="DP495" s="707"/>
      <c r="DQ495" s="707"/>
      <c r="DR495" s="707"/>
      <c r="DS495" s="707"/>
      <c r="DT495" s="707"/>
      <c r="DU495" s="707"/>
      <c r="DV495" s="707"/>
      <c r="DW495" s="707"/>
      <c r="DX495" s="707"/>
      <c r="DY495" s="707"/>
      <c r="DZ495" s="707"/>
      <c r="EA495" s="707"/>
      <c r="EB495" s="707"/>
      <c r="EC495" s="707"/>
      <c r="ED495" s="707"/>
      <c r="EE495" s="707"/>
      <c r="EF495" s="707"/>
      <c r="EG495" s="707"/>
      <c r="EH495" s="707"/>
      <c r="EI495" s="707"/>
      <c r="EJ495" s="707"/>
      <c r="EK495" s="707"/>
      <c r="EL495" s="707"/>
      <c r="EM495" s="707"/>
      <c r="EN495" s="707"/>
      <c r="EO495" s="707"/>
      <c r="EP495" s="707"/>
      <c r="EQ495" s="707"/>
      <c r="ER495" s="707"/>
      <c r="ES495" s="707"/>
      <c r="ET495" s="707"/>
      <c r="EU495" s="707"/>
      <c r="EV495" s="707"/>
      <c r="EW495" s="707"/>
      <c r="EX495" s="707"/>
      <c r="EY495" s="707"/>
      <c r="EZ495" s="707"/>
      <c r="FA495" s="707"/>
      <c r="FB495" s="707"/>
      <c r="FC495" s="707"/>
      <c r="FD495" s="707"/>
      <c r="FE495" s="707"/>
      <c r="FF495" s="707"/>
      <c r="FG495" s="707"/>
      <c r="FH495" s="707"/>
      <c r="FI495" s="707"/>
      <c r="FJ495" s="707"/>
      <c r="FK495" s="707"/>
      <c r="FL495" s="707"/>
      <c r="FM495" s="707"/>
      <c r="FN495" s="707"/>
      <c r="FO495" s="707"/>
      <c r="FP495" s="707"/>
      <c r="FQ495" s="707"/>
      <c r="FR495" s="707"/>
      <c r="FS495" s="707"/>
      <c r="FT495" s="707"/>
      <c r="FU495" s="707"/>
      <c r="FV495" s="707"/>
      <c r="FW495" s="707"/>
      <c r="FX495" s="707"/>
      <c r="FY495" s="707"/>
      <c r="FZ495" s="707"/>
      <c r="GA495" s="707"/>
      <c r="GB495" s="707"/>
      <c r="GC495" s="707"/>
      <c r="GD495" s="707"/>
      <c r="GE495" s="707"/>
      <c r="GF495" s="707"/>
      <c r="GG495" s="707"/>
      <c r="GH495" s="707"/>
      <c r="GI495" s="707"/>
      <c r="GJ495" s="707"/>
      <c r="GK495" s="707"/>
      <c r="GL495" s="707"/>
      <c r="GM495" s="707"/>
      <c r="GN495" s="707"/>
      <c r="GO495" s="707"/>
      <c r="GP495" s="707"/>
      <c r="GQ495" s="707"/>
      <c r="GR495" s="707"/>
      <c r="GS495" s="707"/>
      <c r="GT495" s="707"/>
      <c r="GU495" s="707"/>
      <c r="GV495" s="707"/>
      <c r="GW495" s="707"/>
      <c r="GX495" s="707"/>
      <c r="GY495" s="707"/>
      <c r="GZ495" s="707"/>
      <c r="HA495" s="707"/>
      <c r="HB495" s="707"/>
      <c r="HC495" s="707"/>
      <c r="HD495" s="707"/>
      <c r="HE495" s="707"/>
      <c r="HF495" s="707"/>
      <c r="HG495" s="707"/>
      <c r="HH495" s="707"/>
      <c r="HI495" s="707"/>
      <c r="HJ495" s="707"/>
      <c r="HK495" s="707"/>
      <c r="HL495" s="707"/>
      <c r="HM495" s="707"/>
      <c r="HN495" s="707"/>
      <c r="HO495" s="707"/>
      <c r="HP495" s="707"/>
      <c r="HQ495" s="707"/>
      <c r="HR495" s="707"/>
      <c r="HS495" s="707"/>
      <c r="HT495" s="707"/>
      <c r="HU495" s="707"/>
      <c r="HV495" s="707"/>
      <c r="HW495" s="707"/>
      <c r="HX495" s="707"/>
      <c r="HY495" s="707"/>
      <c r="HZ495" s="707"/>
      <c r="IA495" s="707"/>
      <c r="IB495" s="707"/>
      <c r="IC495" s="707"/>
      <c r="ID495" s="707"/>
      <c r="IE495" s="707"/>
      <c r="IF495" s="707"/>
      <c r="IG495" s="707"/>
      <c r="IH495" s="707"/>
      <c r="II495" s="707"/>
      <c r="IJ495" s="707"/>
      <c r="IK495" s="707"/>
      <c r="IL495" s="707"/>
      <c r="IM495" s="707"/>
      <c r="IN495" s="707"/>
      <c r="IO495" s="707"/>
      <c r="IP495" s="707"/>
      <c r="IQ495" s="707"/>
      <c r="IR495" s="707"/>
      <c r="IS495" s="707"/>
      <c r="IT495" s="707"/>
      <c r="IU495" s="707"/>
      <c r="IV495" s="707"/>
      <c r="IW495" s="707"/>
    </row>
    <row r="496" customFormat="false" ht="12.75" hidden="false" customHeight="false" outlineLevel="1" collapsed="false">
      <c r="A496" s="367"/>
      <c r="B496" s="717"/>
      <c r="C496" s="717"/>
      <c r="D496" s="717"/>
      <c r="E496" s="713"/>
      <c r="F496" s="713"/>
      <c r="G496" s="713"/>
      <c r="H496" s="713"/>
      <c r="I496" s="713"/>
      <c r="J496" s="713"/>
      <c r="K496" s="713"/>
      <c r="L496" s="713"/>
      <c r="M496" s="713"/>
      <c r="N496" s="713"/>
      <c r="O496" s="713"/>
      <c r="P496" s="713"/>
      <c r="Q496" s="713"/>
      <c r="R496" s="713"/>
      <c r="S496" s="713"/>
      <c r="T496" s="713"/>
      <c r="U496" s="713"/>
      <c r="V496" s="713"/>
      <c r="W496" s="713"/>
      <c r="X496" s="713"/>
      <c r="Y496" s="713"/>
      <c r="Z496" s="713"/>
      <c r="AA496" s="707"/>
      <c r="AB496" s="707"/>
      <c r="AC496" s="707"/>
      <c r="AD496" s="707"/>
      <c r="AE496" s="707"/>
      <c r="AF496" s="707"/>
      <c r="AG496" s="707"/>
      <c r="AH496" s="707"/>
      <c r="AI496" s="707"/>
      <c r="AJ496" s="707"/>
      <c r="AK496" s="707"/>
      <c r="AL496" s="707"/>
      <c r="AM496" s="707"/>
      <c r="AN496" s="707"/>
      <c r="AO496" s="707"/>
      <c r="AP496" s="707"/>
      <c r="AQ496" s="707"/>
      <c r="AR496" s="707"/>
      <c r="AS496" s="707"/>
      <c r="AT496" s="707"/>
      <c r="AU496" s="707"/>
      <c r="AV496" s="707"/>
      <c r="AW496" s="707"/>
      <c r="AX496" s="707"/>
      <c r="AY496" s="707"/>
      <c r="AZ496" s="707"/>
      <c r="BA496" s="707"/>
      <c r="BB496" s="707"/>
      <c r="BC496" s="707"/>
      <c r="BD496" s="707"/>
      <c r="BE496" s="707"/>
      <c r="BF496" s="707"/>
      <c r="BG496" s="707"/>
      <c r="BH496" s="707"/>
      <c r="BI496" s="707"/>
      <c r="BJ496" s="707"/>
      <c r="BK496" s="707"/>
      <c r="BL496" s="707"/>
      <c r="BM496" s="707"/>
      <c r="BN496" s="707"/>
      <c r="BO496" s="707"/>
      <c r="BP496" s="707"/>
      <c r="BQ496" s="707"/>
      <c r="BR496" s="707"/>
      <c r="BS496" s="707"/>
      <c r="BT496" s="707"/>
      <c r="BU496" s="707"/>
      <c r="BV496" s="707"/>
      <c r="BW496" s="707"/>
      <c r="BX496" s="707"/>
      <c r="BY496" s="707"/>
      <c r="BZ496" s="707"/>
      <c r="CA496" s="707"/>
      <c r="CB496" s="707"/>
      <c r="CC496" s="707"/>
      <c r="CD496" s="707"/>
      <c r="CE496" s="707"/>
      <c r="CF496" s="707"/>
      <c r="CG496" s="707"/>
      <c r="CH496" s="707"/>
      <c r="CI496" s="707"/>
      <c r="CJ496" s="707"/>
      <c r="CK496" s="707"/>
      <c r="CL496" s="707"/>
      <c r="CM496" s="707"/>
      <c r="CN496" s="707"/>
      <c r="CO496" s="707"/>
      <c r="CP496" s="707"/>
      <c r="CQ496" s="707"/>
      <c r="CR496" s="707"/>
      <c r="CS496" s="707"/>
      <c r="CT496" s="707"/>
      <c r="CU496" s="707"/>
      <c r="CV496" s="707"/>
      <c r="CW496" s="707"/>
      <c r="CX496" s="707"/>
      <c r="CY496" s="707"/>
      <c r="CZ496" s="707"/>
      <c r="DA496" s="707"/>
      <c r="DB496" s="707"/>
      <c r="DC496" s="707"/>
      <c r="DD496" s="707"/>
      <c r="DE496" s="707"/>
      <c r="DF496" s="707"/>
      <c r="DG496" s="707"/>
      <c r="DH496" s="707"/>
      <c r="DI496" s="707"/>
      <c r="DJ496" s="707"/>
      <c r="DK496" s="707"/>
      <c r="DL496" s="707"/>
      <c r="DM496" s="707"/>
      <c r="DN496" s="707"/>
      <c r="DO496" s="707"/>
      <c r="DP496" s="707"/>
      <c r="DQ496" s="707"/>
      <c r="DR496" s="707"/>
      <c r="DS496" s="707"/>
      <c r="DT496" s="707"/>
      <c r="DU496" s="707"/>
      <c r="DV496" s="707"/>
      <c r="DW496" s="707"/>
      <c r="DX496" s="707"/>
      <c r="DY496" s="707"/>
      <c r="DZ496" s="707"/>
      <c r="EA496" s="707"/>
      <c r="EB496" s="707"/>
      <c r="EC496" s="707"/>
      <c r="ED496" s="707"/>
      <c r="EE496" s="707"/>
      <c r="EF496" s="707"/>
      <c r="EG496" s="707"/>
      <c r="EH496" s="707"/>
      <c r="EI496" s="707"/>
      <c r="EJ496" s="707"/>
      <c r="EK496" s="707"/>
      <c r="EL496" s="707"/>
      <c r="EM496" s="707"/>
      <c r="EN496" s="707"/>
      <c r="EO496" s="707"/>
      <c r="EP496" s="707"/>
      <c r="EQ496" s="707"/>
      <c r="ER496" s="707"/>
      <c r="ES496" s="707"/>
      <c r="ET496" s="707"/>
      <c r="EU496" s="707"/>
      <c r="EV496" s="707"/>
      <c r="EW496" s="707"/>
      <c r="EX496" s="707"/>
      <c r="EY496" s="707"/>
      <c r="EZ496" s="707"/>
      <c r="FA496" s="707"/>
      <c r="FB496" s="707"/>
      <c r="FC496" s="707"/>
      <c r="FD496" s="707"/>
      <c r="FE496" s="707"/>
      <c r="FF496" s="707"/>
      <c r="FG496" s="707"/>
      <c r="FH496" s="707"/>
      <c r="FI496" s="707"/>
      <c r="FJ496" s="707"/>
      <c r="FK496" s="707"/>
      <c r="FL496" s="707"/>
      <c r="FM496" s="707"/>
      <c r="FN496" s="707"/>
      <c r="FO496" s="707"/>
      <c r="FP496" s="707"/>
      <c r="FQ496" s="707"/>
      <c r="FR496" s="707"/>
      <c r="FS496" s="707"/>
      <c r="FT496" s="707"/>
      <c r="FU496" s="707"/>
      <c r="FV496" s="707"/>
      <c r="FW496" s="707"/>
      <c r="FX496" s="707"/>
      <c r="FY496" s="707"/>
      <c r="FZ496" s="707"/>
      <c r="GA496" s="707"/>
      <c r="GB496" s="707"/>
      <c r="GC496" s="707"/>
      <c r="GD496" s="707"/>
      <c r="GE496" s="707"/>
      <c r="GF496" s="707"/>
      <c r="GG496" s="707"/>
      <c r="GH496" s="707"/>
      <c r="GI496" s="707"/>
      <c r="GJ496" s="707"/>
      <c r="GK496" s="707"/>
      <c r="GL496" s="707"/>
      <c r="GM496" s="707"/>
      <c r="GN496" s="707"/>
      <c r="GO496" s="707"/>
      <c r="GP496" s="707"/>
      <c r="GQ496" s="707"/>
      <c r="GR496" s="707"/>
      <c r="GS496" s="707"/>
      <c r="GT496" s="707"/>
      <c r="GU496" s="707"/>
      <c r="GV496" s="707"/>
      <c r="GW496" s="707"/>
      <c r="GX496" s="707"/>
      <c r="GY496" s="707"/>
      <c r="GZ496" s="707"/>
      <c r="HA496" s="707"/>
      <c r="HB496" s="707"/>
      <c r="HC496" s="707"/>
      <c r="HD496" s="707"/>
      <c r="HE496" s="707"/>
      <c r="HF496" s="707"/>
      <c r="HG496" s="707"/>
      <c r="HH496" s="707"/>
      <c r="HI496" s="707"/>
      <c r="HJ496" s="707"/>
      <c r="HK496" s="707"/>
      <c r="HL496" s="707"/>
      <c r="HM496" s="707"/>
      <c r="HN496" s="707"/>
      <c r="HO496" s="707"/>
      <c r="HP496" s="707"/>
      <c r="HQ496" s="707"/>
      <c r="HR496" s="707"/>
      <c r="HS496" s="707"/>
      <c r="HT496" s="707"/>
      <c r="HU496" s="707"/>
      <c r="HV496" s="707"/>
      <c r="HW496" s="707"/>
      <c r="HX496" s="707"/>
      <c r="HY496" s="707"/>
      <c r="HZ496" s="707"/>
      <c r="IA496" s="707"/>
      <c r="IB496" s="707"/>
      <c r="IC496" s="707"/>
      <c r="ID496" s="707"/>
      <c r="IE496" s="707"/>
      <c r="IF496" s="707"/>
      <c r="IG496" s="707"/>
      <c r="IH496" s="707"/>
      <c r="II496" s="707"/>
      <c r="IJ496" s="707"/>
      <c r="IK496" s="707"/>
      <c r="IL496" s="707"/>
      <c r="IM496" s="707"/>
      <c r="IN496" s="707"/>
      <c r="IO496" s="707"/>
      <c r="IP496" s="707"/>
      <c r="IQ496" s="707"/>
      <c r="IR496" s="707"/>
      <c r="IS496" s="707"/>
      <c r="IT496" s="707"/>
      <c r="IU496" s="707"/>
      <c r="IV496" s="707"/>
      <c r="IW496" s="707"/>
    </row>
    <row r="497" customFormat="false" ht="12.75" hidden="false" customHeight="false" outlineLevel="1" collapsed="false">
      <c r="A497" s="388"/>
      <c r="B497" s="717"/>
      <c r="C497" s="717"/>
      <c r="D497" s="717"/>
      <c r="E497" s="713"/>
      <c r="F497" s="713"/>
      <c r="G497" s="713"/>
      <c r="H497" s="713"/>
      <c r="I497" s="713"/>
      <c r="J497" s="713"/>
      <c r="K497" s="713"/>
      <c r="L497" s="713"/>
      <c r="M497" s="713"/>
      <c r="N497" s="713"/>
      <c r="O497" s="713"/>
      <c r="P497" s="713"/>
      <c r="Q497" s="713"/>
      <c r="R497" s="713"/>
      <c r="S497" s="713"/>
      <c r="T497" s="713"/>
      <c r="U497" s="713"/>
      <c r="V497" s="713"/>
      <c r="W497" s="713"/>
      <c r="X497" s="713"/>
      <c r="Y497" s="713"/>
      <c r="Z497" s="713"/>
      <c r="AA497" s="707"/>
      <c r="AB497" s="707"/>
      <c r="AC497" s="707"/>
      <c r="AD497" s="707"/>
      <c r="AE497" s="707"/>
      <c r="AF497" s="707"/>
      <c r="AG497" s="707"/>
      <c r="AH497" s="707"/>
      <c r="AI497" s="707"/>
      <c r="AJ497" s="707"/>
      <c r="AK497" s="707"/>
      <c r="AL497" s="707"/>
      <c r="AM497" s="707"/>
      <c r="AN497" s="707"/>
      <c r="AO497" s="707"/>
      <c r="AP497" s="707"/>
      <c r="AQ497" s="707"/>
      <c r="AR497" s="707"/>
      <c r="AS497" s="707"/>
      <c r="AT497" s="707"/>
      <c r="AU497" s="707"/>
      <c r="AV497" s="707"/>
      <c r="AW497" s="707"/>
      <c r="AX497" s="707"/>
      <c r="AY497" s="707"/>
      <c r="AZ497" s="707"/>
      <c r="BA497" s="707"/>
      <c r="BB497" s="707"/>
      <c r="BC497" s="707"/>
      <c r="BD497" s="707"/>
      <c r="BE497" s="707"/>
      <c r="BF497" s="707"/>
      <c r="BG497" s="707"/>
      <c r="BH497" s="707"/>
      <c r="BI497" s="707"/>
      <c r="BJ497" s="707"/>
      <c r="BK497" s="707"/>
      <c r="BL497" s="707"/>
      <c r="BM497" s="707"/>
      <c r="BN497" s="707"/>
      <c r="BO497" s="707"/>
      <c r="BP497" s="707"/>
      <c r="BQ497" s="707"/>
      <c r="BR497" s="707"/>
      <c r="BS497" s="707"/>
      <c r="BT497" s="707"/>
      <c r="BU497" s="707"/>
      <c r="BV497" s="707"/>
      <c r="BW497" s="707"/>
      <c r="BX497" s="707"/>
      <c r="BY497" s="707"/>
      <c r="BZ497" s="707"/>
      <c r="CA497" s="707"/>
      <c r="CB497" s="707"/>
      <c r="CC497" s="707"/>
      <c r="CD497" s="707"/>
      <c r="CE497" s="707"/>
      <c r="CF497" s="707"/>
      <c r="CG497" s="707"/>
      <c r="CH497" s="707"/>
      <c r="CI497" s="707"/>
      <c r="CJ497" s="707"/>
      <c r="CK497" s="707"/>
      <c r="CL497" s="707"/>
      <c r="CM497" s="707"/>
      <c r="CN497" s="707"/>
      <c r="CO497" s="707"/>
      <c r="CP497" s="707"/>
      <c r="CQ497" s="707"/>
      <c r="CR497" s="707"/>
      <c r="CS497" s="707"/>
      <c r="CT497" s="707"/>
      <c r="CU497" s="707"/>
      <c r="CV497" s="707"/>
      <c r="CW497" s="707"/>
      <c r="CX497" s="707"/>
      <c r="CY497" s="707"/>
      <c r="CZ497" s="707"/>
      <c r="DA497" s="707"/>
      <c r="DB497" s="707"/>
      <c r="DC497" s="707"/>
      <c r="DD497" s="707"/>
      <c r="DE497" s="707"/>
      <c r="DF497" s="707"/>
      <c r="DG497" s="707"/>
      <c r="DH497" s="707"/>
      <c r="DI497" s="707"/>
      <c r="DJ497" s="707"/>
      <c r="DK497" s="707"/>
      <c r="DL497" s="707"/>
      <c r="DM497" s="707"/>
      <c r="DN497" s="707"/>
      <c r="DO497" s="707"/>
      <c r="DP497" s="707"/>
      <c r="DQ497" s="707"/>
      <c r="DR497" s="707"/>
      <c r="DS497" s="707"/>
      <c r="DT497" s="707"/>
      <c r="DU497" s="707"/>
      <c r="DV497" s="707"/>
      <c r="DW497" s="707"/>
      <c r="DX497" s="707"/>
      <c r="DY497" s="707"/>
      <c r="DZ497" s="707"/>
      <c r="EA497" s="707"/>
      <c r="EB497" s="707"/>
      <c r="EC497" s="707"/>
      <c r="ED497" s="707"/>
      <c r="EE497" s="707"/>
      <c r="EF497" s="707"/>
      <c r="EG497" s="707"/>
      <c r="EH497" s="707"/>
      <c r="EI497" s="707"/>
      <c r="EJ497" s="707"/>
      <c r="EK497" s="707"/>
      <c r="EL497" s="707"/>
      <c r="EM497" s="707"/>
      <c r="EN497" s="707"/>
      <c r="EO497" s="707"/>
      <c r="EP497" s="707"/>
      <c r="EQ497" s="707"/>
      <c r="ER497" s="707"/>
      <c r="ES497" s="707"/>
      <c r="ET497" s="707"/>
      <c r="EU497" s="707"/>
      <c r="EV497" s="707"/>
      <c r="EW497" s="707"/>
      <c r="EX497" s="707"/>
      <c r="EY497" s="707"/>
      <c r="EZ497" s="707"/>
      <c r="FA497" s="707"/>
      <c r="FB497" s="707"/>
      <c r="FC497" s="707"/>
      <c r="FD497" s="707"/>
      <c r="FE497" s="707"/>
      <c r="FF497" s="707"/>
      <c r="FG497" s="707"/>
      <c r="FH497" s="707"/>
      <c r="FI497" s="707"/>
      <c r="FJ497" s="707"/>
      <c r="FK497" s="707"/>
      <c r="FL497" s="707"/>
      <c r="FM497" s="707"/>
      <c r="FN497" s="707"/>
      <c r="FO497" s="707"/>
      <c r="FP497" s="707"/>
      <c r="FQ497" s="707"/>
      <c r="FR497" s="707"/>
      <c r="FS497" s="707"/>
      <c r="FT497" s="707"/>
      <c r="FU497" s="707"/>
      <c r="FV497" s="707"/>
      <c r="FW497" s="707"/>
      <c r="FX497" s="707"/>
      <c r="FY497" s="707"/>
      <c r="FZ497" s="707"/>
      <c r="GA497" s="707"/>
      <c r="GB497" s="707"/>
      <c r="GC497" s="707"/>
      <c r="GD497" s="707"/>
      <c r="GE497" s="707"/>
      <c r="GF497" s="707"/>
      <c r="GG497" s="707"/>
      <c r="GH497" s="707"/>
      <c r="GI497" s="707"/>
      <c r="GJ497" s="707"/>
      <c r="GK497" s="707"/>
      <c r="GL497" s="707"/>
      <c r="GM497" s="707"/>
      <c r="GN497" s="707"/>
      <c r="GO497" s="707"/>
      <c r="GP497" s="707"/>
      <c r="GQ497" s="707"/>
      <c r="GR497" s="707"/>
      <c r="GS497" s="707"/>
      <c r="GT497" s="707"/>
      <c r="GU497" s="707"/>
      <c r="GV497" s="707"/>
      <c r="GW497" s="707"/>
      <c r="GX497" s="707"/>
      <c r="GY497" s="707"/>
      <c r="GZ497" s="707"/>
      <c r="HA497" s="707"/>
      <c r="HB497" s="707"/>
      <c r="HC497" s="707"/>
      <c r="HD497" s="707"/>
      <c r="HE497" s="707"/>
      <c r="HF497" s="707"/>
      <c r="HG497" s="707"/>
      <c r="HH497" s="707"/>
      <c r="HI497" s="707"/>
      <c r="HJ497" s="707"/>
      <c r="HK497" s="707"/>
      <c r="HL497" s="707"/>
      <c r="HM497" s="707"/>
      <c r="HN497" s="707"/>
      <c r="HO497" s="707"/>
      <c r="HP497" s="707"/>
      <c r="HQ497" s="707"/>
      <c r="HR497" s="707"/>
      <c r="HS497" s="707"/>
      <c r="HT497" s="707"/>
      <c r="HU497" s="707"/>
      <c r="HV497" s="707"/>
      <c r="HW497" s="707"/>
      <c r="HX497" s="707"/>
      <c r="HY497" s="707"/>
      <c r="HZ497" s="707"/>
      <c r="IA497" s="707"/>
      <c r="IB497" s="707"/>
      <c r="IC497" s="707"/>
      <c r="ID497" s="707"/>
      <c r="IE497" s="707"/>
      <c r="IF497" s="707"/>
      <c r="IG497" s="707"/>
      <c r="IH497" s="707"/>
      <c r="II497" s="707"/>
      <c r="IJ497" s="707"/>
      <c r="IK497" s="707"/>
      <c r="IL497" s="707"/>
      <c r="IM497" s="707"/>
      <c r="IN497" s="707"/>
      <c r="IO497" s="707"/>
      <c r="IP497" s="707"/>
      <c r="IQ497" s="707"/>
      <c r="IR497" s="707"/>
      <c r="IS497" s="707"/>
      <c r="IT497" s="707"/>
      <c r="IU497" s="707"/>
      <c r="IV497" s="707"/>
      <c r="IW497" s="707"/>
    </row>
    <row r="498" customFormat="false" ht="12.75" hidden="false" customHeight="false" outlineLevel="1" collapsed="false">
      <c r="A498" s="681"/>
      <c r="B498" s="717"/>
      <c r="C498" s="717"/>
      <c r="D498" s="717"/>
      <c r="E498" s="406"/>
      <c r="F498" s="406"/>
      <c r="G498" s="406"/>
      <c r="H498" s="406"/>
      <c r="I498" s="406"/>
      <c r="J498" s="406"/>
      <c r="K498" s="406"/>
      <c r="L498" s="406"/>
      <c r="M498" s="406"/>
      <c r="N498" s="406"/>
      <c r="O498" s="406"/>
      <c r="P498" s="406"/>
      <c r="Q498" s="406"/>
      <c r="R498" s="406"/>
      <c r="S498" s="406"/>
      <c r="T498" s="406"/>
      <c r="U498" s="406"/>
      <c r="V498" s="406"/>
      <c r="W498" s="406"/>
      <c r="X498" s="406"/>
      <c r="Y498" s="406"/>
      <c r="Z498" s="406"/>
      <c r="AA498" s="707"/>
      <c r="AB498" s="707"/>
      <c r="AC498" s="707"/>
      <c r="AD498" s="707"/>
      <c r="AE498" s="707"/>
      <c r="AF498" s="707"/>
      <c r="AG498" s="707"/>
      <c r="AH498" s="707"/>
      <c r="AI498" s="707"/>
      <c r="AJ498" s="707"/>
      <c r="AK498" s="707"/>
      <c r="AL498" s="707"/>
      <c r="AM498" s="707"/>
      <c r="AN498" s="707"/>
      <c r="AO498" s="707"/>
      <c r="AP498" s="707"/>
      <c r="AQ498" s="707"/>
      <c r="AR498" s="707"/>
      <c r="AS498" s="707"/>
      <c r="AT498" s="707"/>
      <c r="AU498" s="707"/>
      <c r="AV498" s="707"/>
      <c r="AW498" s="707"/>
      <c r="AX498" s="707"/>
      <c r="AY498" s="707"/>
      <c r="AZ498" s="707"/>
      <c r="BA498" s="707"/>
      <c r="BB498" s="707"/>
      <c r="BC498" s="707"/>
      <c r="BD498" s="707"/>
      <c r="BE498" s="707"/>
      <c r="BF498" s="707"/>
      <c r="BG498" s="707"/>
      <c r="BH498" s="707"/>
      <c r="BI498" s="707"/>
      <c r="BJ498" s="707"/>
      <c r="BK498" s="707"/>
      <c r="BL498" s="707"/>
      <c r="BM498" s="707"/>
      <c r="BN498" s="707"/>
      <c r="BO498" s="707"/>
      <c r="BP498" s="707"/>
      <c r="BQ498" s="707"/>
      <c r="BR498" s="707"/>
      <c r="BS498" s="707"/>
      <c r="BT498" s="707"/>
      <c r="BU498" s="707"/>
      <c r="BV498" s="707"/>
      <c r="BW498" s="707"/>
      <c r="BX498" s="707"/>
      <c r="BY498" s="707"/>
      <c r="BZ498" s="707"/>
      <c r="CA498" s="707"/>
      <c r="CB498" s="707"/>
      <c r="CC498" s="707"/>
      <c r="CD498" s="707"/>
      <c r="CE498" s="707"/>
      <c r="CF498" s="707"/>
      <c r="CG498" s="707"/>
      <c r="CH498" s="707"/>
      <c r="CI498" s="707"/>
      <c r="CJ498" s="707"/>
      <c r="CK498" s="707"/>
      <c r="CL498" s="707"/>
      <c r="CM498" s="707"/>
      <c r="CN498" s="707"/>
      <c r="CO498" s="707"/>
      <c r="CP498" s="707"/>
      <c r="CQ498" s="707"/>
      <c r="CR498" s="707"/>
      <c r="CS498" s="707"/>
      <c r="CT498" s="707"/>
      <c r="CU498" s="707"/>
      <c r="CV498" s="707"/>
      <c r="CW498" s="707"/>
      <c r="CX498" s="707"/>
      <c r="CY498" s="707"/>
      <c r="CZ498" s="707"/>
      <c r="DA498" s="707"/>
      <c r="DB498" s="707"/>
      <c r="DC498" s="707"/>
      <c r="DD498" s="707"/>
      <c r="DE498" s="707"/>
      <c r="DF498" s="707"/>
      <c r="DG498" s="707"/>
      <c r="DH498" s="707"/>
      <c r="DI498" s="707"/>
      <c r="DJ498" s="707"/>
      <c r="DK498" s="707"/>
      <c r="DL498" s="707"/>
      <c r="DM498" s="707"/>
      <c r="DN498" s="707"/>
      <c r="DO498" s="707"/>
      <c r="DP498" s="707"/>
      <c r="DQ498" s="707"/>
      <c r="DR498" s="707"/>
      <c r="DS498" s="707"/>
      <c r="DT498" s="707"/>
      <c r="DU498" s="707"/>
      <c r="DV498" s="707"/>
      <c r="DW498" s="707"/>
      <c r="DX498" s="707"/>
      <c r="DY498" s="707"/>
      <c r="DZ498" s="707"/>
      <c r="EA498" s="707"/>
      <c r="EB498" s="707"/>
      <c r="EC498" s="707"/>
      <c r="ED498" s="707"/>
      <c r="EE498" s="707"/>
      <c r="EF498" s="707"/>
      <c r="EG498" s="707"/>
      <c r="EH498" s="707"/>
      <c r="EI498" s="707"/>
      <c r="EJ498" s="707"/>
      <c r="EK498" s="707"/>
      <c r="EL498" s="707"/>
      <c r="EM498" s="707"/>
      <c r="EN498" s="707"/>
      <c r="EO498" s="707"/>
      <c r="EP498" s="707"/>
      <c r="EQ498" s="707"/>
      <c r="ER498" s="707"/>
      <c r="ES498" s="707"/>
      <c r="ET498" s="707"/>
      <c r="EU498" s="707"/>
      <c r="EV498" s="707"/>
      <c r="EW498" s="707"/>
      <c r="EX498" s="707"/>
      <c r="EY498" s="707"/>
      <c r="EZ498" s="707"/>
      <c r="FA498" s="707"/>
      <c r="FB498" s="707"/>
      <c r="FC498" s="707"/>
      <c r="FD498" s="707"/>
      <c r="FE498" s="707"/>
      <c r="FF498" s="707"/>
      <c r="FG498" s="707"/>
      <c r="FH498" s="707"/>
      <c r="FI498" s="707"/>
      <c r="FJ498" s="707"/>
      <c r="FK498" s="707"/>
      <c r="FL498" s="707"/>
      <c r="FM498" s="707"/>
      <c r="FN498" s="707"/>
      <c r="FO498" s="707"/>
      <c r="FP498" s="707"/>
      <c r="FQ498" s="707"/>
      <c r="FR498" s="707"/>
      <c r="FS498" s="707"/>
      <c r="FT498" s="707"/>
      <c r="FU498" s="707"/>
      <c r="FV498" s="707"/>
      <c r="FW498" s="707"/>
      <c r="FX498" s="707"/>
      <c r="FY498" s="707"/>
      <c r="FZ498" s="707"/>
      <c r="GA498" s="707"/>
      <c r="GB498" s="707"/>
      <c r="GC498" s="707"/>
      <c r="GD498" s="707"/>
      <c r="GE498" s="707"/>
      <c r="GF498" s="707"/>
      <c r="GG498" s="707"/>
      <c r="GH498" s="707"/>
      <c r="GI498" s="707"/>
      <c r="GJ498" s="707"/>
      <c r="GK498" s="707"/>
      <c r="GL498" s="707"/>
      <c r="GM498" s="707"/>
      <c r="GN498" s="707"/>
      <c r="GO498" s="707"/>
      <c r="GP498" s="707"/>
      <c r="GQ498" s="707"/>
      <c r="GR498" s="707"/>
      <c r="GS498" s="707"/>
      <c r="GT498" s="707"/>
      <c r="GU498" s="707"/>
      <c r="GV498" s="707"/>
      <c r="GW498" s="707"/>
      <c r="GX498" s="707"/>
      <c r="GY498" s="707"/>
      <c r="GZ498" s="707"/>
      <c r="HA498" s="707"/>
      <c r="HB498" s="707"/>
      <c r="HC498" s="707"/>
      <c r="HD498" s="707"/>
      <c r="HE498" s="707"/>
      <c r="HF498" s="707"/>
      <c r="HG498" s="707"/>
      <c r="HH498" s="707"/>
      <c r="HI498" s="707"/>
      <c r="HJ498" s="707"/>
      <c r="HK498" s="707"/>
      <c r="HL498" s="707"/>
      <c r="HM498" s="707"/>
      <c r="HN498" s="707"/>
      <c r="HO498" s="707"/>
      <c r="HP498" s="707"/>
      <c r="HQ498" s="707"/>
      <c r="HR498" s="707"/>
      <c r="HS498" s="707"/>
      <c r="HT498" s="707"/>
      <c r="HU498" s="707"/>
      <c r="HV498" s="707"/>
      <c r="HW498" s="707"/>
      <c r="HX498" s="707"/>
      <c r="HY498" s="707"/>
      <c r="HZ498" s="707"/>
      <c r="IA498" s="707"/>
      <c r="IB498" s="707"/>
      <c r="IC498" s="707"/>
      <c r="ID498" s="707"/>
      <c r="IE498" s="707"/>
      <c r="IF498" s="707"/>
      <c r="IG498" s="707"/>
      <c r="IH498" s="707"/>
      <c r="II498" s="707"/>
      <c r="IJ498" s="707"/>
      <c r="IK498" s="707"/>
      <c r="IL498" s="707"/>
      <c r="IM498" s="707"/>
      <c r="IN498" s="707"/>
      <c r="IO498" s="707"/>
      <c r="IP498" s="707"/>
      <c r="IQ498" s="707"/>
      <c r="IR498" s="707"/>
      <c r="IS498" s="707"/>
      <c r="IT498" s="707"/>
      <c r="IU498" s="707"/>
      <c r="IV498" s="707"/>
      <c r="IW498" s="707"/>
    </row>
    <row r="499" customFormat="false" ht="12.75" hidden="false" customHeight="false" outlineLevel="1" collapsed="false">
      <c r="A499" s="367"/>
      <c r="B499" s="719"/>
      <c r="C499" s="719"/>
      <c r="D499" s="719"/>
      <c r="E499" s="713"/>
      <c r="F499" s="713"/>
      <c r="G499" s="713"/>
      <c r="H499" s="713"/>
      <c r="I499" s="713"/>
      <c r="J499" s="713"/>
      <c r="K499" s="713"/>
      <c r="L499" s="713"/>
      <c r="M499" s="713"/>
      <c r="N499" s="713"/>
      <c r="O499" s="713"/>
      <c r="P499" s="713"/>
      <c r="Q499" s="713"/>
      <c r="R499" s="713"/>
      <c r="S499" s="713"/>
      <c r="T499" s="713"/>
      <c r="U499" s="713"/>
      <c r="V499" s="713"/>
      <c r="W499" s="713"/>
      <c r="X499" s="713"/>
      <c r="Y499" s="713"/>
      <c r="Z499" s="713"/>
      <c r="AA499" s="707"/>
      <c r="AB499" s="707"/>
      <c r="AC499" s="707"/>
      <c r="AD499" s="707"/>
      <c r="AE499" s="707"/>
      <c r="AF499" s="707"/>
      <c r="AG499" s="707"/>
      <c r="AH499" s="707"/>
      <c r="AI499" s="707"/>
      <c r="AJ499" s="707"/>
      <c r="AK499" s="707"/>
      <c r="AL499" s="707"/>
      <c r="AM499" s="707"/>
      <c r="AN499" s="707"/>
      <c r="AO499" s="707"/>
      <c r="AP499" s="707"/>
      <c r="AQ499" s="707"/>
      <c r="AR499" s="707"/>
      <c r="AS499" s="707"/>
      <c r="AT499" s="707"/>
      <c r="AU499" s="707"/>
      <c r="AV499" s="707"/>
      <c r="AW499" s="707"/>
      <c r="AX499" s="707"/>
      <c r="AY499" s="707"/>
      <c r="AZ499" s="707"/>
      <c r="BA499" s="707"/>
      <c r="BB499" s="707"/>
      <c r="BC499" s="707"/>
      <c r="BD499" s="707"/>
      <c r="BE499" s="707"/>
      <c r="BF499" s="707"/>
      <c r="BG499" s="707"/>
      <c r="BH499" s="707"/>
      <c r="BI499" s="707"/>
      <c r="BJ499" s="707"/>
      <c r="BK499" s="707"/>
      <c r="BL499" s="707"/>
      <c r="BM499" s="707"/>
      <c r="BN499" s="707"/>
      <c r="BO499" s="707"/>
      <c r="BP499" s="707"/>
      <c r="BQ499" s="707"/>
      <c r="BR499" s="707"/>
      <c r="BS499" s="707"/>
      <c r="BT499" s="707"/>
      <c r="BU499" s="707"/>
      <c r="BV499" s="707"/>
      <c r="BW499" s="707"/>
      <c r="BX499" s="707"/>
      <c r="BY499" s="707"/>
      <c r="BZ499" s="707"/>
      <c r="CA499" s="707"/>
      <c r="CB499" s="707"/>
      <c r="CC499" s="707"/>
      <c r="CD499" s="707"/>
      <c r="CE499" s="707"/>
      <c r="CF499" s="707"/>
      <c r="CG499" s="707"/>
      <c r="CH499" s="707"/>
      <c r="CI499" s="707"/>
      <c r="CJ499" s="707"/>
      <c r="CK499" s="707"/>
      <c r="CL499" s="707"/>
      <c r="CM499" s="707"/>
      <c r="CN499" s="707"/>
      <c r="CO499" s="707"/>
      <c r="CP499" s="707"/>
      <c r="CQ499" s="707"/>
      <c r="CR499" s="707"/>
      <c r="CS499" s="707"/>
      <c r="CT499" s="707"/>
      <c r="CU499" s="707"/>
      <c r="CV499" s="707"/>
      <c r="CW499" s="707"/>
      <c r="CX499" s="707"/>
      <c r="CY499" s="707"/>
      <c r="CZ499" s="707"/>
      <c r="DA499" s="707"/>
      <c r="DB499" s="707"/>
      <c r="DC499" s="707"/>
      <c r="DD499" s="707"/>
      <c r="DE499" s="707"/>
      <c r="DF499" s="707"/>
      <c r="DG499" s="707"/>
      <c r="DH499" s="707"/>
      <c r="DI499" s="707"/>
      <c r="DJ499" s="707"/>
      <c r="DK499" s="707"/>
      <c r="DL499" s="707"/>
      <c r="DM499" s="707"/>
      <c r="DN499" s="707"/>
      <c r="DO499" s="707"/>
      <c r="DP499" s="707"/>
      <c r="DQ499" s="707"/>
      <c r="DR499" s="707"/>
      <c r="DS499" s="707"/>
      <c r="DT499" s="707"/>
      <c r="DU499" s="707"/>
      <c r="DV499" s="707"/>
      <c r="DW499" s="707"/>
      <c r="DX499" s="707"/>
      <c r="DY499" s="707"/>
      <c r="DZ499" s="707"/>
      <c r="EA499" s="707"/>
      <c r="EB499" s="707"/>
      <c r="EC499" s="707"/>
      <c r="ED499" s="707"/>
      <c r="EE499" s="707"/>
      <c r="EF499" s="707"/>
      <c r="EG499" s="707"/>
      <c r="EH499" s="707"/>
      <c r="EI499" s="707"/>
      <c r="EJ499" s="707"/>
      <c r="EK499" s="707"/>
      <c r="EL499" s="707"/>
      <c r="EM499" s="707"/>
      <c r="EN499" s="707"/>
      <c r="EO499" s="707"/>
      <c r="EP499" s="707"/>
      <c r="EQ499" s="707"/>
      <c r="ER499" s="707"/>
      <c r="ES499" s="707"/>
      <c r="ET499" s="707"/>
      <c r="EU499" s="707"/>
      <c r="EV499" s="707"/>
      <c r="EW499" s="707"/>
      <c r="EX499" s="707"/>
      <c r="EY499" s="707"/>
      <c r="EZ499" s="707"/>
      <c r="FA499" s="707"/>
      <c r="FB499" s="707"/>
      <c r="FC499" s="707"/>
      <c r="FD499" s="707"/>
      <c r="FE499" s="707"/>
      <c r="FF499" s="707"/>
      <c r="FG499" s="707"/>
      <c r="FH499" s="707"/>
      <c r="FI499" s="707"/>
      <c r="FJ499" s="707"/>
      <c r="FK499" s="707"/>
      <c r="FL499" s="707"/>
      <c r="FM499" s="707"/>
      <c r="FN499" s="707"/>
      <c r="FO499" s="707"/>
      <c r="FP499" s="707"/>
      <c r="FQ499" s="707"/>
      <c r="FR499" s="707"/>
      <c r="FS499" s="707"/>
      <c r="FT499" s="707"/>
      <c r="FU499" s="707"/>
      <c r="FV499" s="707"/>
      <c r="FW499" s="707"/>
      <c r="FX499" s="707"/>
      <c r="FY499" s="707"/>
      <c r="FZ499" s="707"/>
      <c r="GA499" s="707"/>
      <c r="GB499" s="707"/>
      <c r="GC499" s="707"/>
      <c r="GD499" s="707"/>
      <c r="GE499" s="707"/>
      <c r="GF499" s="707"/>
      <c r="GG499" s="707"/>
      <c r="GH499" s="707"/>
      <c r="GI499" s="707"/>
      <c r="GJ499" s="707"/>
      <c r="GK499" s="707"/>
      <c r="GL499" s="707"/>
      <c r="GM499" s="707"/>
      <c r="GN499" s="707"/>
      <c r="GO499" s="707"/>
      <c r="GP499" s="707"/>
      <c r="GQ499" s="707"/>
      <c r="GR499" s="707"/>
      <c r="GS499" s="707"/>
      <c r="GT499" s="707"/>
      <c r="GU499" s="707"/>
      <c r="GV499" s="707"/>
      <c r="GW499" s="707"/>
      <c r="GX499" s="707"/>
      <c r="GY499" s="707"/>
      <c r="GZ499" s="707"/>
      <c r="HA499" s="707"/>
      <c r="HB499" s="707"/>
      <c r="HC499" s="707"/>
      <c r="HD499" s="707"/>
      <c r="HE499" s="707"/>
      <c r="HF499" s="707"/>
      <c r="HG499" s="707"/>
      <c r="HH499" s="707"/>
      <c r="HI499" s="707"/>
      <c r="HJ499" s="707"/>
      <c r="HK499" s="707"/>
      <c r="HL499" s="707"/>
      <c r="HM499" s="707"/>
      <c r="HN499" s="707"/>
      <c r="HO499" s="707"/>
      <c r="HP499" s="707"/>
      <c r="HQ499" s="707"/>
      <c r="HR499" s="707"/>
      <c r="HS499" s="707"/>
      <c r="HT499" s="707"/>
      <c r="HU499" s="707"/>
      <c r="HV499" s="707"/>
      <c r="HW499" s="707"/>
      <c r="HX499" s="707"/>
      <c r="HY499" s="707"/>
      <c r="HZ499" s="707"/>
      <c r="IA499" s="707"/>
      <c r="IB499" s="707"/>
      <c r="IC499" s="707"/>
      <c r="ID499" s="707"/>
      <c r="IE499" s="707"/>
      <c r="IF499" s="707"/>
      <c r="IG499" s="707"/>
      <c r="IH499" s="707"/>
      <c r="II499" s="707"/>
      <c r="IJ499" s="707"/>
      <c r="IK499" s="707"/>
      <c r="IL499" s="707"/>
      <c r="IM499" s="707"/>
      <c r="IN499" s="707"/>
      <c r="IO499" s="707"/>
      <c r="IP499" s="707"/>
      <c r="IQ499" s="707"/>
      <c r="IR499" s="707"/>
      <c r="IS499" s="707"/>
      <c r="IT499" s="707"/>
      <c r="IU499" s="707"/>
      <c r="IV499" s="707"/>
      <c r="IW499" s="707"/>
    </row>
    <row r="500" customFormat="false" ht="13.9" hidden="false" customHeight="true" outlineLevel="1" collapsed="false">
      <c r="A500" s="366"/>
      <c r="B500" s="719"/>
      <c r="C500" s="719"/>
      <c r="D500" s="719"/>
      <c r="E500" s="713"/>
      <c r="F500" s="713"/>
      <c r="G500" s="713"/>
      <c r="H500" s="713"/>
      <c r="I500" s="713"/>
      <c r="J500" s="713"/>
      <c r="K500" s="713"/>
      <c r="L500" s="713"/>
      <c r="M500" s="713"/>
      <c r="N500" s="713"/>
      <c r="O500" s="713"/>
      <c r="P500" s="713"/>
      <c r="Q500" s="713"/>
      <c r="R500" s="713"/>
      <c r="S500" s="713"/>
      <c r="T500" s="713"/>
      <c r="U500" s="713"/>
      <c r="V500" s="713"/>
      <c r="W500" s="713"/>
      <c r="X500" s="713"/>
      <c r="Y500" s="713"/>
      <c r="Z500" s="713"/>
      <c r="AA500" s="707"/>
      <c r="AB500" s="707"/>
      <c r="AC500" s="707"/>
      <c r="AD500" s="707"/>
      <c r="AE500" s="707"/>
      <c r="AF500" s="707"/>
      <c r="AG500" s="707"/>
      <c r="AH500" s="707"/>
      <c r="AI500" s="707"/>
      <c r="AJ500" s="707"/>
      <c r="AK500" s="707"/>
      <c r="AL500" s="707"/>
      <c r="AM500" s="707"/>
      <c r="AN500" s="707"/>
      <c r="AO500" s="707"/>
      <c r="AP500" s="707"/>
      <c r="AQ500" s="707"/>
      <c r="AR500" s="707"/>
      <c r="AS500" s="707"/>
      <c r="AT500" s="707"/>
      <c r="AU500" s="707"/>
      <c r="AV500" s="707"/>
      <c r="AW500" s="707"/>
      <c r="AX500" s="707"/>
      <c r="AY500" s="707"/>
      <c r="AZ500" s="707"/>
      <c r="BA500" s="707"/>
      <c r="BB500" s="707"/>
      <c r="BC500" s="707"/>
      <c r="BD500" s="707"/>
      <c r="BE500" s="707"/>
      <c r="BF500" s="707"/>
      <c r="BG500" s="707"/>
      <c r="BH500" s="707"/>
      <c r="BI500" s="707"/>
      <c r="BJ500" s="707"/>
      <c r="BK500" s="707"/>
      <c r="BL500" s="707"/>
      <c r="BM500" s="707"/>
      <c r="BN500" s="707"/>
      <c r="BO500" s="707"/>
      <c r="BP500" s="707"/>
      <c r="BQ500" s="707"/>
      <c r="BR500" s="707"/>
      <c r="BS500" s="707"/>
      <c r="BT500" s="707"/>
      <c r="BU500" s="707"/>
      <c r="BV500" s="707"/>
      <c r="BW500" s="707"/>
      <c r="BX500" s="707"/>
      <c r="BY500" s="707"/>
      <c r="BZ500" s="707"/>
      <c r="CA500" s="707"/>
      <c r="CB500" s="707"/>
      <c r="CC500" s="707"/>
      <c r="CD500" s="707"/>
      <c r="CE500" s="707"/>
      <c r="CF500" s="707"/>
      <c r="CG500" s="707"/>
      <c r="CH500" s="707"/>
      <c r="CI500" s="707"/>
      <c r="CJ500" s="707"/>
      <c r="CK500" s="707"/>
      <c r="CL500" s="707"/>
      <c r="CM500" s="707"/>
      <c r="CN500" s="707"/>
      <c r="CO500" s="707"/>
      <c r="CP500" s="707"/>
      <c r="CQ500" s="707"/>
      <c r="CR500" s="707"/>
      <c r="CS500" s="707"/>
      <c r="CT500" s="707"/>
      <c r="CU500" s="707"/>
      <c r="CV500" s="707"/>
      <c r="CW500" s="707"/>
      <c r="CX500" s="707"/>
      <c r="CY500" s="707"/>
      <c r="CZ500" s="707"/>
      <c r="DA500" s="707"/>
      <c r="DB500" s="707"/>
      <c r="DC500" s="707"/>
      <c r="DD500" s="707"/>
      <c r="DE500" s="707"/>
      <c r="DF500" s="707"/>
      <c r="DG500" s="707"/>
      <c r="DH500" s="707"/>
      <c r="DI500" s="707"/>
      <c r="DJ500" s="707"/>
      <c r="DK500" s="707"/>
      <c r="DL500" s="707"/>
      <c r="DM500" s="707"/>
      <c r="DN500" s="707"/>
      <c r="DO500" s="707"/>
      <c r="DP500" s="707"/>
      <c r="DQ500" s="707"/>
      <c r="DR500" s="707"/>
      <c r="DS500" s="707"/>
      <c r="DT500" s="707"/>
      <c r="DU500" s="707"/>
      <c r="DV500" s="707"/>
      <c r="DW500" s="707"/>
      <c r="DX500" s="707"/>
      <c r="DY500" s="707"/>
      <c r="DZ500" s="707"/>
      <c r="EA500" s="707"/>
      <c r="EB500" s="707"/>
      <c r="EC500" s="707"/>
      <c r="ED500" s="707"/>
      <c r="EE500" s="707"/>
      <c r="EF500" s="707"/>
      <c r="EG500" s="707"/>
      <c r="EH500" s="707"/>
      <c r="EI500" s="707"/>
      <c r="EJ500" s="707"/>
      <c r="EK500" s="707"/>
      <c r="EL500" s="707"/>
      <c r="EM500" s="707"/>
      <c r="EN500" s="707"/>
      <c r="EO500" s="707"/>
      <c r="EP500" s="707"/>
      <c r="EQ500" s="707"/>
      <c r="ER500" s="707"/>
      <c r="ES500" s="707"/>
      <c r="ET500" s="707"/>
      <c r="EU500" s="707"/>
      <c r="EV500" s="707"/>
      <c r="EW500" s="707"/>
      <c r="EX500" s="707"/>
      <c r="EY500" s="707"/>
      <c r="EZ500" s="707"/>
      <c r="FA500" s="707"/>
      <c r="FB500" s="707"/>
      <c r="FC500" s="707"/>
      <c r="FD500" s="707"/>
      <c r="FE500" s="707"/>
      <c r="FF500" s="707"/>
      <c r="FG500" s="707"/>
      <c r="FH500" s="707"/>
      <c r="FI500" s="707"/>
      <c r="FJ500" s="707"/>
      <c r="FK500" s="707"/>
      <c r="FL500" s="707"/>
      <c r="FM500" s="707"/>
      <c r="FN500" s="707"/>
      <c r="FO500" s="707"/>
      <c r="FP500" s="707"/>
      <c r="FQ500" s="707"/>
      <c r="FR500" s="707"/>
      <c r="FS500" s="707"/>
      <c r="FT500" s="707"/>
      <c r="FU500" s="707"/>
      <c r="FV500" s="707"/>
      <c r="FW500" s="707"/>
      <c r="FX500" s="707"/>
      <c r="FY500" s="707"/>
      <c r="FZ500" s="707"/>
      <c r="GA500" s="707"/>
      <c r="GB500" s="707"/>
      <c r="GC500" s="707"/>
      <c r="GD500" s="707"/>
      <c r="GE500" s="707"/>
      <c r="GF500" s="707"/>
      <c r="GG500" s="707"/>
      <c r="GH500" s="707"/>
      <c r="GI500" s="707"/>
      <c r="GJ500" s="707"/>
      <c r="GK500" s="707"/>
      <c r="GL500" s="707"/>
      <c r="GM500" s="707"/>
      <c r="GN500" s="707"/>
      <c r="GO500" s="707"/>
      <c r="GP500" s="707"/>
      <c r="GQ500" s="707"/>
      <c r="GR500" s="707"/>
      <c r="GS500" s="707"/>
      <c r="GT500" s="707"/>
      <c r="GU500" s="707"/>
      <c r="GV500" s="707"/>
      <c r="GW500" s="707"/>
      <c r="GX500" s="707"/>
      <c r="GY500" s="707"/>
      <c r="GZ500" s="707"/>
      <c r="HA500" s="707"/>
      <c r="HB500" s="707"/>
      <c r="HC500" s="707"/>
      <c r="HD500" s="707"/>
      <c r="HE500" s="707"/>
      <c r="HF500" s="707"/>
      <c r="HG500" s="707"/>
      <c r="HH500" s="707"/>
      <c r="HI500" s="707"/>
      <c r="HJ500" s="707"/>
      <c r="HK500" s="707"/>
      <c r="HL500" s="707"/>
      <c r="HM500" s="707"/>
      <c r="HN500" s="707"/>
      <c r="HO500" s="707"/>
      <c r="HP500" s="707"/>
      <c r="HQ500" s="707"/>
      <c r="HR500" s="707"/>
      <c r="HS500" s="707"/>
      <c r="HT500" s="707"/>
      <c r="HU500" s="707"/>
      <c r="HV500" s="707"/>
      <c r="HW500" s="707"/>
      <c r="HX500" s="707"/>
      <c r="HY500" s="707"/>
      <c r="HZ500" s="707"/>
      <c r="IA500" s="707"/>
      <c r="IB500" s="707"/>
      <c r="IC500" s="707"/>
      <c r="ID500" s="707"/>
      <c r="IE500" s="707"/>
      <c r="IF500" s="707"/>
      <c r="IG500" s="707"/>
      <c r="IH500" s="707"/>
      <c r="II500" s="707"/>
      <c r="IJ500" s="707"/>
      <c r="IK500" s="707"/>
      <c r="IL500" s="707"/>
      <c r="IM500" s="707"/>
      <c r="IN500" s="707"/>
      <c r="IO500" s="707"/>
      <c r="IP500" s="707"/>
      <c r="IQ500" s="707"/>
      <c r="IR500" s="707"/>
      <c r="IS500" s="707"/>
      <c r="IT500" s="707"/>
      <c r="IU500" s="707"/>
      <c r="IV500" s="707"/>
      <c r="IW500" s="707"/>
    </row>
    <row r="501" customFormat="false" ht="12.75" hidden="false" customHeight="false" outlineLevel="1" collapsed="false">
      <c r="A501" s="720"/>
      <c r="B501" s="721"/>
      <c r="C501" s="721"/>
      <c r="D501" s="721"/>
      <c r="E501" s="713"/>
      <c r="F501" s="713"/>
      <c r="G501" s="713"/>
      <c r="H501" s="713"/>
      <c r="I501" s="713"/>
      <c r="J501" s="713"/>
      <c r="K501" s="713"/>
      <c r="L501" s="713"/>
      <c r="M501" s="713"/>
      <c r="N501" s="713"/>
      <c r="O501" s="713"/>
      <c r="P501" s="713"/>
      <c r="Q501" s="713"/>
      <c r="R501" s="713"/>
      <c r="S501" s="713"/>
      <c r="T501" s="713"/>
      <c r="U501" s="713"/>
      <c r="V501" s="713"/>
      <c r="W501" s="713"/>
      <c r="X501" s="713"/>
      <c r="Y501" s="713"/>
      <c r="Z501" s="713"/>
      <c r="AA501" s="722"/>
      <c r="AB501" s="722"/>
      <c r="AC501" s="722"/>
      <c r="AD501" s="722"/>
      <c r="AE501" s="722"/>
      <c r="AF501" s="722"/>
      <c r="AG501" s="722"/>
      <c r="AH501" s="722"/>
      <c r="AI501" s="722"/>
      <c r="AJ501" s="722"/>
      <c r="AK501" s="722"/>
      <c r="AL501" s="722"/>
      <c r="AM501" s="722"/>
      <c r="AN501" s="722"/>
      <c r="AO501" s="722"/>
      <c r="AP501" s="722"/>
      <c r="AQ501" s="722"/>
      <c r="AR501" s="722"/>
      <c r="AS501" s="722"/>
      <c r="AT501" s="722"/>
      <c r="AU501" s="722"/>
      <c r="AV501" s="722"/>
      <c r="AW501" s="722"/>
      <c r="AX501" s="722"/>
      <c r="AY501" s="722"/>
      <c r="AZ501" s="722"/>
      <c r="BA501" s="722"/>
      <c r="BB501" s="722"/>
      <c r="BC501" s="722"/>
      <c r="BD501" s="722"/>
      <c r="BE501" s="722"/>
      <c r="BF501" s="722"/>
      <c r="BG501" s="722"/>
      <c r="BH501" s="722"/>
      <c r="BI501" s="722"/>
      <c r="BJ501" s="722"/>
      <c r="BK501" s="722"/>
      <c r="BL501" s="722"/>
      <c r="BM501" s="722"/>
      <c r="BN501" s="722"/>
      <c r="BO501" s="722"/>
      <c r="BP501" s="722"/>
      <c r="BQ501" s="722"/>
      <c r="BR501" s="722"/>
      <c r="BS501" s="722"/>
      <c r="BT501" s="722"/>
      <c r="BU501" s="722"/>
      <c r="BV501" s="722"/>
      <c r="BW501" s="722"/>
      <c r="BX501" s="722"/>
      <c r="BY501" s="722"/>
      <c r="BZ501" s="722"/>
      <c r="CA501" s="722"/>
      <c r="CB501" s="722"/>
      <c r="CC501" s="722"/>
      <c r="CD501" s="722"/>
      <c r="CE501" s="722"/>
      <c r="CF501" s="722"/>
      <c r="CG501" s="722"/>
      <c r="CH501" s="722"/>
      <c r="CI501" s="722"/>
      <c r="CJ501" s="722"/>
      <c r="CK501" s="722"/>
      <c r="CL501" s="722"/>
      <c r="CM501" s="722"/>
      <c r="CN501" s="722"/>
      <c r="CO501" s="722"/>
      <c r="CP501" s="722"/>
      <c r="CQ501" s="722"/>
      <c r="CR501" s="722"/>
      <c r="CS501" s="722"/>
      <c r="CT501" s="722"/>
      <c r="CU501" s="722"/>
      <c r="CV501" s="722"/>
      <c r="CW501" s="722"/>
      <c r="CX501" s="722"/>
      <c r="CY501" s="722"/>
      <c r="CZ501" s="722"/>
      <c r="DA501" s="722"/>
      <c r="DB501" s="722"/>
      <c r="DC501" s="722"/>
      <c r="DD501" s="722"/>
      <c r="DE501" s="722"/>
      <c r="DF501" s="722"/>
      <c r="DG501" s="722"/>
      <c r="DH501" s="722"/>
      <c r="DI501" s="722"/>
      <c r="DJ501" s="722"/>
      <c r="DK501" s="722"/>
      <c r="DL501" s="722"/>
      <c r="DM501" s="722"/>
      <c r="DN501" s="722"/>
      <c r="DO501" s="722"/>
      <c r="DP501" s="722"/>
      <c r="DQ501" s="722"/>
      <c r="DR501" s="722"/>
      <c r="DS501" s="722"/>
      <c r="DT501" s="722"/>
      <c r="DU501" s="722"/>
      <c r="DV501" s="722"/>
      <c r="DW501" s="722"/>
      <c r="DX501" s="722"/>
      <c r="DY501" s="722"/>
      <c r="DZ501" s="722"/>
      <c r="EA501" s="722"/>
      <c r="EB501" s="722"/>
      <c r="EC501" s="722"/>
      <c r="ED501" s="722"/>
      <c r="EE501" s="722"/>
      <c r="EF501" s="722"/>
      <c r="EG501" s="722"/>
      <c r="EH501" s="722"/>
      <c r="EI501" s="722"/>
      <c r="EJ501" s="722"/>
      <c r="EK501" s="722"/>
      <c r="EL501" s="722"/>
      <c r="EM501" s="722"/>
      <c r="EN501" s="722"/>
      <c r="EO501" s="722"/>
      <c r="EP501" s="722"/>
      <c r="EQ501" s="722"/>
      <c r="ER501" s="722"/>
      <c r="ES501" s="722"/>
      <c r="ET501" s="722"/>
      <c r="EU501" s="722"/>
      <c r="EV501" s="722"/>
      <c r="EW501" s="722"/>
      <c r="EX501" s="722"/>
      <c r="EY501" s="722"/>
      <c r="EZ501" s="722"/>
      <c r="FA501" s="722"/>
      <c r="FB501" s="722"/>
      <c r="FC501" s="722"/>
      <c r="FD501" s="722"/>
      <c r="FE501" s="722"/>
      <c r="FF501" s="722"/>
      <c r="FG501" s="722"/>
      <c r="FH501" s="722"/>
      <c r="FI501" s="722"/>
      <c r="FJ501" s="722"/>
      <c r="FK501" s="722"/>
      <c r="FL501" s="722"/>
      <c r="FM501" s="722"/>
      <c r="FN501" s="722"/>
      <c r="FO501" s="722"/>
      <c r="FP501" s="722"/>
      <c r="FQ501" s="722"/>
      <c r="FR501" s="722"/>
      <c r="FS501" s="722"/>
      <c r="FT501" s="722"/>
      <c r="FU501" s="722"/>
      <c r="FV501" s="722"/>
      <c r="FW501" s="722"/>
      <c r="FX501" s="722"/>
      <c r="FY501" s="722"/>
      <c r="FZ501" s="722"/>
      <c r="GA501" s="722"/>
      <c r="GB501" s="722"/>
      <c r="GC501" s="722"/>
      <c r="GD501" s="722"/>
      <c r="GE501" s="722"/>
      <c r="GF501" s="722"/>
      <c r="GG501" s="722"/>
      <c r="GH501" s="722"/>
      <c r="GI501" s="722"/>
      <c r="GJ501" s="722"/>
      <c r="GK501" s="722"/>
      <c r="GL501" s="722"/>
      <c r="GM501" s="722"/>
      <c r="GN501" s="722"/>
      <c r="GO501" s="722"/>
      <c r="GP501" s="722"/>
      <c r="GQ501" s="722"/>
      <c r="GR501" s="722"/>
      <c r="GS501" s="722"/>
      <c r="GT501" s="722"/>
      <c r="GU501" s="722"/>
      <c r="GV501" s="722"/>
      <c r="GW501" s="722"/>
      <c r="GX501" s="722"/>
      <c r="GY501" s="722"/>
      <c r="GZ501" s="722"/>
      <c r="HA501" s="722"/>
      <c r="HB501" s="722"/>
      <c r="HC501" s="722"/>
      <c r="HD501" s="722"/>
      <c r="HE501" s="722"/>
      <c r="HF501" s="722"/>
      <c r="HG501" s="722"/>
      <c r="HH501" s="722"/>
      <c r="HI501" s="722"/>
      <c r="HJ501" s="722"/>
      <c r="HK501" s="722"/>
      <c r="HL501" s="722"/>
      <c r="HM501" s="722"/>
      <c r="HN501" s="722"/>
      <c r="HO501" s="722"/>
      <c r="HP501" s="722"/>
      <c r="HQ501" s="722"/>
      <c r="HR501" s="722"/>
      <c r="HS501" s="722"/>
      <c r="HT501" s="722"/>
      <c r="HU501" s="722"/>
      <c r="HV501" s="722"/>
      <c r="HW501" s="722"/>
      <c r="HX501" s="722"/>
      <c r="HY501" s="722"/>
      <c r="HZ501" s="722"/>
      <c r="IA501" s="722"/>
      <c r="IB501" s="722"/>
      <c r="IC501" s="722"/>
      <c r="ID501" s="722"/>
      <c r="IE501" s="722"/>
      <c r="IF501" s="722"/>
      <c r="IG501" s="722"/>
      <c r="IH501" s="722"/>
      <c r="II501" s="722"/>
      <c r="IJ501" s="722"/>
      <c r="IK501" s="722"/>
      <c r="IL501" s="722"/>
      <c r="IM501" s="722"/>
      <c r="IN501" s="722"/>
      <c r="IO501" s="722"/>
      <c r="IP501" s="722"/>
      <c r="IQ501" s="722"/>
      <c r="IR501" s="722"/>
      <c r="IS501" s="722"/>
      <c r="IT501" s="722"/>
      <c r="IU501" s="722"/>
      <c r="IV501" s="722"/>
      <c r="IW501" s="722"/>
    </row>
    <row r="502" customFormat="false" ht="12.75" hidden="false" customHeight="false" outlineLevel="1" collapsed="false">
      <c r="A502" s="366"/>
      <c r="B502" s="714"/>
      <c r="C502" s="714"/>
      <c r="D502" s="714"/>
      <c r="E502" s="713"/>
      <c r="F502" s="713"/>
      <c r="G502" s="713"/>
      <c r="H502" s="713"/>
      <c r="I502" s="713"/>
      <c r="J502" s="713"/>
      <c r="K502" s="713"/>
      <c r="L502" s="713"/>
      <c r="M502" s="713"/>
      <c r="N502" s="713"/>
      <c r="O502" s="713"/>
      <c r="P502" s="713"/>
      <c r="Q502" s="713"/>
      <c r="R502" s="713"/>
      <c r="S502" s="713"/>
      <c r="T502" s="713"/>
      <c r="U502" s="713"/>
      <c r="V502" s="713"/>
      <c r="W502" s="713"/>
      <c r="X502" s="713"/>
      <c r="Y502" s="713"/>
      <c r="Z502" s="713"/>
      <c r="AA502" s="707"/>
      <c r="AB502" s="707"/>
      <c r="AC502" s="707"/>
      <c r="AD502" s="707"/>
      <c r="AE502" s="707"/>
      <c r="AF502" s="707"/>
      <c r="AG502" s="707"/>
      <c r="AH502" s="707"/>
      <c r="AI502" s="707"/>
      <c r="AJ502" s="707"/>
      <c r="AK502" s="707"/>
      <c r="AL502" s="707"/>
      <c r="AM502" s="707"/>
      <c r="AN502" s="707"/>
      <c r="AO502" s="707"/>
      <c r="AP502" s="707"/>
      <c r="AQ502" s="707"/>
      <c r="AR502" s="707"/>
      <c r="AS502" s="707"/>
      <c r="AT502" s="707"/>
      <c r="AU502" s="707"/>
      <c r="AV502" s="707"/>
      <c r="AW502" s="707"/>
      <c r="AX502" s="707"/>
      <c r="AY502" s="707"/>
      <c r="AZ502" s="707"/>
      <c r="BA502" s="707"/>
      <c r="BB502" s="707"/>
      <c r="BC502" s="707"/>
      <c r="BD502" s="707"/>
      <c r="BE502" s="707"/>
      <c r="BF502" s="707"/>
      <c r="BG502" s="707"/>
      <c r="BH502" s="707"/>
      <c r="BI502" s="707"/>
      <c r="BJ502" s="707"/>
      <c r="BK502" s="707"/>
      <c r="BL502" s="707"/>
      <c r="BM502" s="707"/>
      <c r="BN502" s="707"/>
      <c r="BO502" s="707"/>
      <c r="BP502" s="707"/>
      <c r="BQ502" s="707"/>
      <c r="BR502" s="707"/>
      <c r="BS502" s="707"/>
      <c r="BT502" s="707"/>
      <c r="BU502" s="707"/>
      <c r="BV502" s="707"/>
      <c r="BW502" s="707"/>
      <c r="BX502" s="707"/>
      <c r="BY502" s="707"/>
      <c r="BZ502" s="707"/>
      <c r="CA502" s="707"/>
      <c r="CB502" s="707"/>
      <c r="CC502" s="707"/>
      <c r="CD502" s="707"/>
      <c r="CE502" s="707"/>
      <c r="CF502" s="707"/>
      <c r="CG502" s="707"/>
      <c r="CH502" s="707"/>
      <c r="CI502" s="707"/>
      <c r="CJ502" s="707"/>
      <c r="CK502" s="707"/>
      <c r="CL502" s="707"/>
      <c r="CM502" s="707"/>
      <c r="CN502" s="707"/>
      <c r="CO502" s="707"/>
      <c r="CP502" s="707"/>
      <c r="CQ502" s="707"/>
      <c r="CR502" s="707"/>
      <c r="CS502" s="707"/>
      <c r="CT502" s="707"/>
      <c r="CU502" s="707"/>
      <c r="CV502" s="707"/>
      <c r="CW502" s="707"/>
      <c r="CX502" s="707"/>
      <c r="CY502" s="707"/>
      <c r="CZ502" s="707"/>
      <c r="DA502" s="707"/>
      <c r="DB502" s="707"/>
      <c r="DC502" s="707"/>
      <c r="DD502" s="707"/>
      <c r="DE502" s="707"/>
      <c r="DF502" s="707"/>
      <c r="DG502" s="707"/>
      <c r="DH502" s="707"/>
      <c r="DI502" s="707"/>
      <c r="DJ502" s="707"/>
      <c r="DK502" s="707"/>
      <c r="DL502" s="707"/>
      <c r="DM502" s="707"/>
      <c r="DN502" s="707"/>
      <c r="DO502" s="707"/>
      <c r="DP502" s="707"/>
      <c r="DQ502" s="707"/>
      <c r="DR502" s="707"/>
      <c r="DS502" s="707"/>
      <c r="DT502" s="707"/>
      <c r="DU502" s="707"/>
      <c r="DV502" s="707"/>
      <c r="DW502" s="707"/>
      <c r="DX502" s="707"/>
      <c r="DY502" s="707"/>
      <c r="DZ502" s="707"/>
      <c r="EA502" s="707"/>
      <c r="EB502" s="707"/>
      <c r="EC502" s="707"/>
      <c r="ED502" s="707"/>
      <c r="EE502" s="707"/>
      <c r="EF502" s="707"/>
      <c r="EG502" s="707"/>
      <c r="EH502" s="707"/>
      <c r="EI502" s="707"/>
      <c r="EJ502" s="707"/>
      <c r="EK502" s="707"/>
      <c r="EL502" s="707"/>
      <c r="EM502" s="707"/>
      <c r="EN502" s="707"/>
      <c r="EO502" s="707"/>
      <c r="EP502" s="707"/>
      <c r="EQ502" s="707"/>
      <c r="ER502" s="707"/>
      <c r="ES502" s="707"/>
      <c r="ET502" s="707"/>
      <c r="EU502" s="707"/>
      <c r="EV502" s="707"/>
      <c r="EW502" s="707"/>
      <c r="EX502" s="707"/>
      <c r="EY502" s="707"/>
      <c r="EZ502" s="707"/>
      <c r="FA502" s="707"/>
      <c r="FB502" s="707"/>
      <c r="FC502" s="707"/>
      <c r="FD502" s="707"/>
      <c r="FE502" s="707"/>
      <c r="FF502" s="707"/>
      <c r="FG502" s="707"/>
      <c r="FH502" s="707"/>
      <c r="FI502" s="707"/>
      <c r="FJ502" s="707"/>
      <c r="FK502" s="707"/>
      <c r="FL502" s="707"/>
      <c r="FM502" s="707"/>
      <c r="FN502" s="707"/>
      <c r="FO502" s="707"/>
      <c r="FP502" s="707"/>
      <c r="FQ502" s="707"/>
      <c r="FR502" s="707"/>
      <c r="FS502" s="707"/>
      <c r="FT502" s="707"/>
      <c r="FU502" s="707"/>
      <c r="FV502" s="707"/>
      <c r="FW502" s="707"/>
      <c r="FX502" s="707"/>
      <c r="FY502" s="707"/>
      <c r="FZ502" s="707"/>
      <c r="GA502" s="707"/>
      <c r="GB502" s="707"/>
      <c r="GC502" s="707"/>
      <c r="GD502" s="707"/>
      <c r="GE502" s="707"/>
      <c r="GF502" s="707"/>
      <c r="GG502" s="707"/>
      <c r="GH502" s="707"/>
      <c r="GI502" s="707"/>
      <c r="GJ502" s="707"/>
      <c r="GK502" s="707"/>
      <c r="GL502" s="707"/>
      <c r="GM502" s="707"/>
      <c r="GN502" s="707"/>
      <c r="GO502" s="707"/>
      <c r="GP502" s="707"/>
      <c r="GQ502" s="707"/>
      <c r="GR502" s="707"/>
      <c r="GS502" s="707"/>
      <c r="GT502" s="707"/>
      <c r="GU502" s="707"/>
      <c r="GV502" s="707"/>
      <c r="GW502" s="707"/>
      <c r="GX502" s="707"/>
      <c r="GY502" s="707"/>
      <c r="GZ502" s="707"/>
      <c r="HA502" s="707"/>
      <c r="HB502" s="707"/>
      <c r="HC502" s="707"/>
      <c r="HD502" s="707"/>
      <c r="HE502" s="707"/>
      <c r="HF502" s="707"/>
      <c r="HG502" s="707"/>
      <c r="HH502" s="707"/>
      <c r="HI502" s="707"/>
      <c r="HJ502" s="707"/>
      <c r="HK502" s="707"/>
      <c r="HL502" s="707"/>
      <c r="HM502" s="707"/>
      <c r="HN502" s="707"/>
      <c r="HO502" s="707"/>
      <c r="HP502" s="707"/>
      <c r="HQ502" s="707"/>
      <c r="HR502" s="707"/>
      <c r="HS502" s="707"/>
      <c r="HT502" s="707"/>
      <c r="HU502" s="707"/>
      <c r="HV502" s="707"/>
      <c r="HW502" s="707"/>
      <c r="HX502" s="707"/>
      <c r="HY502" s="707"/>
      <c r="HZ502" s="707"/>
      <c r="IA502" s="707"/>
      <c r="IB502" s="707"/>
      <c r="IC502" s="707"/>
      <c r="ID502" s="707"/>
      <c r="IE502" s="707"/>
      <c r="IF502" s="707"/>
      <c r="IG502" s="707"/>
      <c r="IH502" s="707"/>
      <c r="II502" s="707"/>
      <c r="IJ502" s="707"/>
      <c r="IK502" s="707"/>
      <c r="IL502" s="707"/>
      <c r="IM502" s="707"/>
      <c r="IN502" s="707"/>
      <c r="IO502" s="707"/>
      <c r="IP502" s="707"/>
      <c r="IQ502" s="707"/>
      <c r="IR502" s="707"/>
      <c r="IS502" s="707"/>
      <c r="IT502" s="707"/>
      <c r="IU502" s="707"/>
      <c r="IV502" s="707"/>
      <c r="IW502" s="707"/>
    </row>
    <row r="503" customFormat="false" ht="12.75" hidden="false" customHeight="false" outlineLevel="1" collapsed="false">
      <c r="A503" s="367"/>
      <c r="B503" s="714"/>
      <c r="C503" s="714"/>
      <c r="D503" s="714"/>
      <c r="E503" s="713"/>
      <c r="F503" s="713"/>
      <c r="G503" s="713"/>
      <c r="H503" s="713"/>
      <c r="I503" s="713"/>
      <c r="J503" s="713"/>
      <c r="K503" s="713"/>
      <c r="L503" s="713"/>
      <c r="M503" s="713"/>
      <c r="N503" s="713"/>
      <c r="O503" s="713"/>
      <c r="P503" s="713"/>
      <c r="Q503" s="713"/>
      <c r="R503" s="713"/>
      <c r="S503" s="713"/>
      <c r="T503" s="713"/>
      <c r="U503" s="713"/>
      <c r="V503" s="713"/>
      <c r="W503" s="713"/>
      <c r="X503" s="713"/>
      <c r="Y503" s="713"/>
      <c r="Z503" s="713"/>
      <c r="AA503" s="707"/>
      <c r="AB503" s="707"/>
      <c r="AC503" s="707"/>
      <c r="AD503" s="707"/>
      <c r="AE503" s="707"/>
      <c r="AF503" s="707"/>
      <c r="AG503" s="707"/>
      <c r="AH503" s="707"/>
      <c r="AI503" s="707"/>
      <c r="AJ503" s="707"/>
      <c r="AK503" s="707"/>
      <c r="AL503" s="707"/>
      <c r="AM503" s="707"/>
      <c r="AN503" s="707"/>
      <c r="AO503" s="707"/>
      <c r="AP503" s="707"/>
      <c r="AQ503" s="707"/>
      <c r="AR503" s="707"/>
      <c r="AS503" s="707"/>
      <c r="AT503" s="707"/>
      <c r="AU503" s="707"/>
      <c r="AV503" s="707"/>
      <c r="AW503" s="707"/>
      <c r="AX503" s="707"/>
      <c r="AY503" s="707"/>
      <c r="AZ503" s="707"/>
      <c r="BA503" s="707"/>
      <c r="BB503" s="707"/>
      <c r="BC503" s="707"/>
      <c r="BD503" s="707"/>
      <c r="BE503" s="707"/>
      <c r="BF503" s="707"/>
      <c r="BG503" s="707"/>
      <c r="BH503" s="707"/>
      <c r="BI503" s="707"/>
      <c r="BJ503" s="707"/>
      <c r="BK503" s="707"/>
      <c r="BL503" s="707"/>
      <c r="BM503" s="707"/>
      <c r="BN503" s="707"/>
      <c r="BO503" s="707"/>
      <c r="BP503" s="707"/>
      <c r="BQ503" s="707"/>
      <c r="BR503" s="707"/>
      <c r="BS503" s="707"/>
      <c r="BT503" s="707"/>
      <c r="BU503" s="707"/>
      <c r="BV503" s="707"/>
      <c r="BW503" s="707"/>
      <c r="BX503" s="707"/>
      <c r="BY503" s="707"/>
      <c r="BZ503" s="707"/>
      <c r="CA503" s="707"/>
      <c r="CB503" s="707"/>
      <c r="CC503" s="707"/>
      <c r="CD503" s="707"/>
      <c r="CE503" s="707"/>
      <c r="CF503" s="707"/>
      <c r="CG503" s="707"/>
      <c r="CH503" s="707"/>
      <c r="CI503" s="707"/>
      <c r="CJ503" s="707"/>
      <c r="CK503" s="707"/>
      <c r="CL503" s="707"/>
      <c r="CM503" s="707"/>
      <c r="CN503" s="707"/>
      <c r="CO503" s="707"/>
      <c r="CP503" s="707"/>
      <c r="CQ503" s="707"/>
      <c r="CR503" s="707"/>
      <c r="CS503" s="707"/>
      <c r="CT503" s="707"/>
      <c r="CU503" s="707"/>
      <c r="CV503" s="707"/>
      <c r="CW503" s="707"/>
      <c r="CX503" s="707"/>
      <c r="CY503" s="707"/>
      <c r="CZ503" s="707"/>
      <c r="DA503" s="707"/>
      <c r="DB503" s="707"/>
      <c r="DC503" s="707"/>
      <c r="DD503" s="707"/>
      <c r="DE503" s="707"/>
      <c r="DF503" s="707"/>
      <c r="DG503" s="707"/>
      <c r="DH503" s="707"/>
      <c r="DI503" s="707"/>
      <c r="DJ503" s="707"/>
      <c r="DK503" s="707"/>
      <c r="DL503" s="707"/>
      <c r="DM503" s="707"/>
      <c r="DN503" s="707"/>
      <c r="DO503" s="707"/>
      <c r="DP503" s="707"/>
      <c r="DQ503" s="707"/>
      <c r="DR503" s="707"/>
      <c r="DS503" s="707"/>
      <c r="DT503" s="707"/>
      <c r="DU503" s="707"/>
      <c r="DV503" s="707"/>
      <c r="DW503" s="707"/>
      <c r="DX503" s="707"/>
      <c r="DY503" s="707"/>
      <c r="DZ503" s="707"/>
      <c r="EA503" s="707"/>
      <c r="EB503" s="707"/>
      <c r="EC503" s="707"/>
      <c r="ED503" s="707"/>
      <c r="EE503" s="707"/>
      <c r="EF503" s="707"/>
      <c r="EG503" s="707"/>
      <c r="EH503" s="707"/>
      <c r="EI503" s="707"/>
      <c r="EJ503" s="707"/>
      <c r="EK503" s="707"/>
      <c r="EL503" s="707"/>
      <c r="EM503" s="707"/>
      <c r="EN503" s="707"/>
      <c r="EO503" s="707"/>
      <c r="EP503" s="707"/>
      <c r="EQ503" s="707"/>
      <c r="ER503" s="707"/>
      <c r="ES503" s="707"/>
      <c r="ET503" s="707"/>
      <c r="EU503" s="707"/>
      <c r="EV503" s="707"/>
      <c r="EW503" s="707"/>
      <c r="EX503" s="707"/>
      <c r="EY503" s="707"/>
      <c r="EZ503" s="707"/>
      <c r="FA503" s="707"/>
      <c r="FB503" s="707"/>
      <c r="FC503" s="707"/>
      <c r="FD503" s="707"/>
      <c r="FE503" s="707"/>
      <c r="FF503" s="707"/>
      <c r="FG503" s="707"/>
      <c r="FH503" s="707"/>
      <c r="FI503" s="707"/>
      <c r="FJ503" s="707"/>
      <c r="FK503" s="707"/>
      <c r="FL503" s="707"/>
      <c r="FM503" s="707"/>
      <c r="FN503" s="707"/>
      <c r="FO503" s="707"/>
      <c r="FP503" s="707"/>
      <c r="FQ503" s="707"/>
      <c r="FR503" s="707"/>
      <c r="FS503" s="707"/>
      <c r="FT503" s="707"/>
      <c r="FU503" s="707"/>
      <c r="FV503" s="707"/>
      <c r="FW503" s="707"/>
      <c r="FX503" s="707"/>
      <c r="FY503" s="707"/>
      <c r="FZ503" s="707"/>
      <c r="GA503" s="707"/>
      <c r="GB503" s="707"/>
      <c r="GC503" s="707"/>
      <c r="GD503" s="707"/>
      <c r="GE503" s="707"/>
      <c r="GF503" s="707"/>
      <c r="GG503" s="707"/>
      <c r="GH503" s="707"/>
      <c r="GI503" s="707"/>
      <c r="GJ503" s="707"/>
      <c r="GK503" s="707"/>
      <c r="GL503" s="707"/>
      <c r="GM503" s="707"/>
      <c r="GN503" s="707"/>
      <c r="GO503" s="707"/>
      <c r="GP503" s="707"/>
      <c r="GQ503" s="707"/>
      <c r="GR503" s="707"/>
      <c r="GS503" s="707"/>
      <c r="GT503" s="707"/>
      <c r="GU503" s="707"/>
      <c r="GV503" s="707"/>
      <c r="GW503" s="707"/>
      <c r="GX503" s="707"/>
      <c r="GY503" s="707"/>
      <c r="GZ503" s="707"/>
      <c r="HA503" s="707"/>
      <c r="HB503" s="707"/>
      <c r="HC503" s="707"/>
      <c r="HD503" s="707"/>
      <c r="HE503" s="707"/>
      <c r="HF503" s="707"/>
      <c r="HG503" s="707"/>
      <c r="HH503" s="707"/>
      <c r="HI503" s="707"/>
      <c r="HJ503" s="707"/>
      <c r="HK503" s="707"/>
      <c r="HL503" s="707"/>
      <c r="HM503" s="707"/>
      <c r="HN503" s="707"/>
      <c r="HO503" s="707"/>
      <c r="HP503" s="707"/>
      <c r="HQ503" s="707"/>
      <c r="HR503" s="707"/>
      <c r="HS503" s="707"/>
      <c r="HT503" s="707"/>
      <c r="HU503" s="707"/>
      <c r="HV503" s="707"/>
      <c r="HW503" s="707"/>
      <c r="HX503" s="707"/>
      <c r="HY503" s="707"/>
      <c r="HZ503" s="707"/>
      <c r="IA503" s="707"/>
      <c r="IB503" s="707"/>
      <c r="IC503" s="707"/>
      <c r="ID503" s="707"/>
      <c r="IE503" s="707"/>
      <c r="IF503" s="707"/>
      <c r="IG503" s="707"/>
      <c r="IH503" s="707"/>
      <c r="II503" s="707"/>
      <c r="IJ503" s="707"/>
      <c r="IK503" s="707"/>
      <c r="IL503" s="707"/>
      <c r="IM503" s="707"/>
      <c r="IN503" s="707"/>
      <c r="IO503" s="707"/>
      <c r="IP503" s="707"/>
      <c r="IQ503" s="707"/>
      <c r="IR503" s="707"/>
      <c r="IS503" s="707"/>
      <c r="IT503" s="707"/>
      <c r="IU503" s="707"/>
      <c r="IV503" s="707"/>
      <c r="IW503" s="707"/>
    </row>
    <row r="504" customFormat="false" ht="12.75" hidden="false" customHeight="false" outlineLevel="1" collapsed="false">
      <c r="A504" s="367"/>
      <c r="B504" s="723"/>
      <c r="C504" s="723"/>
      <c r="D504" s="723"/>
      <c r="E504" s="713"/>
      <c r="F504" s="713"/>
      <c r="G504" s="713"/>
      <c r="H504" s="713"/>
      <c r="I504" s="713"/>
      <c r="J504" s="713"/>
      <c r="K504" s="713"/>
      <c r="L504" s="713"/>
      <c r="M504" s="713"/>
      <c r="N504" s="713"/>
      <c r="O504" s="713"/>
      <c r="P504" s="713"/>
      <c r="Q504" s="713"/>
      <c r="R504" s="713"/>
      <c r="S504" s="713"/>
      <c r="T504" s="713"/>
      <c r="U504" s="713"/>
      <c r="V504" s="713"/>
      <c r="W504" s="713"/>
      <c r="X504" s="713"/>
      <c r="Y504" s="713"/>
      <c r="Z504" s="713"/>
      <c r="AA504" s="707"/>
      <c r="AB504" s="707"/>
      <c r="AC504" s="707"/>
      <c r="AD504" s="707"/>
      <c r="AE504" s="707"/>
      <c r="AF504" s="707"/>
      <c r="AG504" s="707"/>
      <c r="AH504" s="707"/>
      <c r="AI504" s="707"/>
      <c r="AJ504" s="707"/>
      <c r="AK504" s="707"/>
      <c r="AL504" s="707"/>
      <c r="AM504" s="707"/>
      <c r="AN504" s="707"/>
      <c r="AO504" s="707"/>
      <c r="AP504" s="707"/>
      <c r="AQ504" s="707"/>
      <c r="AR504" s="707"/>
      <c r="AS504" s="707"/>
      <c r="AT504" s="707"/>
      <c r="AU504" s="707"/>
      <c r="AV504" s="707"/>
      <c r="AW504" s="707"/>
      <c r="AX504" s="707"/>
      <c r="AY504" s="707"/>
      <c r="AZ504" s="707"/>
      <c r="BA504" s="707"/>
      <c r="BB504" s="707"/>
      <c r="BC504" s="707"/>
      <c r="BD504" s="707"/>
      <c r="BE504" s="707"/>
      <c r="BF504" s="707"/>
      <c r="BG504" s="707"/>
      <c r="BH504" s="707"/>
      <c r="BI504" s="707"/>
      <c r="BJ504" s="707"/>
      <c r="BK504" s="707"/>
      <c r="BL504" s="707"/>
      <c r="BM504" s="707"/>
      <c r="BN504" s="707"/>
      <c r="BO504" s="707"/>
      <c r="BP504" s="707"/>
      <c r="BQ504" s="707"/>
      <c r="BR504" s="707"/>
      <c r="BS504" s="707"/>
      <c r="BT504" s="707"/>
      <c r="BU504" s="707"/>
      <c r="BV504" s="707"/>
      <c r="BW504" s="707"/>
      <c r="BX504" s="707"/>
      <c r="BY504" s="707"/>
      <c r="BZ504" s="707"/>
      <c r="CA504" s="707"/>
      <c r="CB504" s="707"/>
      <c r="CC504" s="707"/>
      <c r="CD504" s="707"/>
      <c r="CE504" s="707"/>
      <c r="CF504" s="707"/>
      <c r="CG504" s="707"/>
      <c r="CH504" s="707"/>
      <c r="CI504" s="707"/>
      <c r="CJ504" s="707"/>
      <c r="CK504" s="707"/>
      <c r="CL504" s="707"/>
      <c r="CM504" s="707"/>
      <c r="CN504" s="707"/>
      <c r="CO504" s="707"/>
      <c r="CP504" s="707"/>
      <c r="CQ504" s="707"/>
      <c r="CR504" s="707"/>
      <c r="CS504" s="707"/>
      <c r="CT504" s="707"/>
      <c r="CU504" s="707"/>
      <c r="CV504" s="707"/>
      <c r="CW504" s="707"/>
      <c r="CX504" s="707"/>
      <c r="CY504" s="707"/>
      <c r="CZ504" s="707"/>
      <c r="DA504" s="707"/>
      <c r="DB504" s="707"/>
      <c r="DC504" s="707"/>
      <c r="DD504" s="707"/>
      <c r="DE504" s="707"/>
      <c r="DF504" s="707"/>
      <c r="DG504" s="707"/>
      <c r="DH504" s="707"/>
      <c r="DI504" s="707"/>
      <c r="DJ504" s="707"/>
      <c r="DK504" s="707"/>
      <c r="DL504" s="707"/>
      <c r="DM504" s="707"/>
      <c r="DN504" s="707"/>
      <c r="DO504" s="707"/>
      <c r="DP504" s="707"/>
      <c r="DQ504" s="707"/>
      <c r="DR504" s="707"/>
      <c r="DS504" s="707"/>
      <c r="DT504" s="707"/>
      <c r="DU504" s="707"/>
      <c r="DV504" s="707"/>
      <c r="DW504" s="707"/>
      <c r="DX504" s="707"/>
      <c r="DY504" s="707"/>
      <c r="DZ504" s="707"/>
      <c r="EA504" s="707"/>
      <c r="EB504" s="707"/>
      <c r="EC504" s="707"/>
      <c r="ED504" s="707"/>
      <c r="EE504" s="707"/>
      <c r="EF504" s="707"/>
      <c r="EG504" s="707"/>
      <c r="EH504" s="707"/>
      <c r="EI504" s="707"/>
      <c r="EJ504" s="707"/>
      <c r="EK504" s="707"/>
      <c r="EL504" s="707"/>
      <c r="EM504" s="707"/>
      <c r="EN504" s="707"/>
      <c r="EO504" s="707"/>
      <c r="EP504" s="707"/>
      <c r="EQ504" s="707"/>
      <c r="ER504" s="707"/>
      <c r="ES504" s="707"/>
      <c r="ET504" s="707"/>
      <c r="EU504" s="707"/>
      <c r="EV504" s="707"/>
      <c r="EW504" s="707"/>
      <c r="EX504" s="707"/>
      <c r="EY504" s="707"/>
      <c r="EZ504" s="707"/>
      <c r="FA504" s="707"/>
      <c r="FB504" s="707"/>
      <c r="FC504" s="707"/>
      <c r="FD504" s="707"/>
      <c r="FE504" s="707"/>
      <c r="FF504" s="707"/>
      <c r="FG504" s="707"/>
      <c r="FH504" s="707"/>
      <c r="FI504" s="707"/>
      <c r="FJ504" s="707"/>
      <c r="FK504" s="707"/>
      <c r="FL504" s="707"/>
      <c r="FM504" s="707"/>
      <c r="FN504" s="707"/>
      <c r="FO504" s="707"/>
      <c r="FP504" s="707"/>
      <c r="FQ504" s="707"/>
      <c r="FR504" s="707"/>
      <c r="FS504" s="707"/>
      <c r="FT504" s="707"/>
      <c r="FU504" s="707"/>
      <c r="FV504" s="707"/>
      <c r="FW504" s="707"/>
      <c r="FX504" s="707"/>
      <c r="FY504" s="707"/>
      <c r="FZ504" s="707"/>
      <c r="GA504" s="707"/>
      <c r="GB504" s="707"/>
      <c r="GC504" s="707"/>
      <c r="GD504" s="707"/>
      <c r="GE504" s="707"/>
      <c r="GF504" s="707"/>
      <c r="GG504" s="707"/>
      <c r="GH504" s="707"/>
      <c r="GI504" s="707"/>
      <c r="GJ504" s="707"/>
      <c r="GK504" s="707"/>
      <c r="GL504" s="707"/>
      <c r="GM504" s="707"/>
      <c r="GN504" s="707"/>
      <c r="GO504" s="707"/>
      <c r="GP504" s="707"/>
      <c r="GQ504" s="707"/>
      <c r="GR504" s="707"/>
      <c r="GS504" s="707"/>
      <c r="GT504" s="707"/>
      <c r="GU504" s="707"/>
      <c r="GV504" s="707"/>
      <c r="GW504" s="707"/>
      <c r="GX504" s="707"/>
      <c r="GY504" s="707"/>
      <c r="GZ504" s="707"/>
      <c r="HA504" s="707"/>
      <c r="HB504" s="707"/>
      <c r="HC504" s="707"/>
      <c r="HD504" s="707"/>
      <c r="HE504" s="707"/>
      <c r="HF504" s="707"/>
      <c r="HG504" s="707"/>
      <c r="HH504" s="707"/>
      <c r="HI504" s="707"/>
      <c r="HJ504" s="707"/>
      <c r="HK504" s="707"/>
      <c r="HL504" s="707"/>
      <c r="HM504" s="707"/>
      <c r="HN504" s="707"/>
      <c r="HO504" s="707"/>
      <c r="HP504" s="707"/>
      <c r="HQ504" s="707"/>
      <c r="HR504" s="707"/>
      <c r="HS504" s="707"/>
      <c r="HT504" s="707"/>
      <c r="HU504" s="707"/>
      <c r="HV504" s="707"/>
      <c r="HW504" s="707"/>
      <c r="HX504" s="707"/>
      <c r="HY504" s="707"/>
      <c r="HZ504" s="707"/>
      <c r="IA504" s="707"/>
      <c r="IB504" s="707"/>
      <c r="IC504" s="707"/>
      <c r="ID504" s="707"/>
      <c r="IE504" s="707"/>
      <c r="IF504" s="707"/>
      <c r="IG504" s="707"/>
      <c r="IH504" s="707"/>
      <c r="II504" s="707"/>
      <c r="IJ504" s="707"/>
      <c r="IK504" s="707"/>
      <c r="IL504" s="707"/>
      <c r="IM504" s="707"/>
      <c r="IN504" s="707"/>
      <c r="IO504" s="707"/>
      <c r="IP504" s="707"/>
      <c r="IQ504" s="707"/>
      <c r="IR504" s="707"/>
      <c r="IS504" s="707"/>
      <c r="IT504" s="707"/>
      <c r="IU504" s="707"/>
      <c r="IV504" s="707"/>
      <c r="IW504" s="707"/>
    </row>
    <row r="505" customFormat="false" ht="12.75" hidden="false" customHeight="false" outlineLevel="1" collapsed="false">
      <c r="A505" s="367"/>
      <c r="B505" s="723"/>
      <c r="C505" s="723"/>
      <c r="D505" s="723"/>
      <c r="E505" s="713"/>
      <c r="F505" s="713"/>
      <c r="G505" s="713"/>
      <c r="H505" s="713"/>
      <c r="I505" s="713"/>
      <c r="J505" s="713"/>
      <c r="K505" s="713"/>
      <c r="L505" s="713"/>
      <c r="M505" s="713"/>
      <c r="N505" s="713"/>
      <c r="O505" s="713"/>
      <c r="P505" s="713"/>
      <c r="Q505" s="713"/>
      <c r="R505" s="713"/>
      <c r="S505" s="713"/>
      <c r="T505" s="713"/>
      <c r="U505" s="713"/>
      <c r="V505" s="713"/>
      <c r="W505" s="713"/>
      <c r="X505" s="713"/>
      <c r="Y505" s="713"/>
      <c r="Z505" s="713"/>
      <c r="AA505" s="707"/>
      <c r="AB505" s="707"/>
      <c r="AC505" s="707"/>
      <c r="AD505" s="707"/>
      <c r="AE505" s="707"/>
      <c r="AF505" s="707"/>
      <c r="AG505" s="707"/>
      <c r="AH505" s="707"/>
      <c r="AI505" s="707"/>
      <c r="AJ505" s="707"/>
      <c r="AK505" s="707"/>
      <c r="AL505" s="707"/>
      <c r="AM505" s="707"/>
      <c r="AN505" s="707"/>
      <c r="AO505" s="707"/>
      <c r="AP505" s="707"/>
      <c r="AQ505" s="707"/>
      <c r="AR505" s="707"/>
      <c r="AS505" s="707"/>
      <c r="AT505" s="707"/>
      <c r="AU505" s="707"/>
      <c r="AV505" s="707"/>
      <c r="AW505" s="707"/>
      <c r="AX505" s="707"/>
      <c r="AY505" s="707"/>
      <c r="AZ505" s="707"/>
      <c r="BA505" s="707"/>
      <c r="BB505" s="707"/>
      <c r="BC505" s="707"/>
      <c r="BD505" s="707"/>
      <c r="BE505" s="707"/>
      <c r="BF505" s="707"/>
      <c r="BG505" s="707"/>
      <c r="BH505" s="707"/>
      <c r="BI505" s="707"/>
      <c r="BJ505" s="707"/>
      <c r="BK505" s="707"/>
      <c r="BL505" s="707"/>
      <c r="BM505" s="707"/>
      <c r="BN505" s="707"/>
      <c r="BO505" s="707"/>
      <c r="BP505" s="707"/>
      <c r="BQ505" s="707"/>
      <c r="BR505" s="707"/>
      <c r="BS505" s="707"/>
      <c r="BT505" s="707"/>
      <c r="BU505" s="707"/>
      <c r="BV505" s="707"/>
      <c r="BW505" s="707"/>
      <c r="BX505" s="707"/>
      <c r="BY505" s="707"/>
      <c r="BZ505" s="707"/>
      <c r="CA505" s="707"/>
      <c r="CB505" s="707"/>
      <c r="CC505" s="707"/>
      <c r="CD505" s="707"/>
      <c r="CE505" s="707"/>
      <c r="CF505" s="707"/>
      <c r="CG505" s="707"/>
      <c r="CH505" s="707"/>
      <c r="CI505" s="707"/>
      <c r="CJ505" s="707"/>
      <c r="CK505" s="707"/>
      <c r="CL505" s="707"/>
      <c r="CM505" s="707"/>
      <c r="CN505" s="707"/>
      <c r="CO505" s="707"/>
      <c r="CP505" s="707"/>
      <c r="CQ505" s="707"/>
      <c r="CR505" s="707"/>
      <c r="CS505" s="707"/>
      <c r="CT505" s="707"/>
      <c r="CU505" s="707"/>
      <c r="CV505" s="707"/>
      <c r="CW505" s="707"/>
      <c r="CX505" s="707"/>
      <c r="CY505" s="707"/>
      <c r="CZ505" s="707"/>
      <c r="DA505" s="707"/>
      <c r="DB505" s="707"/>
      <c r="DC505" s="707"/>
      <c r="DD505" s="707"/>
      <c r="DE505" s="707"/>
      <c r="DF505" s="707"/>
      <c r="DG505" s="707"/>
      <c r="DH505" s="707"/>
      <c r="DI505" s="707"/>
      <c r="DJ505" s="707"/>
      <c r="DK505" s="707"/>
      <c r="DL505" s="707"/>
      <c r="DM505" s="707"/>
      <c r="DN505" s="707"/>
      <c r="DO505" s="707"/>
      <c r="DP505" s="707"/>
      <c r="DQ505" s="707"/>
      <c r="DR505" s="707"/>
      <c r="DS505" s="707"/>
      <c r="DT505" s="707"/>
      <c r="DU505" s="707"/>
      <c r="DV505" s="707"/>
      <c r="DW505" s="707"/>
      <c r="DX505" s="707"/>
      <c r="DY505" s="707"/>
      <c r="DZ505" s="707"/>
      <c r="EA505" s="707"/>
      <c r="EB505" s="707"/>
      <c r="EC505" s="707"/>
      <c r="ED505" s="707"/>
      <c r="EE505" s="707"/>
      <c r="EF505" s="707"/>
      <c r="EG505" s="707"/>
      <c r="EH505" s="707"/>
      <c r="EI505" s="707"/>
      <c r="EJ505" s="707"/>
      <c r="EK505" s="707"/>
      <c r="EL505" s="707"/>
      <c r="EM505" s="707"/>
      <c r="EN505" s="707"/>
      <c r="EO505" s="707"/>
      <c r="EP505" s="707"/>
      <c r="EQ505" s="707"/>
      <c r="ER505" s="707"/>
      <c r="ES505" s="707"/>
      <c r="ET505" s="707"/>
      <c r="EU505" s="707"/>
      <c r="EV505" s="707"/>
      <c r="EW505" s="707"/>
      <c r="EX505" s="707"/>
      <c r="EY505" s="707"/>
      <c r="EZ505" s="707"/>
      <c r="FA505" s="707"/>
      <c r="FB505" s="707"/>
      <c r="FC505" s="707"/>
      <c r="FD505" s="707"/>
      <c r="FE505" s="707"/>
      <c r="FF505" s="707"/>
      <c r="FG505" s="707"/>
      <c r="FH505" s="707"/>
      <c r="FI505" s="707"/>
      <c r="FJ505" s="707"/>
      <c r="FK505" s="707"/>
      <c r="FL505" s="707"/>
      <c r="FM505" s="707"/>
      <c r="FN505" s="707"/>
      <c r="FO505" s="707"/>
      <c r="FP505" s="707"/>
      <c r="FQ505" s="707"/>
      <c r="FR505" s="707"/>
      <c r="FS505" s="707"/>
      <c r="FT505" s="707"/>
      <c r="FU505" s="707"/>
      <c r="FV505" s="707"/>
      <c r="FW505" s="707"/>
      <c r="FX505" s="707"/>
      <c r="FY505" s="707"/>
      <c r="FZ505" s="707"/>
      <c r="GA505" s="707"/>
      <c r="GB505" s="707"/>
      <c r="GC505" s="707"/>
      <c r="GD505" s="707"/>
      <c r="GE505" s="707"/>
      <c r="GF505" s="707"/>
      <c r="GG505" s="707"/>
      <c r="GH505" s="707"/>
      <c r="GI505" s="707"/>
      <c r="GJ505" s="707"/>
      <c r="GK505" s="707"/>
      <c r="GL505" s="707"/>
      <c r="GM505" s="707"/>
      <c r="GN505" s="707"/>
      <c r="GO505" s="707"/>
      <c r="GP505" s="707"/>
      <c r="GQ505" s="707"/>
      <c r="GR505" s="707"/>
      <c r="GS505" s="707"/>
      <c r="GT505" s="707"/>
      <c r="GU505" s="707"/>
      <c r="GV505" s="707"/>
      <c r="GW505" s="707"/>
      <c r="GX505" s="707"/>
      <c r="GY505" s="707"/>
      <c r="GZ505" s="707"/>
      <c r="HA505" s="707"/>
      <c r="HB505" s="707"/>
      <c r="HC505" s="707"/>
      <c r="HD505" s="707"/>
      <c r="HE505" s="707"/>
      <c r="HF505" s="707"/>
      <c r="HG505" s="707"/>
      <c r="HH505" s="707"/>
      <c r="HI505" s="707"/>
      <c r="HJ505" s="707"/>
      <c r="HK505" s="707"/>
      <c r="HL505" s="707"/>
      <c r="HM505" s="707"/>
      <c r="HN505" s="707"/>
      <c r="HO505" s="707"/>
      <c r="HP505" s="707"/>
      <c r="HQ505" s="707"/>
      <c r="HR505" s="707"/>
      <c r="HS505" s="707"/>
      <c r="HT505" s="707"/>
      <c r="HU505" s="707"/>
      <c r="HV505" s="707"/>
      <c r="HW505" s="707"/>
      <c r="HX505" s="707"/>
      <c r="HY505" s="707"/>
      <c r="HZ505" s="707"/>
      <c r="IA505" s="707"/>
      <c r="IB505" s="707"/>
      <c r="IC505" s="707"/>
      <c r="ID505" s="707"/>
      <c r="IE505" s="707"/>
      <c r="IF505" s="707"/>
      <c r="IG505" s="707"/>
      <c r="IH505" s="707"/>
      <c r="II505" s="707"/>
      <c r="IJ505" s="707"/>
      <c r="IK505" s="707"/>
      <c r="IL505" s="707"/>
      <c r="IM505" s="707"/>
      <c r="IN505" s="707"/>
      <c r="IO505" s="707"/>
      <c r="IP505" s="707"/>
      <c r="IQ505" s="707"/>
      <c r="IR505" s="707"/>
      <c r="IS505" s="707"/>
      <c r="IT505" s="707"/>
      <c r="IU505" s="707"/>
      <c r="IV505" s="707"/>
      <c r="IW505" s="707"/>
    </row>
    <row r="506" customFormat="false" ht="12.75" hidden="false" customHeight="false" outlineLevel="1" collapsed="false">
      <c r="A506" s="367"/>
      <c r="B506" s="723"/>
      <c r="C506" s="723"/>
      <c r="D506" s="723"/>
      <c r="E506" s="713"/>
      <c r="F506" s="713"/>
      <c r="G506" s="713"/>
      <c r="H506" s="713"/>
      <c r="I506" s="713"/>
      <c r="J506" s="713"/>
      <c r="K506" s="713"/>
      <c r="L506" s="713"/>
      <c r="M506" s="713"/>
      <c r="N506" s="713"/>
      <c r="O506" s="713"/>
      <c r="P506" s="713"/>
      <c r="Q506" s="713"/>
      <c r="R506" s="713"/>
      <c r="S506" s="713"/>
      <c r="T506" s="713"/>
      <c r="U506" s="713"/>
      <c r="V506" s="713"/>
      <c r="W506" s="713"/>
      <c r="X506" s="713"/>
      <c r="Y506" s="713"/>
      <c r="Z506" s="713"/>
      <c r="AA506" s="707"/>
      <c r="AB506" s="707"/>
      <c r="AC506" s="707"/>
      <c r="AD506" s="707"/>
      <c r="AE506" s="707"/>
      <c r="AF506" s="707"/>
      <c r="AG506" s="707"/>
      <c r="AH506" s="707"/>
      <c r="AI506" s="707"/>
      <c r="AJ506" s="707"/>
      <c r="AK506" s="707"/>
      <c r="AL506" s="707"/>
      <c r="AM506" s="707"/>
      <c r="AN506" s="707"/>
      <c r="AO506" s="707"/>
      <c r="AP506" s="707"/>
      <c r="AQ506" s="707"/>
      <c r="AR506" s="707"/>
      <c r="AS506" s="707"/>
      <c r="AT506" s="707"/>
      <c r="AU506" s="707"/>
      <c r="AV506" s="707"/>
      <c r="AW506" s="707"/>
      <c r="AX506" s="707"/>
      <c r="AY506" s="707"/>
      <c r="AZ506" s="707"/>
      <c r="BA506" s="707"/>
      <c r="BB506" s="707"/>
      <c r="BC506" s="707"/>
      <c r="BD506" s="707"/>
      <c r="BE506" s="707"/>
      <c r="BF506" s="707"/>
      <c r="BG506" s="707"/>
      <c r="BH506" s="707"/>
      <c r="BI506" s="707"/>
      <c r="BJ506" s="707"/>
      <c r="BK506" s="707"/>
      <c r="BL506" s="707"/>
      <c r="BM506" s="707"/>
      <c r="BN506" s="707"/>
      <c r="BO506" s="707"/>
      <c r="BP506" s="707"/>
      <c r="BQ506" s="707"/>
      <c r="BR506" s="707"/>
      <c r="BS506" s="707"/>
      <c r="BT506" s="707"/>
      <c r="BU506" s="707"/>
      <c r="BV506" s="707"/>
      <c r="BW506" s="707"/>
      <c r="BX506" s="707"/>
      <c r="BY506" s="707"/>
      <c r="BZ506" s="707"/>
      <c r="CA506" s="707"/>
      <c r="CB506" s="707"/>
      <c r="CC506" s="707"/>
      <c r="CD506" s="707"/>
      <c r="CE506" s="707"/>
      <c r="CF506" s="707"/>
      <c r="CG506" s="707"/>
      <c r="CH506" s="707"/>
      <c r="CI506" s="707"/>
      <c r="CJ506" s="707"/>
      <c r="CK506" s="707"/>
      <c r="CL506" s="707"/>
      <c r="CM506" s="707"/>
      <c r="CN506" s="707"/>
      <c r="CO506" s="707"/>
      <c r="CP506" s="707"/>
      <c r="CQ506" s="707"/>
      <c r="CR506" s="707"/>
      <c r="CS506" s="707"/>
      <c r="CT506" s="707"/>
      <c r="CU506" s="707"/>
      <c r="CV506" s="707"/>
      <c r="CW506" s="707"/>
      <c r="CX506" s="707"/>
      <c r="CY506" s="707"/>
      <c r="CZ506" s="707"/>
      <c r="DA506" s="707"/>
      <c r="DB506" s="707"/>
      <c r="DC506" s="707"/>
      <c r="DD506" s="707"/>
      <c r="DE506" s="707"/>
      <c r="DF506" s="707"/>
      <c r="DG506" s="707"/>
      <c r="DH506" s="707"/>
      <c r="DI506" s="707"/>
      <c r="DJ506" s="707"/>
      <c r="DK506" s="707"/>
      <c r="DL506" s="707"/>
      <c r="DM506" s="707"/>
      <c r="DN506" s="707"/>
      <c r="DO506" s="707"/>
      <c r="DP506" s="707"/>
      <c r="DQ506" s="707"/>
      <c r="DR506" s="707"/>
      <c r="DS506" s="707"/>
      <c r="DT506" s="707"/>
      <c r="DU506" s="707"/>
      <c r="DV506" s="707"/>
      <c r="DW506" s="707"/>
      <c r="DX506" s="707"/>
      <c r="DY506" s="707"/>
      <c r="DZ506" s="707"/>
      <c r="EA506" s="707"/>
      <c r="EB506" s="707"/>
      <c r="EC506" s="707"/>
      <c r="ED506" s="707"/>
      <c r="EE506" s="707"/>
      <c r="EF506" s="707"/>
      <c r="EG506" s="707"/>
      <c r="EH506" s="707"/>
      <c r="EI506" s="707"/>
      <c r="EJ506" s="707"/>
      <c r="EK506" s="707"/>
      <c r="EL506" s="707"/>
      <c r="EM506" s="707"/>
      <c r="EN506" s="707"/>
      <c r="EO506" s="707"/>
      <c r="EP506" s="707"/>
      <c r="EQ506" s="707"/>
      <c r="ER506" s="707"/>
      <c r="ES506" s="707"/>
      <c r="ET506" s="707"/>
      <c r="EU506" s="707"/>
      <c r="EV506" s="707"/>
      <c r="EW506" s="707"/>
      <c r="EX506" s="707"/>
      <c r="EY506" s="707"/>
      <c r="EZ506" s="707"/>
      <c r="FA506" s="707"/>
      <c r="FB506" s="707"/>
      <c r="FC506" s="707"/>
      <c r="FD506" s="707"/>
      <c r="FE506" s="707"/>
      <c r="FF506" s="707"/>
      <c r="FG506" s="707"/>
      <c r="FH506" s="707"/>
      <c r="FI506" s="707"/>
      <c r="FJ506" s="707"/>
      <c r="FK506" s="707"/>
      <c r="FL506" s="707"/>
      <c r="FM506" s="707"/>
      <c r="FN506" s="707"/>
      <c r="FO506" s="707"/>
      <c r="FP506" s="707"/>
      <c r="FQ506" s="707"/>
      <c r="FR506" s="707"/>
      <c r="FS506" s="707"/>
      <c r="FT506" s="707"/>
      <c r="FU506" s="707"/>
      <c r="FV506" s="707"/>
      <c r="FW506" s="707"/>
      <c r="FX506" s="707"/>
      <c r="FY506" s="707"/>
      <c r="FZ506" s="707"/>
      <c r="GA506" s="707"/>
      <c r="GB506" s="707"/>
      <c r="GC506" s="707"/>
      <c r="GD506" s="707"/>
      <c r="GE506" s="707"/>
      <c r="GF506" s="707"/>
      <c r="GG506" s="707"/>
      <c r="GH506" s="707"/>
      <c r="GI506" s="707"/>
      <c r="GJ506" s="707"/>
      <c r="GK506" s="707"/>
      <c r="GL506" s="707"/>
      <c r="GM506" s="707"/>
      <c r="GN506" s="707"/>
      <c r="GO506" s="707"/>
      <c r="GP506" s="707"/>
      <c r="GQ506" s="707"/>
      <c r="GR506" s="707"/>
      <c r="GS506" s="707"/>
      <c r="GT506" s="707"/>
      <c r="GU506" s="707"/>
      <c r="GV506" s="707"/>
      <c r="GW506" s="707"/>
      <c r="GX506" s="707"/>
      <c r="GY506" s="707"/>
      <c r="GZ506" s="707"/>
      <c r="HA506" s="707"/>
      <c r="HB506" s="707"/>
      <c r="HC506" s="707"/>
      <c r="HD506" s="707"/>
      <c r="HE506" s="707"/>
      <c r="HF506" s="707"/>
      <c r="HG506" s="707"/>
      <c r="HH506" s="707"/>
      <c r="HI506" s="707"/>
      <c r="HJ506" s="707"/>
      <c r="HK506" s="707"/>
      <c r="HL506" s="707"/>
      <c r="HM506" s="707"/>
      <c r="HN506" s="707"/>
      <c r="HO506" s="707"/>
      <c r="HP506" s="707"/>
      <c r="HQ506" s="707"/>
      <c r="HR506" s="707"/>
      <c r="HS506" s="707"/>
      <c r="HT506" s="707"/>
      <c r="HU506" s="707"/>
      <c r="HV506" s="707"/>
      <c r="HW506" s="707"/>
      <c r="HX506" s="707"/>
      <c r="HY506" s="707"/>
      <c r="HZ506" s="707"/>
      <c r="IA506" s="707"/>
      <c r="IB506" s="707"/>
      <c r="IC506" s="707"/>
      <c r="ID506" s="707"/>
      <c r="IE506" s="707"/>
      <c r="IF506" s="707"/>
      <c r="IG506" s="707"/>
      <c r="IH506" s="707"/>
      <c r="II506" s="707"/>
      <c r="IJ506" s="707"/>
      <c r="IK506" s="707"/>
      <c r="IL506" s="707"/>
      <c r="IM506" s="707"/>
      <c r="IN506" s="707"/>
      <c r="IO506" s="707"/>
      <c r="IP506" s="707"/>
      <c r="IQ506" s="707"/>
      <c r="IR506" s="707"/>
      <c r="IS506" s="707"/>
      <c r="IT506" s="707"/>
      <c r="IU506" s="707"/>
      <c r="IV506" s="707"/>
      <c r="IW506" s="707"/>
    </row>
    <row r="507" customFormat="false" ht="12.75" hidden="false" customHeight="false" outlineLevel="1" collapsed="false">
      <c r="A507" s="388"/>
      <c r="B507" s="707"/>
      <c r="C507" s="707"/>
      <c r="D507" s="707"/>
      <c r="E507" s="713"/>
      <c r="F507" s="713"/>
      <c r="G507" s="713"/>
      <c r="H507" s="713"/>
      <c r="I507" s="713"/>
      <c r="J507" s="713"/>
      <c r="K507" s="713"/>
      <c r="L507" s="713"/>
      <c r="M507" s="713"/>
      <c r="N507" s="713"/>
      <c r="O507" s="713"/>
      <c r="P507" s="713"/>
      <c r="Q507" s="713"/>
      <c r="R507" s="713"/>
      <c r="S507" s="713"/>
      <c r="T507" s="713"/>
      <c r="U507" s="713"/>
      <c r="V507" s="713"/>
      <c r="W507" s="713"/>
      <c r="X507" s="713"/>
      <c r="Y507" s="713"/>
      <c r="Z507" s="713"/>
      <c r="AA507" s="707"/>
      <c r="AB507" s="707"/>
      <c r="AC507" s="707"/>
      <c r="AD507" s="707"/>
      <c r="AE507" s="707"/>
      <c r="AF507" s="707"/>
      <c r="AG507" s="707"/>
      <c r="AH507" s="707"/>
      <c r="AI507" s="707"/>
      <c r="AJ507" s="707"/>
      <c r="AK507" s="707"/>
      <c r="AL507" s="707"/>
      <c r="AM507" s="707"/>
      <c r="AN507" s="707"/>
      <c r="AO507" s="707"/>
      <c r="AP507" s="707"/>
      <c r="AQ507" s="707"/>
      <c r="AR507" s="707"/>
      <c r="AS507" s="707"/>
      <c r="AT507" s="707"/>
      <c r="AU507" s="707"/>
      <c r="AV507" s="707"/>
      <c r="AW507" s="707"/>
      <c r="AX507" s="707"/>
      <c r="AY507" s="707"/>
      <c r="AZ507" s="707"/>
      <c r="BA507" s="707"/>
      <c r="BB507" s="707"/>
      <c r="BC507" s="707"/>
      <c r="BD507" s="707"/>
      <c r="BE507" s="707"/>
      <c r="BF507" s="707"/>
      <c r="BG507" s="707"/>
      <c r="BH507" s="707"/>
      <c r="BI507" s="707"/>
      <c r="BJ507" s="707"/>
      <c r="BK507" s="707"/>
      <c r="BL507" s="707"/>
      <c r="BM507" s="707"/>
      <c r="BN507" s="707"/>
      <c r="BO507" s="707"/>
      <c r="BP507" s="707"/>
      <c r="BQ507" s="707"/>
      <c r="BR507" s="707"/>
      <c r="BS507" s="707"/>
      <c r="BT507" s="707"/>
      <c r="BU507" s="707"/>
      <c r="BV507" s="707"/>
      <c r="BW507" s="707"/>
      <c r="BX507" s="707"/>
      <c r="BY507" s="707"/>
      <c r="BZ507" s="707"/>
      <c r="CA507" s="707"/>
      <c r="CB507" s="707"/>
      <c r="CC507" s="707"/>
      <c r="CD507" s="707"/>
      <c r="CE507" s="707"/>
      <c r="CF507" s="707"/>
      <c r="CG507" s="707"/>
      <c r="CH507" s="707"/>
      <c r="CI507" s="707"/>
      <c r="CJ507" s="707"/>
      <c r="CK507" s="707"/>
      <c r="CL507" s="707"/>
      <c r="CM507" s="707"/>
      <c r="CN507" s="707"/>
      <c r="CO507" s="707"/>
      <c r="CP507" s="707"/>
      <c r="CQ507" s="707"/>
      <c r="CR507" s="707"/>
      <c r="CS507" s="707"/>
      <c r="CT507" s="707"/>
      <c r="CU507" s="707"/>
      <c r="CV507" s="707"/>
      <c r="CW507" s="707"/>
      <c r="CX507" s="707"/>
      <c r="CY507" s="707"/>
      <c r="CZ507" s="707"/>
      <c r="DA507" s="707"/>
      <c r="DB507" s="707"/>
      <c r="DC507" s="707"/>
      <c r="DD507" s="707"/>
      <c r="DE507" s="707"/>
      <c r="DF507" s="707"/>
      <c r="DG507" s="707"/>
      <c r="DH507" s="707"/>
      <c r="DI507" s="707"/>
      <c r="DJ507" s="707"/>
      <c r="DK507" s="707"/>
      <c r="DL507" s="707"/>
      <c r="DM507" s="707"/>
      <c r="DN507" s="707"/>
      <c r="DO507" s="707"/>
      <c r="DP507" s="707"/>
      <c r="DQ507" s="707"/>
      <c r="DR507" s="707"/>
      <c r="DS507" s="707"/>
      <c r="DT507" s="707"/>
      <c r="DU507" s="707"/>
      <c r="DV507" s="707"/>
      <c r="DW507" s="707"/>
      <c r="DX507" s="707"/>
      <c r="DY507" s="707"/>
      <c r="DZ507" s="707"/>
      <c r="EA507" s="707"/>
      <c r="EB507" s="707"/>
      <c r="EC507" s="707"/>
      <c r="ED507" s="707"/>
      <c r="EE507" s="707"/>
      <c r="EF507" s="707"/>
      <c r="EG507" s="707"/>
      <c r="EH507" s="707"/>
      <c r="EI507" s="707"/>
      <c r="EJ507" s="707"/>
      <c r="EK507" s="707"/>
      <c r="EL507" s="707"/>
      <c r="EM507" s="707"/>
      <c r="EN507" s="707"/>
      <c r="EO507" s="707"/>
      <c r="EP507" s="707"/>
      <c r="EQ507" s="707"/>
      <c r="ER507" s="707"/>
      <c r="ES507" s="707"/>
      <c r="ET507" s="707"/>
      <c r="EU507" s="707"/>
      <c r="EV507" s="707"/>
      <c r="EW507" s="707"/>
      <c r="EX507" s="707"/>
      <c r="EY507" s="707"/>
      <c r="EZ507" s="707"/>
      <c r="FA507" s="707"/>
      <c r="FB507" s="707"/>
      <c r="FC507" s="707"/>
      <c r="FD507" s="707"/>
      <c r="FE507" s="707"/>
      <c r="FF507" s="707"/>
      <c r="FG507" s="707"/>
      <c r="FH507" s="707"/>
      <c r="FI507" s="707"/>
      <c r="FJ507" s="707"/>
      <c r="FK507" s="707"/>
      <c r="FL507" s="707"/>
      <c r="FM507" s="707"/>
      <c r="FN507" s="707"/>
      <c r="FO507" s="707"/>
      <c r="FP507" s="707"/>
      <c r="FQ507" s="707"/>
      <c r="FR507" s="707"/>
      <c r="FS507" s="707"/>
      <c r="FT507" s="707"/>
      <c r="FU507" s="707"/>
      <c r="FV507" s="707"/>
      <c r="FW507" s="707"/>
      <c r="FX507" s="707"/>
      <c r="FY507" s="707"/>
      <c r="FZ507" s="707"/>
      <c r="GA507" s="707"/>
      <c r="GB507" s="707"/>
      <c r="GC507" s="707"/>
      <c r="GD507" s="707"/>
      <c r="GE507" s="707"/>
      <c r="GF507" s="707"/>
      <c r="GG507" s="707"/>
      <c r="GH507" s="707"/>
      <c r="GI507" s="707"/>
      <c r="GJ507" s="707"/>
      <c r="GK507" s="707"/>
      <c r="GL507" s="707"/>
      <c r="GM507" s="707"/>
      <c r="GN507" s="707"/>
      <c r="GO507" s="707"/>
      <c r="GP507" s="707"/>
      <c r="GQ507" s="707"/>
      <c r="GR507" s="707"/>
      <c r="GS507" s="707"/>
      <c r="GT507" s="707"/>
      <c r="GU507" s="707"/>
      <c r="GV507" s="707"/>
      <c r="GW507" s="707"/>
      <c r="GX507" s="707"/>
      <c r="GY507" s="707"/>
      <c r="GZ507" s="707"/>
      <c r="HA507" s="707"/>
      <c r="HB507" s="707"/>
      <c r="HC507" s="707"/>
      <c r="HD507" s="707"/>
      <c r="HE507" s="707"/>
      <c r="HF507" s="707"/>
      <c r="HG507" s="707"/>
      <c r="HH507" s="707"/>
      <c r="HI507" s="707"/>
      <c r="HJ507" s="707"/>
      <c r="HK507" s="707"/>
      <c r="HL507" s="707"/>
      <c r="HM507" s="707"/>
      <c r="HN507" s="707"/>
      <c r="HO507" s="707"/>
      <c r="HP507" s="707"/>
      <c r="HQ507" s="707"/>
      <c r="HR507" s="707"/>
      <c r="HS507" s="707"/>
      <c r="HT507" s="707"/>
      <c r="HU507" s="707"/>
      <c r="HV507" s="707"/>
      <c r="HW507" s="707"/>
      <c r="HX507" s="707"/>
      <c r="HY507" s="707"/>
      <c r="HZ507" s="707"/>
      <c r="IA507" s="707"/>
      <c r="IB507" s="707"/>
      <c r="IC507" s="707"/>
      <c r="ID507" s="707"/>
      <c r="IE507" s="707"/>
      <c r="IF507" s="707"/>
      <c r="IG507" s="707"/>
      <c r="IH507" s="707"/>
      <c r="II507" s="707"/>
      <c r="IJ507" s="707"/>
      <c r="IK507" s="707"/>
      <c r="IL507" s="707"/>
      <c r="IM507" s="707"/>
      <c r="IN507" s="707"/>
      <c r="IO507" s="707"/>
      <c r="IP507" s="707"/>
      <c r="IQ507" s="707"/>
      <c r="IR507" s="707"/>
      <c r="IS507" s="707"/>
      <c r="IT507" s="707"/>
      <c r="IU507" s="707"/>
      <c r="IV507" s="707"/>
      <c r="IW507" s="707"/>
    </row>
    <row r="508" customFormat="false" ht="12.75" hidden="false" customHeight="false" outlineLevel="1" collapsed="false">
      <c r="A508" s="724"/>
      <c r="B508" s="725"/>
      <c r="C508" s="725"/>
      <c r="D508" s="725"/>
      <c r="E508" s="713"/>
      <c r="F508" s="713"/>
      <c r="G508" s="713"/>
      <c r="H508" s="713"/>
      <c r="I508" s="713"/>
      <c r="J508" s="713"/>
      <c r="K508" s="713"/>
      <c r="L508" s="713"/>
      <c r="M508" s="713"/>
      <c r="N508" s="713"/>
      <c r="O508" s="713"/>
      <c r="P508" s="713"/>
      <c r="Q508" s="713"/>
      <c r="R508" s="713"/>
      <c r="S508" s="713"/>
      <c r="T508" s="713"/>
      <c r="U508" s="713"/>
      <c r="V508" s="713"/>
      <c r="W508" s="713"/>
      <c r="X508" s="713"/>
      <c r="Y508" s="713"/>
      <c r="Z508" s="713"/>
      <c r="AA508" s="722"/>
      <c r="AB508" s="722"/>
      <c r="AC508" s="722"/>
      <c r="AD508" s="722"/>
      <c r="AE508" s="722"/>
      <c r="AF508" s="722"/>
      <c r="AG508" s="722"/>
      <c r="AH508" s="722"/>
      <c r="AI508" s="722"/>
      <c r="AJ508" s="722"/>
      <c r="AK508" s="722"/>
      <c r="AL508" s="722"/>
      <c r="AM508" s="722"/>
      <c r="AN508" s="722"/>
      <c r="AO508" s="722"/>
      <c r="AP508" s="722"/>
      <c r="AQ508" s="722"/>
      <c r="AR508" s="722"/>
      <c r="AS508" s="722"/>
      <c r="AT508" s="722"/>
      <c r="AU508" s="722"/>
      <c r="AV508" s="722"/>
      <c r="AW508" s="722"/>
      <c r="AX508" s="722"/>
      <c r="AY508" s="722"/>
      <c r="AZ508" s="722"/>
      <c r="BA508" s="722"/>
      <c r="BB508" s="722"/>
      <c r="BC508" s="722"/>
      <c r="BD508" s="722"/>
      <c r="BE508" s="722"/>
      <c r="BF508" s="722"/>
      <c r="BG508" s="722"/>
      <c r="BH508" s="722"/>
      <c r="BI508" s="722"/>
      <c r="BJ508" s="722"/>
      <c r="BK508" s="722"/>
      <c r="BL508" s="722"/>
      <c r="BM508" s="722"/>
      <c r="BN508" s="722"/>
      <c r="BO508" s="722"/>
      <c r="BP508" s="722"/>
      <c r="BQ508" s="722"/>
      <c r="BR508" s="722"/>
      <c r="BS508" s="722"/>
      <c r="BT508" s="722"/>
      <c r="BU508" s="722"/>
      <c r="BV508" s="722"/>
      <c r="BW508" s="722"/>
      <c r="BX508" s="722"/>
      <c r="BY508" s="722"/>
      <c r="BZ508" s="722"/>
      <c r="CA508" s="722"/>
      <c r="CB508" s="722"/>
      <c r="CC508" s="722"/>
      <c r="CD508" s="722"/>
      <c r="CE508" s="722"/>
      <c r="CF508" s="722"/>
      <c r="CG508" s="722"/>
      <c r="CH508" s="722"/>
      <c r="CI508" s="722"/>
      <c r="CJ508" s="722"/>
      <c r="CK508" s="722"/>
      <c r="CL508" s="722"/>
      <c r="CM508" s="722"/>
      <c r="CN508" s="722"/>
      <c r="CO508" s="722"/>
      <c r="CP508" s="722"/>
      <c r="CQ508" s="722"/>
      <c r="CR508" s="722"/>
      <c r="CS508" s="722"/>
      <c r="CT508" s="722"/>
      <c r="CU508" s="722"/>
      <c r="CV508" s="722"/>
      <c r="CW508" s="722"/>
      <c r="CX508" s="722"/>
      <c r="CY508" s="722"/>
      <c r="CZ508" s="722"/>
      <c r="DA508" s="722"/>
      <c r="DB508" s="722"/>
      <c r="DC508" s="722"/>
      <c r="DD508" s="722"/>
      <c r="DE508" s="722"/>
      <c r="DF508" s="722"/>
      <c r="DG508" s="722"/>
      <c r="DH508" s="722"/>
      <c r="DI508" s="722"/>
      <c r="DJ508" s="722"/>
      <c r="DK508" s="722"/>
      <c r="DL508" s="722"/>
      <c r="DM508" s="722"/>
      <c r="DN508" s="722"/>
      <c r="DO508" s="722"/>
      <c r="DP508" s="722"/>
      <c r="DQ508" s="722"/>
      <c r="DR508" s="722"/>
      <c r="DS508" s="722"/>
      <c r="DT508" s="722"/>
      <c r="DU508" s="722"/>
      <c r="DV508" s="722"/>
      <c r="DW508" s="722"/>
      <c r="DX508" s="722"/>
      <c r="DY508" s="722"/>
      <c r="DZ508" s="722"/>
      <c r="EA508" s="722"/>
      <c r="EB508" s="722"/>
      <c r="EC508" s="722"/>
      <c r="ED508" s="722"/>
      <c r="EE508" s="722"/>
      <c r="EF508" s="722"/>
      <c r="EG508" s="722"/>
      <c r="EH508" s="722"/>
      <c r="EI508" s="722"/>
      <c r="EJ508" s="722"/>
      <c r="EK508" s="722"/>
      <c r="EL508" s="722"/>
      <c r="EM508" s="722"/>
      <c r="EN508" s="722"/>
      <c r="EO508" s="722"/>
      <c r="EP508" s="722"/>
      <c r="EQ508" s="722"/>
      <c r="ER508" s="722"/>
      <c r="ES508" s="722"/>
      <c r="ET508" s="722"/>
      <c r="EU508" s="722"/>
      <c r="EV508" s="722"/>
      <c r="EW508" s="722"/>
      <c r="EX508" s="722"/>
      <c r="EY508" s="722"/>
      <c r="EZ508" s="722"/>
      <c r="FA508" s="722"/>
      <c r="FB508" s="722"/>
      <c r="FC508" s="722"/>
      <c r="FD508" s="722"/>
      <c r="FE508" s="722"/>
      <c r="FF508" s="722"/>
      <c r="FG508" s="722"/>
      <c r="FH508" s="722"/>
      <c r="FI508" s="722"/>
      <c r="FJ508" s="722"/>
      <c r="FK508" s="722"/>
      <c r="FL508" s="722"/>
      <c r="FM508" s="722"/>
      <c r="FN508" s="722"/>
      <c r="FO508" s="722"/>
      <c r="FP508" s="722"/>
      <c r="FQ508" s="722"/>
      <c r="FR508" s="722"/>
      <c r="FS508" s="722"/>
      <c r="FT508" s="722"/>
      <c r="FU508" s="722"/>
      <c r="FV508" s="722"/>
      <c r="FW508" s="722"/>
      <c r="FX508" s="722"/>
      <c r="FY508" s="722"/>
      <c r="FZ508" s="722"/>
      <c r="GA508" s="722"/>
      <c r="GB508" s="722"/>
      <c r="GC508" s="722"/>
      <c r="GD508" s="722"/>
      <c r="GE508" s="722"/>
      <c r="GF508" s="722"/>
      <c r="GG508" s="722"/>
      <c r="GH508" s="722"/>
      <c r="GI508" s="722"/>
      <c r="GJ508" s="722"/>
      <c r="GK508" s="722"/>
      <c r="GL508" s="722"/>
      <c r="GM508" s="722"/>
      <c r="GN508" s="722"/>
      <c r="GO508" s="722"/>
      <c r="GP508" s="722"/>
      <c r="GQ508" s="722"/>
      <c r="GR508" s="722"/>
      <c r="GS508" s="722"/>
      <c r="GT508" s="722"/>
      <c r="GU508" s="722"/>
      <c r="GV508" s="722"/>
      <c r="GW508" s="722"/>
      <c r="GX508" s="722"/>
      <c r="GY508" s="722"/>
      <c r="GZ508" s="722"/>
      <c r="HA508" s="722"/>
      <c r="HB508" s="722"/>
      <c r="HC508" s="722"/>
      <c r="HD508" s="722"/>
      <c r="HE508" s="722"/>
      <c r="HF508" s="722"/>
      <c r="HG508" s="722"/>
      <c r="HH508" s="722"/>
      <c r="HI508" s="722"/>
      <c r="HJ508" s="722"/>
      <c r="HK508" s="722"/>
      <c r="HL508" s="722"/>
      <c r="HM508" s="722"/>
      <c r="HN508" s="722"/>
      <c r="HO508" s="722"/>
      <c r="HP508" s="722"/>
      <c r="HQ508" s="722"/>
      <c r="HR508" s="722"/>
      <c r="HS508" s="722"/>
      <c r="HT508" s="722"/>
      <c r="HU508" s="722"/>
      <c r="HV508" s="722"/>
      <c r="HW508" s="722"/>
      <c r="HX508" s="722"/>
      <c r="HY508" s="722"/>
      <c r="HZ508" s="722"/>
      <c r="IA508" s="722"/>
      <c r="IB508" s="722"/>
      <c r="IC508" s="722"/>
      <c r="ID508" s="722"/>
      <c r="IE508" s="722"/>
      <c r="IF508" s="722"/>
      <c r="IG508" s="722"/>
      <c r="IH508" s="722"/>
      <c r="II508" s="722"/>
      <c r="IJ508" s="722"/>
      <c r="IK508" s="722"/>
      <c r="IL508" s="722"/>
      <c r="IM508" s="722"/>
      <c r="IN508" s="722"/>
      <c r="IO508" s="722"/>
      <c r="IP508" s="722"/>
      <c r="IQ508" s="722"/>
      <c r="IR508" s="722"/>
      <c r="IS508" s="722"/>
      <c r="IT508" s="722"/>
      <c r="IU508" s="722"/>
      <c r="IV508" s="722"/>
      <c r="IW508" s="722"/>
    </row>
    <row r="509" customFormat="false" ht="12.75" hidden="false" customHeight="false" outlineLevel="1" collapsed="false">
      <c r="A509" s="367"/>
      <c r="B509" s="706"/>
      <c r="C509" s="706"/>
      <c r="D509" s="706"/>
      <c r="E509" s="713"/>
      <c r="F509" s="713"/>
      <c r="G509" s="713"/>
      <c r="H509" s="713"/>
      <c r="I509" s="713"/>
      <c r="J509" s="713"/>
      <c r="K509" s="713"/>
      <c r="L509" s="713"/>
      <c r="M509" s="713"/>
      <c r="N509" s="713"/>
      <c r="O509" s="713"/>
      <c r="P509" s="713"/>
      <c r="Q509" s="713"/>
      <c r="R509" s="713"/>
      <c r="S509" s="713"/>
      <c r="T509" s="713"/>
      <c r="U509" s="713"/>
      <c r="V509" s="713"/>
      <c r="W509" s="713"/>
      <c r="X509" s="713"/>
      <c r="Y509" s="713"/>
      <c r="Z509" s="713"/>
      <c r="AA509" s="707"/>
      <c r="AB509" s="707"/>
      <c r="AC509" s="707"/>
      <c r="AD509" s="707"/>
      <c r="AE509" s="707"/>
      <c r="AF509" s="707"/>
      <c r="AG509" s="707"/>
      <c r="AH509" s="707"/>
      <c r="AI509" s="707"/>
      <c r="AJ509" s="707"/>
      <c r="AK509" s="707"/>
      <c r="AL509" s="707"/>
      <c r="AM509" s="707"/>
      <c r="AN509" s="707"/>
      <c r="AO509" s="707"/>
      <c r="AP509" s="707"/>
      <c r="AQ509" s="707"/>
      <c r="AR509" s="707"/>
      <c r="AS509" s="707"/>
      <c r="AT509" s="707"/>
      <c r="AU509" s="707"/>
      <c r="AV509" s="707"/>
      <c r="AW509" s="707"/>
      <c r="AX509" s="707"/>
      <c r="AY509" s="707"/>
      <c r="AZ509" s="707"/>
      <c r="BA509" s="707"/>
      <c r="BB509" s="707"/>
      <c r="BC509" s="707"/>
      <c r="BD509" s="707"/>
      <c r="BE509" s="707"/>
      <c r="BF509" s="707"/>
      <c r="BG509" s="707"/>
      <c r="BH509" s="707"/>
      <c r="BI509" s="707"/>
      <c r="BJ509" s="707"/>
      <c r="BK509" s="707"/>
      <c r="BL509" s="707"/>
      <c r="BM509" s="707"/>
      <c r="BN509" s="707"/>
      <c r="BO509" s="707"/>
      <c r="BP509" s="707"/>
      <c r="BQ509" s="707"/>
      <c r="BR509" s="707"/>
      <c r="BS509" s="707"/>
      <c r="BT509" s="707"/>
      <c r="BU509" s="707"/>
      <c r="BV509" s="707"/>
      <c r="BW509" s="707"/>
      <c r="BX509" s="707"/>
      <c r="BY509" s="707"/>
      <c r="BZ509" s="707"/>
      <c r="CA509" s="707"/>
      <c r="CB509" s="707"/>
      <c r="CC509" s="707"/>
      <c r="CD509" s="707"/>
      <c r="CE509" s="707"/>
      <c r="CF509" s="707"/>
      <c r="CG509" s="707"/>
      <c r="CH509" s="707"/>
      <c r="CI509" s="707"/>
      <c r="CJ509" s="707"/>
      <c r="CK509" s="707"/>
      <c r="CL509" s="707"/>
      <c r="CM509" s="707"/>
      <c r="CN509" s="707"/>
      <c r="CO509" s="707"/>
      <c r="CP509" s="707"/>
      <c r="CQ509" s="707"/>
      <c r="CR509" s="707"/>
      <c r="CS509" s="707"/>
      <c r="CT509" s="707"/>
      <c r="CU509" s="707"/>
      <c r="CV509" s="707"/>
      <c r="CW509" s="707"/>
      <c r="CX509" s="707"/>
      <c r="CY509" s="707"/>
      <c r="CZ509" s="707"/>
      <c r="DA509" s="707"/>
      <c r="DB509" s="707"/>
      <c r="DC509" s="707"/>
      <c r="DD509" s="707"/>
      <c r="DE509" s="707"/>
      <c r="DF509" s="707"/>
      <c r="DG509" s="707"/>
      <c r="DH509" s="707"/>
      <c r="DI509" s="707"/>
      <c r="DJ509" s="707"/>
      <c r="DK509" s="707"/>
      <c r="DL509" s="707"/>
      <c r="DM509" s="707"/>
      <c r="DN509" s="707"/>
      <c r="DO509" s="707"/>
      <c r="DP509" s="707"/>
      <c r="DQ509" s="707"/>
      <c r="DR509" s="707"/>
      <c r="DS509" s="707"/>
      <c r="DT509" s="707"/>
      <c r="DU509" s="707"/>
      <c r="DV509" s="707"/>
      <c r="DW509" s="707"/>
      <c r="DX509" s="707"/>
      <c r="DY509" s="707"/>
      <c r="DZ509" s="707"/>
      <c r="EA509" s="707"/>
      <c r="EB509" s="707"/>
      <c r="EC509" s="707"/>
      <c r="ED509" s="707"/>
      <c r="EE509" s="707"/>
      <c r="EF509" s="707"/>
      <c r="EG509" s="707"/>
      <c r="EH509" s="707"/>
      <c r="EI509" s="707"/>
      <c r="EJ509" s="707"/>
      <c r="EK509" s="707"/>
      <c r="EL509" s="707"/>
      <c r="EM509" s="707"/>
      <c r="EN509" s="707"/>
      <c r="EO509" s="707"/>
      <c r="EP509" s="707"/>
      <c r="EQ509" s="707"/>
      <c r="ER509" s="707"/>
      <c r="ES509" s="707"/>
      <c r="ET509" s="707"/>
      <c r="EU509" s="707"/>
      <c r="EV509" s="707"/>
      <c r="EW509" s="707"/>
      <c r="EX509" s="707"/>
      <c r="EY509" s="707"/>
      <c r="EZ509" s="707"/>
      <c r="FA509" s="707"/>
      <c r="FB509" s="707"/>
      <c r="FC509" s="707"/>
      <c r="FD509" s="707"/>
      <c r="FE509" s="707"/>
      <c r="FF509" s="707"/>
      <c r="FG509" s="707"/>
      <c r="FH509" s="707"/>
      <c r="FI509" s="707"/>
      <c r="FJ509" s="707"/>
      <c r="FK509" s="707"/>
      <c r="FL509" s="707"/>
      <c r="FM509" s="707"/>
      <c r="FN509" s="707"/>
      <c r="FO509" s="707"/>
      <c r="FP509" s="707"/>
      <c r="FQ509" s="707"/>
      <c r="FR509" s="707"/>
      <c r="FS509" s="707"/>
      <c r="FT509" s="707"/>
      <c r="FU509" s="707"/>
      <c r="FV509" s="707"/>
      <c r="FW509" s="707"/>
      <c r="FX509" s="707"/>
      <c r="FY509" s="707"/>
      <c r="FZ509" s="707"/>
      <c r="GA509" s="707"/>
      <c r="GB509" s="707"/>
      <c r="GC509" s="707"/>
      <c r="GD509" s="707"/>
      <c r="GE509" s="707"/>
      <c r="GF509" s="707"/>
      <c r="GG509" s="707"/>
      <c r="GH509" s="707"/>
      <c r="GI509" s="707"/>
      <c r="GJ509" s="707"/>
      <c r="GK509" s="707"/>
      <c r="GL509" s="707"/>
      <c r="GM509" s="707"/>
      <c r="GN509" s="707"/>
      <c r="GO509" s="707"/>
      <c r="GP509" s="707"/>
      <c r="GQ509" s="707"/>
      <c r="GR509" s="707"/>
      <c r="GS509" s="707"/>
      <c r="GT509" s="707"/>
      <c r="GU509" s="707"/>
      <c r="GV509" s="707"/>
      <c r="GW509" s="707"/>
      <c r="GX509" s="707"/>
      <c r="GY509" s="707"/>
      <c r="GZ509" s="707"/>
      <c r="HA509" s="707"/>
      <c r="HB509" s="707"/>
      <c r="HC509" s="707"/>
      <c r="HD509" s="707"/>
      <c r="HE509" s="707"/>
      <c r="HF509" s="707"/>
      <c r="HG509" s="707"/>
      <c r="HH509" s="707"/>
      <c r="HI509" s="707"/>
      <c r="HJ509" s="707"/>
      <c r="HK509" s="707"/>
      <c r="HL509" s="707"/>
      <c r="HM509" s="707"/>
      <c r="HN509" s="707"/>
      <c r="HO509" s="707"/>
      <c r="HP509" s="707"/>
      <c r="HQ509" s="707"/>
      <c r="HR509" s="707"/>
      <c r="HS509" s="707"/>
      <c r="HT509" s="707"/>
      <c r="HU509" s="707"/>
      <c r="HV509" s="707"/>
      <c r="HW509" s="707"/>
      <c r="HX509" s="707"/>
      <c r="HY509" s="707"/>
      <c r="HZ509" s="707"/>
      <c r="IA509" s="707"/>
      <c r="IB509" s="707"/>
      <c r="IC509" s="707"/>
      <c r="ID509" s="707"/>
      <c r="IE509" s="707"/>
      <c r="IF509" s="707"/>
      <c r="IG509" s="707"/>
      <c r="IH509" s="707"/>
      <c r="II509" s="707"/>
      <c r="IJ509" s="707"/>
      <c r="IK509" s="707"/>
      <c r="IL509" s="707"/>
      <c r="IM509" s="707"/>
      <c r="IN509" s="707"/>
      <c r="IO509" s="707"/>
      <c r="IP509" s="707"/>
      <c r="IQ509" s="707"/>
      <c r="IR509" s="707"/>
      <c r="IS509" s="707"/>
      <c r="IT509" s="707"/>
      <c r="IU509" s="707"/>
      <c r="IV509" s="707"/>
      <c r="IW509" s="707"/>
    </row>
    <row r="510" customFormat="false" ht="12.75" hidden="false" customHeight="false" outlineLevel="1" collapsed="false">
      <c r="A510" s="681"/>
      <c r="B510" s="706"/>
      <c r="C510" s="706"/>
      <c r="D510" s="706"/>
      <c r="E510" s="713"/>
      <c r="F510" s="713"/>
      <c r="G510" s="713"/>
      <c r="H510" s="713"/>
      <c r="I510" s="713"/>
      <c r="J510" s="713"/>
      <c r="K510" s="713"/>
      <c r="L510" s="713"/>
      <c r="M510" s="713"/>
      <c r="N510" s="713"/>
      <c r="O510" s="713"/>
      <c r="P510" s="713"/>
      <c r="Q510" s="713"/>
      <c r="R510" s="713"/>
      <c r="S510" s="713"/>
      <c r="T510" s="713"/>
      <c r="U510" s="713"/>
      <c r="V510" s="713"/>
      <c r="W510" s="713"/>
      <c r="X510" s="713"/>
      <c r="Y510" s="713"/>
      <c r="Z510" s="713"/>
      <c r="AA510" s="707"/>
      <c r="AB510" s="707"/>
      <c r="AC510" s="707"/>
      <c r="AD510" s="707"/>
      <c r="AE510" s="707"/>
      <c r="AF510" s="707"/>
      <c r="AG510" s="707"/>
      <c r="AH510" s="707"/>
      <c r="AI510" s="707"/>
      <c r="AJ510" s="707"/>
      <c r="AK510" s="707"/>
      <c r="AL510" s="707"/>
      <c r="AM510" s="707"/>
      <c r="AN510" s="707"/>
      <c r="AO510" s="707"/>
      <c r="AP510" s="707"/>
      <c r="AQ510" s="707"/>
      <c r="AR510" s="707"/>
      <c r="AS510" s="707"/>
      <c r="AT510" s="707"/>
      <c r="AU510" s="707"/>
      <c r="AV510" s="707"/>
      <c r="AW510" s="707"/>
      <c r="AX510" s="707"/>
      <c r="AY510" s="707"/>
      <c r="AZ510" s="707"/>
      <c r="BA510" s="707"/>
      <c r="BB510" s="707"/>
      <c r="BC510" s="707"/>
      <c r="BD510" s="707"/>
      <c r="BE510" s="707"/>
      <c r="BF510" s="707"/>
      <c r="BG510" s="707"/>
      <c r="BH510" s="707"/>
      <c r="BI510" s="707"/>
      <c r="BJ510" s="707"/>
      <c r="BK510" s="707"/>
      <c r="BL510" s="707"/>
      <c r="BM510" s="707"/>
      <c r="BN510" s="707"/>
      <c r="BO510" s="707"/>
      <c r="BP510" s="707"/>
      <c r="BQ510" s="707"/>
      <c r="BR510" s="707"/>
      <c r="BS510" s="707"/>
      <c r="BT510" s="707"/>
      <c r="BU510" s="707"/>
      <c r="BV510" s="707"/>
      <c r="BW510" s="707"/>
      <c r="BX510" s="707"/>
      <c r="BY510" s="707"/>
      <c r="BZ510" s="707"/>
      <c r="CA510" s="707"/>
      <c r="CB510" s="707"/>
      <c r="CC510" s="707"/>
      <c r="CD510" s="707"/>
      <c r="CE510" s="707"/>
      <c r="CF510" s="707"/>
      <c r="CG510" s="707"/>
      <c r="CH510" s="707"/>
      <c r="CI510" s="707"/>
      <c r="CJ510" s="707"/>
      <c r="CK510" s="707"/>
      <c r="CL510" s="707"/>
      <c r="CM510" s="707"/>
      <c r="CN510" s="707"/>
      <c r="CO510" s="707"/>
      <c r="CP510" s="707"/>
      <c r="CQ510" s="707"/>
      <c r="CR510" s="707"/>
      <c r="CS510" s="707"/>
      <c r="CT510" s="707"/>
      <c r="CU510" s="707"/>
      <c r="CV510" s="707"/>
      <c r="CW510" s="707"/>
      <c r="CX510" s="707"/>
      <c r="CY510" s="707"/>
      <c r="CZ510" s="707"/>
      <c r="DA510" s="707"/>
      <c r="DB510" s="707"/>
      <c r="DC510" s="707"/>
      <c r="DD510" s="707"/>
      <c r="DE510" s="707"/>
      <c r="DF510" s="707"/>
      <c r="DG510" s="707"/>
      <c r="DH510" s="707"/>
      <c r="DI510" s="707"/>
      <c r="DJ510" s="707"/>
      <c r="DK510" s="707"/>
      <c r="DL510" s="707"/>
      <c r="DM510" s="707"/>
      <c r="DN510" s="707"/>
      <c r="DO510" s="707"/>
      <c r="DP510" s="707"/>
      <c r="DQ510" s="707"/>
      <c r="DR510" s="707"/>
      <c r="DS510" s="707"/>
      <c r="DT510" s="707"/>
      <c r="DU510" s="707"/>
      <c r="DV510" s="707"/>
      <c r="DW510" s="707"/>
      <c r="DX510" s="707"/>
      <c r="DY510" s="707"/>
      <c r="DZ510" s="707"/>
      <c r="EA510" s="707"/>
      <c r="EB510" s="707"/>
      <c r="EC510" s="707"/>
      <c r="ED510" s="707"/>
      <c r="EE510" s="707"/>
      <c r="EF510" s="707"/>
      <c r="EG510" s="707"/>
      <c r="EH510" s="707"/>
      <c r="EI510" s="707"/>
      <c r="EJ510" s="707"/>
      <c r="EK510" s="707"/>
      <c r="EL510" s="707"/>
      <c r="EM510" s="707"/>
      <c r="EN510" s="707"/>
      <c r="EO510" s="707"/>
      <c r="EP510" s="707"/>
      <c r="EQ510" s="707"/>
      <c r="ER510" s="707"/>
      <c r="ES510" s="707"/>
      <c r="ET510" s="707"/>
      <c r="EU510" s="707"/>
      <c r="EV510" s="707"/>
      <c r="EW510" s="707"/>
      <c r="EX510" s="707"/>
      <c r="EY510" s="707"/>
      <c r="EZ510" s="707"/>
      <c r="FA510" s="707"/>
      <c r="FB510" s="707"/>
      <c r="FC510" s="707"/>
      <c r="FD510" s="707"/>
      <c r="FE510" s="707"/>
      <c r="FF510" s="707"/>
      <c r="FG510" s="707"/>
      <c r="FH510" s="707"/>
      <c r="FI510" s="707"/>
      <c r="FJ510" s="707"/>
      <c r="FK510" s="707"/>
      <c r="FL510" s="707"/>
      <c r="FM510" s="707"/>
      <c r="FN510" s="707"/>
      <c r="FO510" s="707"/>
      <c r="FP510" s="707"/>
      <c r="FQ510" s="707"/>
      <c r="FR510" s="707"/>
      <c r="FS510" s="707"/>
      <c r="FT510" s="707"/>
      <c r="FU510" s="707"/>
      <c r="FV510" s="707"/>
      <c r="FW510" s="707"/>
      <c r="FX510" s="707"/>
      <c r="FY510" s="707"/>
      <c r="FZ510" s="707"/>
      <c r="GA510" s="707"/>
      <c r="GB510" s="707"/>
      <c r="GC510" s="707"/>
      <c r="GD510" s="707"/>
      <c r="GE510" s="707"/>
      <c r="GF510" s="707"/>
      <c r="GG510" s="707"/>
      <c r="GH510" s="707"/>
      <c r="GI510" s="707"/>
      <c r="GJ510" s="707"/>
      <c r="GK510" s="707"/>
      <c r="GL510" s="707"/>
      <c r="GM510" s="707"/>
      <c r="GN510" s="707"/>
      <c r="GO510" s="707"/>
      <c r="GP510" s="707"/>
      <c r="GQ510" s="707"/>
      <c r="GR510" s="707"/>
      <c r="GS510" s="707"/>
      <c r="GT510" s="707"/>
      <c r="GU510" s="707"/>
      <c r="GV510" s="707"/>
      <c r="GW510" s="707"/>
      <c r="GX510" s="707"/>
      <c r="GY510" s="707"/>
      <c r="GZ510" s="707"/>
      <c r="HA510" s="707"/>
      <c r="HB510" s="707"/>
      <c r="HC510" s="707"/>
      <c r="HD510" s="707"/>
      <c r="HE510" s="707"/>
      <c r="HF510" s="707"/>
      <c r="HG510" s="707"/>
      <c r="HH510" s="707"/>
      <c r="HI510" s="707"/>
      <c r="HJ510" s="707"/>
      <c r="HK510" s="707"/>
      <c r="HL510" s="707"/>
      <c r="HM510" s="707"/>
      <c r="HN510" s="707"/>
      <c r="HO510" s="707"/>
      <c r="HP510" s="707"/>
      <c r="HQ510" s="707"/>
      <c r="HR510" s="707"/>
      <c r="HS510" s="707"/>
      <c r="HT510" s="707"/>
      <c r="HU510" s="707"/>
      <c r="HV510" s="707"/>
      <c r="HW510" s="707"/>
      <c r="HX510" s="707"/>
      <c r="HY510" s="707"/>
      <c r="HZ510" s="707"/>
      <c r="IA510" s="707"/>
      <c r="IB510" s="707"/>
      <c r="IC510" s="707"/>
      <c r="ID510" s="707"/>
      <c r="IE510" s="707"/>
      <c r="IF510" s="707"/>
      <c r="IG510" s="707"/>
      <c r="IH510" s="707"/>
      <c r="II510" s="707"/>
      <c r="IJ510" s="707"/>
      <c r="IK510" s="707"/>
      <c r="IL510" s="707"/>
      <c r="IM510" s="707"/>
      <c r="IN510" s="707"/>
      <c r="IO510" s="707"/>
      <c r="IP510" s="707"/>
      <c r="IQ510" s="707"/>
      <c r="IR510" s="707"/>
      <c r="IS510" s="707"/>
      <c r="IT510" s="707"/>
      <c r="IU510" s="707"/>
      <c r="IV510" s="707"/>
      <c r="IW510" s="707"/>
    </row>
    <row r="511" customFormat="false" ht="12.75" hidden="false" customHeight="false" outlineLevel="1" collapsed="false">
      <c r="A511" s="681"/>
      <c r="B511" s="706"/>
      <c r="C511" s="706"/>
      <c r="D511" s="706"/>
      <c r="E511" s="713"/>
      <c r="F511" s="713"/>
      <c r="G511" s="713"/>
      <c r="H511" s="713"/>
      <c r="I511" s="713"/>
      <c r="J511" s="713"/>
      <c r="K511" s="713"/>
      <c r="L511" s="713"/>
      <c r="M511" s="713"/>
      <c r="N511" s="713"/>
      <c r="O511" s="713"/>
      <c r="P511" s="713"/>
      <c r="Q511" s="713"/>
      <c r="R511" s="713"/>
      <c r="S511" s="713"/>
      <c r="T511" s="713"/>
      <c r="U511" s="713"/>
      <c r="V511" s="713"/>
      <c r="W511" s="713"/>
      <c r="X511" s="713"/>
      <c r="Y511" s="713"/>
      <c r="Z511" s="713"/>
      <c r="AA511" s="707"/>
      <c r="AB511" s="707"/>
      <c r="AC511" s="707"/>
      <c r="AD511" s="707"/>
      <c r="AE511" s="707"/>
      <c r="AF511" s="707"/>
      <c r="AG511" s="707"/>
      <c r="AH511" s="707"/>
      <c r="AI511" s="707"/>
      <c r="AJ511" s="707"/>
      <c r="AK511" s="707"/>
      <c r="AL511" s="707"/>
      <c r="AM511" s="707"/>
      <c r="AN511" s="707"/>
      <c r="AO511" s="707"/>
      <c r="AP511" s="707"/>
      <c r="AQ511" s="707"/>
      <c r="AR511" s="707"/>
      <c r="AS511" s="707"/>
      <c r="AT511" s="707"/>
      <c r="AU511" s="707"/>
      <c r="AV511" s="707"/>
      <c r="AW511" s="707"/>
      <c r="AX511" s="707"/>
      <c r="AY511" s="707"/>
      <c r="AZ511" s="707"/>
      <c r="BA511" s="707"/>
      <c r="BB511" s="707"/>
      <c r="BC511" s="707"/>
      <c r="BD511" s="707"/>
      <c r="BE511" s="707"/>
      <c r="BF511" s="707"/>
      <c r="BG511" s="707"/>
      <c r="BH511" s="707"/>
      <c r="BI511" s="707"/>
      <c r="BJ511" s="707"/>
      <c r="BK511" s="707"/>
      <c r="BL511" s="707"/>
      <c r="BM511" s="707"/>
      <c r="BN511" s="707"/>
      <c r="BO511" s="707"/>
      <c r="BP511" s="707"/>
      <c r="BQ511" s="707"/>
      <c r="BR511" s="707"/>
      <c r="BS511" s="707"/>
      <c r="BT511" s="707"/>
      <c r="BU511" s="707"/>
      <c r="BV511" s="707"/>
      <c r="BW511" s="707"/>
      <c r="BX511" s="707"/>
      <c r="BY511" s="707"/>
      <c r="BZ511" s="707"/>
      <c r="CA511" s="707"/>
      <c r="CB511" s="707"/>
      <c r="CC511" s="707"/>
      <c r="CD511" s="707"/>
      <c r="CE511" s="707"/>
      <c r="CF511" s="707"/>
      <c r="CG511" s="707"/>
      <c r="CH511" s="707"/>
      <c r="CI511" s="707"/>
      <c r="CJ511" s="707"/>
      <c r="CK511" s="707"/>
      <c r="CL511" s="707"/>
      <c r="CM511" s="707"/>
      <c r="CN511" s="707"/>
      <c r="CO511" s="707"/>
      <c r="CP511" s="707"/>
      <c r="CQ511" s="707"/>
      <c r="CR511" s="707"/>
      <c r="CS511" s="707"/>
      <c r="CT511" s="707"/>
      <c r="CU511" s="707"/>
      <c r="CV511" s="707"/>
      <c r="CW511" s="707"/>
      <c r="CX511" s="707"/>
      <c r="CY511" s="707"/>
      <c r="CZ511" s="707"/>
      <c r="DA511" s="707"/>
      <c r="DB511" s="707"/>
      <c r="DC511" s="707"/>
      <c r="DD511" s="707"/>
      <c r="DE511" s="707"/>
      <c r="DF511" s="707"/>
      <c r="DG511" s="707"/>
      <c r="DH511" s="707"/>
      <c r="DI511" s="707"/>
      <c r="DJ511" s="707"/>
      <c r="DK511" s="707"/>
      <c r="DL511" s="707"/>
      <c r="DM511" s="707"/>
      <c r="DN511" s="707"/>
      <c r="DO511" s="707"/>
      <c r="DP511" s="707"/>
      <c r="DQ511" s="707"/>
      <c r="DR511" s="707"/>
      <c r="DS511" s="707"/>
      <c r="DT511" s="707"/>
      <c r="DU511" s="707"/>
      <c r="DV511" s="707"/>
      <c r="DW511" s="707"/>
      <c r="DX511" s="707"/>
      <c r="DY511" s="707"/>
      <c r="DZ511" s="707"/>
      <c r="EA511" s="707"/>
      <c r="EB511" s="707"/>
      <c r="EC511" s="707"/>
      <c r="ED511" s="707"/>
      <c r="EE511" s="707"/>
      <c r="EF511" s="707"/>
      <c r="EG511" s="707"/>
      <c r="EH511" s="707"/>
      <c r="EI511" s="707"/>
      <c r="EJ511" s="707"/>
      <c r="EK511" s="707"/>
      <c r="EL511" s="707"/>
      <c r="EM511" s="707"/>
      <c r="EN511" s="707"/>
      <c r="EO511" s="707"/>
      <c r="EP511" s="707"/>
      <c r="EQ511" s="707"/>
      <c r="ER511" s="707"/>
      <c r="ES511" s="707"/>
      <c r="ET511" s="707"/>
      <c r="EU511" s="707"/>
      <c r="EV511" s="707"/>
      <c r="EW511" s="707"/>
      <c r="EX511" s="707"/>
      <c r="EY511" s="707"/>
      <c r="EZ511" s="707"/>
      <c r="FA511" s="707"/>
      <c r="FB511" s="707"/>
      <c r="FC511" s="707"/>
      <c r="FD511" s="707"/>
      <c r="FE511" s="707"/>
      <c r="FF511" s="707"/>
      <c r="FG511" s="707"/>
      <c r="FH511" s="707"/>
      <c r="FI511" s="707"/>
      <c r="FJ511" s="707"/>
      <c r="FK511" s="707"/>
      <c r="FL511" s="707"/>
      <c r="FM511" s="707"/>
      <c r="FN511" s="707"/>
      <c r="FO511" s="707"/>
      <c r="FP511" s="707"/>
      <c r="FQ511" s="707"/>
      <c r="FR511" s="707"/>
      <c r="FS511" s="707"/>
      <c r="FT511" s="707"/>
      <c r="FU511" s="707"/>
      <c r="FV511" s="707"/>
      <c r="FW511" s="707"/>
      <c r="FX511" s="707"/>
      <c r="FY511" s="707"/>
      <c r="FZ511" s="707"/>
      <c r="GA511" s="707"/>
      <c r="GB511" s="707"/>
      <c r="GC511" s="707"/>
      <c r="GD511" s="707"/>
      <c r="GE511" s="707"/>
      <c r="GF511" s="707"/>
      <c r="GG511" s="707"/>
      <c r="GH511" s="707"/>
      <c r="GI511" s="707"/>
      <c r="GJ511" s="707"/>
      <c r="GK511" s="707"/>
      <c r="GL511" s="707"/>
      <c r="GM511" s="707"/>
      <c r="GN511" s="707"/>
      <c r="GO511" s="707"/>
      <c r="GP511" s="707"/>
      <c r="GQ511" s="707"/>
      <c r="GR511" s="707"/>
      <c r="GS511" s="707"/>
      <c r="GT511" s="707"/>
      <c r="GU511" s="707"/>
      <c r="GV511" s="707"/>
      <c r="GW511" s="707"/>
      <c r="GX511" s="707"/>
      <c r="GY511" s="707"/>
      <c r="GZ511" s="707"/>
      <c r="HA511" s="707"/>
      <c r="HB511" s="707"/>
      <c r="HC511" s="707"/>
      <c r="HD511" s="707"/>
      <c r="HE511" s="707"/>
      <c r="HF511" s="707"/>
      <c r="HG511" s="707"/>
      <c r="HH511" s="707"/>
      <c r="HI511" s="707"/>
      <c r="HJ511" s="707"/>
      <c r="HK511" s="707"/>
      <c r="HL511" s="707"/>
      <c r="HM511" s="707"/>
      <c r="HN511" s="707"/>
      <c r="HO511" s="707"/>
      <c r="HP511" s="707"/>
      <c r="HQ511" s="707"/>
      <c r="HR511" s="707"/>
      <c r="HS511" s="707"/>
      <c r="HT511" s="707"/>
      <c r="HU511" s="707"/>
      <c r="HV511" s="707"/>
      <c r="HW511" s="707"/>
      <c r="HX511" s="707"/>
      <c r="HY511" s="707"/>
      <c r="HZ511" s="707"/>
      <c r="IA511" s="707"/>
      <c r="IB511" s="707"/>
      <c r="IC511" s="707"/>
      <c r="ID511" s="707"/>
      <c r="IE511" s="707"/>
      <c r="IF511" s="707"/>
      <c r="IG511" s="707"/>
      <c r="IH511" s="707"/>
      <c r="II511" s="707"/>
      <c r="IJ511" s="707"/>
      <c r="IK511" s="707"/>
      <c r="IL511" s="707"/>
      <c r="IM511" s="707"/>
      <c r="IN511" s="707"/>
      <c r="IO511" s="707"/>
      <c r="IP511" s="707"/>
      <c r="IQ511" s="707"/>
      <c r="IR511" s="707"/>
      <c r="IS511" s="707"/>
      <c r="IT511" s="707"/>
      <c r="IU511" s="707"/>
      <c r="IV511" s="707"/>
      <c r="IW511" s="707"/>
    </row>
    <row r="512" customFormat="false" ht="12.75" hidden="false" customHeight="false" outlineLevel="1" collapsed="false">
      <c r="A512" s="681"/>
      <c r="B512" s="706"/>
      <c r="C512" s="706"/>
      <c r="D512" s="706"/>
      <c r="E512" s="713"/>
      <c r="F512" s="713"/>
      <c r="G512" s="713"/>
      <c r="H512" s="713"/>
      <c r="I512" s="713"/>
      <c r="J512" s="713"/>
      <c r="K512" s="713"/>
      <c r="L512" s="713"/>
      <c r="M512" s="713"/>
      <c r="N512" s="713"/>
      <c r="O512" s="713"/>
      <c r="P512" s="713"/>
      <c r="Q512" s="713"/>
      <c r="R512" s="713"/>
      <c r="S512" s="713"/>
      <c r="T512" s="713"/>
      <c r="U512" s="713"/>
      <c r="V512" s="713"/>
      <c r="W512" s="713"/>
      <c r="X512" s="713"/>
      <c r="Y512" s="713"/>
      <c r="Z512" s="713"/>
      <c r="AA512" s="707"/>
      <c r="AB512" s="707"/>
      <c r="AC512" s="707"/>
      <c r="AD512" s="707"/>
      <c r="AE512" s="707"/>
      <c r="AF512" s="707"/>
      <c r="AG512" s="707"/>
      <c r="AH512" s="707"/>
      <c r="AI512" s="707"/>
      <c r="AJ512" s="707"/>
      <c r="AK512" s="707"/>
      <c r="AL512" s="707"/>
      <c r="AM512" s="707"/>
      <c r="AN512" s="707"/>
      <c r="AO512" s="707"/>
      <c r="AP512" s="707"/>
      <c r="AQ512" s="707"/>
      <c r="AR512" s="707"/>
      <c r="AS512" s="707"/>
      <c r="AT512" s="707"/>
      <c r="AU512" s="707"/>
      <c r="AV512" s="707"/>
      <c r="AW512" s="707"/>
      <c r="AX512" s="707"/>
      <c r="AY512" s="707"/>
      <c r="AZ512" s="707"/>
      <c r="BA512" s="707"/>
      <c r="BB512" s="707"/>
      <c r="BC512" s="707"/>
      <c r="BD512" s="707"/>
      <c r="BE512" s="707"/>
      <c r="BF512" s="707"/>
      <c r="BG512" s="707"/>
      <c r="BH512" s="707"/>
      <c r="BI512" s="707"/>
      <c r="BJ512" s="707"/>
      <c r="BK512" s="707"/>
      <c r="BL512" s="707"/>
      <c r="BM512" s="707"/>
      <c r="BN512" s="707"/>
      <c r="BO512" s="707"/>
      <c r="BP512" s="707"/>
      <c r="BQ512" s="707"/>
      <c r="BR512" s="707"/>
      <c r="BS512" s="707"/>
      <c r="BT512" s="707"/>
      <c r="BU512" s="707"/>
      <c r="BV512" s="707"/>
      <c r="BW512" s="707"/>
      <c r="BX512" s="707"/>
      <c r="BY512" s="707"/>
      <c r="BZ512" s="707"/>
      <c r="CA512" s="707"/>
      <c r="CB512" s="707"/>
      <c r="CC512" s="707"/>
      <c r="CD512" s="707"/>
      <c r="CE512" s="707"/>
      <c r="CF512" s="707"/>
      <c r="CG512" s="707"/>
      <c r="CH512" s="707"/>
      <c r="CI512" s="707"/>
      <c r="CJ512" s="707"/>
      <c r="CK512" s="707"/>
      <c r="CL512" s="707"/>
      <c r="CM512" s="707"/>
      <c r="CN512" s="707"/>
      <c r="CO512" s="707"/>
      <c r="CP512" s="707"/>
      <c r="CQ512" s="707"/>
      <c r="CR512" s="707"/>
      <c r="CS512" s="707"/>
      <c r="CT512" s="707"/>
      <c r="CU512" s="707"/>
      <c r="CV512" s="707"/>
      <c r="CW512" s="707"/>
      <c r="CX512" s="707"/>
      <c r="CY512" s="707"/>
      <c r="CZ512" s="707"/>
      <c r="DA512" s="707"/>
      <c r="DB512" s="707"/>
      <c r="DC512" s="707"/>
      <c r="DD512" s="707"/>
      <c r="DE512" s="707"/>
      <c r="DF512" s="707"/>
      <c r="DG512" s="707"/>
      <c r="DH512" s="707"/>
      <c r="DI512" s="707"/>
      <c r="DJ512" s="707"/>
      <c r="DK512" s="707"/>
      <c r="DL512" s="707"/>
      <c r="DM512" s="707"/>
      <c r="DN512" s="707"/>
      <c r="DO512" s="707"/>
      <c r="DP512" s="707"/>
      <c r="DQ512" s="707"/>
      <c r="DR512" s="707"/>
      <c r="DS512" s="707"/>
      <c r="DT512" s="707"/>
      <c r="DU512" s="707"/>
      <c r="DV512" s="707"/>
      <c r="DW512" s="707"/>
      <c r="DX512" s="707"/>
      <c r="DY512" s="707"/>
      <c r="DZ512" s="707"/>
      <c r="EA512" s="707"/>
      <c r="EB512" s="707"/>
      <c r="EC512" s="707"/>
      <c r="ED512" s="707"/>
      <c r="EE512" s="707"/>
      <c r="EF512" s="707"/>
      <c r="EG512" s="707"/>
      <c r="EH512" s="707"/>
      <c r="EI512" s="707"/>
      <c r="EJ512" s="707"/>
      <c r="EK512" s="707"/>
      <c r="EL512" s="707"/>
      <c r="EM512" s="707"/>
      <c r="EN512" s="707"/>
      <c r="EO512" s="707"/>
      <c r="EP512" s="707"/>
      <c r="EQ512" s="707"/>
      <c r="ER512" s="707"/>
      <c r="ES512" s="707"/>
      <c r="ET512" s="707"/>
      <c r="EU512" s="707"/>
      <c r="EV512" s="707"/>
      <c r="EW512" s="707"/>
      <c r="EX512" s="707"/>
      <c r="EY512" s="707"/>
      <c r="EZ512" s="707"/>
      <c r="FA512" s="707"/>
      <c r="FB512" s="707"/>
      <c r="FC512" s="707"/>
      <c r="FD512" s="707"/>
      <c r="FE512" s="707"/>
      <c r="FF512" s="707"/>
      <c r="FG512" s="707"/>
      <c r="FH512" s="707"/>
      <c r="FI512" s="707"/>
      <c r="FJ512" s="707"/>
      <c r="FK512" s="707"/>
      <c r="FL512" s="707"/>
      <c r="FM512" s="707"/>
      <c r="FN512" s="707"/>
      <c r="FO512" s="707"/>
      <c r="FP512" s="707"/>
      <c r="FQ512" s="707"/>
      <c r="FR512" s="707"/>
      <c r="FS512" s="707"/>
      <c r="FT512" s="707"/>
      <c r="FU512" s="707"/>
      <c r="FV512" s="707"/>
      <c r="FW512" s="707"/>
      <c r="FX512" s="707"/>
      <c r="FY512" s="707"/>
      <c r="FZ512" s="707"/>
      <c r="GA512" s="707"/>
      <c r="GB512" s="707"/>
      <c r="GC512" s="707"/>
      <c r="GD512" s="707"/>
      <c r="GE512" s="707"/>
      <c r="GF512" s="707"/>
      <c r="GG512" s="707"/>
      <c r="GH512" s="707"/>
      <c r="GI512" s="707"/>
      <c r="GJ512" s="707"/>
      <c r="GK512" s="707"/>
      <c r="GL512" s="707"/>
      <c r="GM512" s="707"/>
      <c r="GN512" s="707"/>
      <c r="GO512" s="707"/>
      <c r="GP512" s="707"/>
      <c r="GQ512" s="707"/>
      <c r="GR512" s="707"/>
      <c r="GS512" s="707"/>
      <c r="GT512" s="707"/>
      <c r="GU512" s="707"/>
      <c r="GV512" s="707"/>
      <c r="GW512" s="707"/>
      <c r="GX512" s="707"/>
      <c r="GY512" s="707"/>
      <c r="GZ512" s="707"/>
      <c r="HA512" s="707"/>
      <c r="HB512" s="707"/>
      <c r="HC512" s="707"/>
      <c r="HD512" s="707"/>
      <c r="HE512" s="707"/>
      <c r="HF512" s="707"/>
      <c r="HG512" s="707"/>
      <c r="HH512" s="707"/>
      <c r="HI512" s="707"/>
      <c r="HJ512" s="707"/>
      <c r="HK512" s="707"/>
      <c r="HL512" s="707"/>
      <c r="HM512" s="707"/>
      <c r="HN512" s="707"/>
      <c r="HO512" s="707"/>
      <c r="HP512" s="707"/>
      <c r="HQ512" s="707"/>
      <c r="HR512" s="707"/>
      <c r="HS512" s="707"/>
      <c r="HT512" s="707"/>
      <c r="HU512" s="707"/>
      <c r="HV512" s="707"/>
      <c r="HW512" s="707"/>
      <c r="HX512" s="707"/>
      <c r="HY512" s="707"/>
      <c r="HZ512" s="707"/>
      <c r="IA512" s="707"/>
      <c r="IB512" s="707"/>
      <c r="IC512" s="707"/>
      <c r="ID512" s="707"/>
      <c r="IE512" s="707"/>
      <c r="IF512" s="707"/>
      <c r="IG512" s="707"/>
      <c r="IH512" s="707"/>
      <c r="II512" s="707"/>
      <c r="IJ512" s="707"/>
      <c r="IK512" s="707"/>
      <c r="IL512" s="707"/>
      <c r="IM512" s="707"/>
      <c r="IN512" s="707"/>
      <c r="IO512" s="707"/>
      <c r="IP512" s="707"/>
      <c r="IQ512" s="707"/>
      <c r="IR512" s="707"/>
      <c r="IS512" s="707"/>
      <c r="IT512" s="707"/>
      <c r="IU512" s="707"/>
      <c r="IV512" s="707"/>
      <c r="IW512" s="707"/>
    </row>
    <row r="513" customFormat="false" ht="12.75" hidden="false" customHeight="false" outlineLevel="1" collapsed="false">
      <c r="A513" s="367"/>
      <c r="B513" s="706"/>
      <c r="C513" s="706"/>
      <c r="D513" s="706"/>
      <c r="E513" s="713"/>
      <c r="F513" s="713"/>
      <c r="G513" s="713"/>
      <c r="H513" s="713"/>
      <c r="I513" s="713"/>
      <c r="J513" s="713"/>
      <c r="K513" s="713"/>
      <c r="L513" s="713"/>
      <c r="M513" s="713"/>
      <c r="N513" s="713"/>
      <c r="O513" s="713"/>
      <c r="P513" s="713"/>
      <c r="Q513" s="713"/>
      <c r="R513" s="713"/>
      <c r="S513" s="713"/>
      <c r="T513" s="713"/>
      <c r="U513" s="713"/>
      <c r="V513" s="713"/>
      <c r="W513" s="713"/>
      <c r="X513" s="713"/>
      <c r="Y513" s="713"/>
      <c r="Z513" s="713"/>
      <c r="AA513" s="707"/>
      <c r="AB513" s="707"/>
      <c r="AC513" s="707"/>
      <c r="AD513" s="707"/>
      <c r="AE513" s="707"/>
      <c r="AF513" s="707"/>
      <c r="AG513" s="707"/>
      <c r="AH513" s="707"/>
      <c r="AI513" s="707"/>
      <c r="AJ513" s="707"/>
      <c r="AK513" s="707"/>
      <c r="AL513" s="707"/>
      <c r="AM513" s="707"/>
      <c r="AN513" s="707"/>
      <c r="AO513" s="707"/>
      <c r="AP513" s="707"/>
      <c r="AQ513" s="707"/>
      <c r="AR513" s="707"/>
      <c r="AS513" s="707"/>
      <c r="AT513" s="707"/>
      <c r="AU513" s="707"/>
      <c r="AV513" s="707"/>
      <c r="AW513" s="707"/>
      <c r="AX513" s="707"/>
      <c r="AY513" s="707"/>
      <c r="AZ513" s="707"/>
      <c r="BA513" s="707"/>
      <c r="BB513" s="707"/>
      <c r="BC513" s="707"/>
      <c r="BD513" s="707"/>
      <c r="BE513" s="707"/>
      <c r="BF513" s="707"/>
      <c r="BG513" s="707"/>
      <c r="BH513" s="707"/>
      <c r="BI513" s="707"/>
      <c r="BJ513" s="707"/>
      <c r="BK513" s="707"/>
      <c r="BL513" s="707"/>
      <c r="BM513" s="707"/>
      <c r="BN513" s="707"/>
      <c r="BO513" s="707"/>
      <c r="BP513" s="707"/>
      <c r="BQ513" s="707"/>
      <c r="BR513" s="707"/>
      <c r="BS513" s="707"/>
      <c r="BT513" s="707"/>
      <c r="BU513" s="707"/>
      <c r="BV513" s="707"/>
      <c r="BW513" s="707"/>
      <c r="BX513" s="707"/>
      <c r="BY513" s="707"/>
      <c r="BZ513" s="707"/>
      <c r="CA513" s="707"/>
      <c r="CB513" s="707"/>
      <c r="CC513" s="707"/>
      <c r="CD513" s="707"/>
      <c r="CE513" s="707"/>
      <c r="CF513" s="707"/>
      <c r="CG513" s="707"/>
      <c r="CH513" s="707"/>
      <c r="CI513" s="707"/>
      <c r="CJ513" s="707"/>
      <c r="CK513" s="707"/>
      <c r="CL513" s="707"/>
      <c r="CM513" s="707"/>
      <c r="CN513" s="707"/>
      <c r="CO513" s="707"/>
      <c r="CP513" s="707"/>
      <c r="CQ513" s="707"/>
      <c r="CR513" s="707"/>
      <c r="CS513" s="707"/>
      <c r="CT513" s="707"/>
      <c r="CU513" s="707"/>
      <c r="CV513" s="707"/>
      <c r="CW513" s="707"/>
      <c r="CX513" s="707"/>
      <c r="CY513" s="707"/>
      <c r="CZ513" s="707"/>
      <c r="DA513" s="707"/>
      <c r="DB513" s="707"/>
      <c r="DC513" s="707"/>
      <c r="DD513" s="707"/>
      <c r="DE513" s="707"/>
      <c r="DF513" s="707"/>
      <c r="DG513" s="707"/>
      <c r="DH513" s="707"/>
      <c r="DI513" s="707"/>
      <c r="DJ513" s="707"/>
      <c r="DK513" s="707"/>
      <c r="DL513" s="707"/>
      <c r="DM513" s="707"/>
      <c r="DN513" s="707"/>
      <c r="DO513" s="707"/>
      <c r="DP513" s="707"/>
      <c r="DQ513" s="707"/>
      <c r="DR513" s="707"/>
      <c r="DS513" s="707"/>
      <c r="DT513" s="707"/>
      <c r="DU513" s="707"/>
      <c r="DV513" s="707"/>
      <c r="DW513" s="707"/>
      <c r="DX513" s="707"/>
      <c r="DY513" s="707"/>
      <c r="DZ513" s="707"/>
      <c r="EA513" s="707"/>
      <c r="EB513" s="707"/>
      <c r="EC513" s="707"/>
      <c r="ED513" s="707"/>
      <c r="EE513" s="707"/>
      <c r="EF513" s="707"/>
      <c r="EG513" s="707"/>
      <c r="EH513" s="707"/>
      <c r="EI513" s="707"/>
      <c r="EJ513" s="707"/>
      <c r="EK513" s="707"/>
      <c r="EL513" s="707"/>
      <c r="EM513" s="707"/>
      <c r="EN513" s="707"/>
      <c r="EO513" s="707"/>
      <c r="EP513" s="707"/>
      <c r="EQ513" s="707"/>
      <c r="ER513" s="707"/>
      <c r="ES513" s="707"/>
      <c r="ET513" s="707"/>
      <c r="EU513" s="707"/>
      <c r="EV513" s="707"/>
      <c r="EW513" s="707"/>
      <c r="EX513" s="707"/>
      <c r="EY513" s="707"/>
      <c r="EZ513" s="707"/>
      <c r="FA513" s="707"/>
      <c r="FB513" s="707"/>
      <c r="FC513" s="707"/>
      <c r="FD513" s="707"/>
      <c r="FE513" s="707"/>
      <c r="FF513" s="707"/>
      <c r="FG513" s="707"/>
      <c r="FH513" s="707"/>
      <c r="FI513" s="707"/>
      <c r="FJ513" s="707"/>
      <c r="FK513" s="707"/>
      <c r="FL513" s="707"/>
      <c r="FM513" s="707"/>
      <c r="FN513" s="707"/>
      <c r="FO513" s="707"/>
      <c r="FP513" s="707"/>
      <c r="FQ513" s="707"/>
      <c r="FR513" s="707"/>
      <c r="FS513" s="707"/>
      <c r="FT513" s="707"/>
      <c r="FU513" s="707"/>
      <c r="FV513" s="707"/>
      <c r="FW513" s="707"/>
      <c r="FX513" s="707"/>
      <c r="FY513" s="707"/>
      <c r="FZ513" s="707"/>
      <c r="GA513" s="707"/>
      <c r="GB513" s="707"/>
      <c r="GC513" s="707"/>
      <c r="GD513" s="707"/>
      <c r="GE513" s="707"/>
      <c r="GF513" s="707"/>
      <c r="GG513" s="707"/>
      <c r="GH513" s="707"/>
      <c r="GI513" s="707"/>
      <c r="GJ513" s="707"/>
      <c r="GK513" s="707"/>
      <c r="GL513" s="707"/>
      <c r="GM513" s="707"/>
      <c r="GN513" s="707"/>
      <c r="GO513" s="707"/>
      <c r="GP513" s="707"/>
      <c r="GQ513" s="707"/>
      <c r="GR513" s="707"/>
      <c r="GS513" s="707"/>
      <c r="GT513" s="707"/>
      <c r="GU513" s="707"/>
      <c r="GV513" s="707"/>
      <c r="GW513" s="707"/>
      <c r="GX513" s="707"/>
      <c r="GY513" s="707"/>
      <c r="GZ513" s="707"/>
      <c r="HA513" s="707"/>
      <c r="HB513" s="707"/>
      <c r="HC513" s="707"/>
      <c r="HD513" s="707"/>
      <c r="HE513" s="707"/>
      <c r="HF513" s="707"/>
      <c r="HG513" s="707"/>
      <c r="HH513" s="707"/>
      <c r="HI513" s="707"/>
      <c r="HJ513" s="707"/>
      <c r="HK513" s="707"/>
      <c r="HL513" s="707"/>
      <c r="HM513" s="707"/>
      <c r="HN513" s="707"/>
      <c r="HO513" s="707"/>
      <c r="HP513" s="707"/>
      <c r="HQ513" s="707"/>
      <c r="HR513" s="707"/>
      <c r="HS513" s="707"/>
      <c r="HT513" s="707"/>
      <c r="HU513" s="707"/>
      <c r="HV513" s="707"/>
      <c r="HW513" s="707"/>
      <c r="HX513" s="707"/>
      <c r="HY513" s="707"/>
      <c r="HZ513" s="707"/>
      <c r="IA513" s="707"/>
      <c r="IB513" s="707"/>
      <c r="IC513" s="707"/>
      <c r="ID513" s="707"/>
      <c r="IE513" s="707"/>
      <c r="IF513" s="707"/>
      <c r="IG513" s="707"/>
      <c r="IH513" s="707"/>
      <c r="II513" s="707"/>
      <c r="IJ513" s="707"/>
      <c r="IK513" s="707"/>
      <c r="IL513" s="707"/>
      <c r="IM513" s="707"/>
      <c r="IN513" s="707"/>
      <c r="IO513" s="707"/>
      <c r="IP513" s="707"/>
      <c r="IQ513" s="707"/>
      <c r="IR513" s="707"/>
      <c r="IS513" s="707"/>
      <c r="IT513" s="707"/>
      <c r="IU513" s="707"/>
      <c r="IV513" s="707"/>
      <c r="IW513" s="707"/>
    </row>
    <row r="514" customFormat="false" ht="12.75" hidden="false" customHeight="false" outlineLevel="1" collapsed="false">
      <c r="A514" s="720"/>
      <c r="B514" s="725"/>
      <c r="C514" s="725"/>
      <c r="D514" s="725"/>
      <c r="E514" s="713"/>
      <c r="F514" s="713"/>
      <c r="G514" s="713"/>
      <c r="H514" s="713"/>
      <c r="I514" s="713"/>
      <c r="J514" s="713"/>
      <c r="K514" s="713"/>
      <c r="L514" s="713"/>
      <c r="M514" s="713"/>
      <c r="N514" s="713"/>
      <c r="O514" s="713"/>
      <c r="P514" s="713"/>
      <c r="Q514" s="713"/>
      <c r="R514" s="713"/>
      <c r="S514" s="713"/>
      <c r="T514" s="713"/>
      <c r="U514" s="713"/>
      <c r="V514" s="713"/>
      <c r="W514" s="713"/>
      <c r="X514" s="713"/>
      <c r="Y514" s="713"/>
      <c r="Z514" s="713"/>
      <c r="AA514" s="722"/>
      <c r="AB514" s="722"/>
      <c r="AC514" s="722"/>
      <c r="AD514" s="722"/>
      <c r="AE514" s="722"/>
      <c r="AF514" s="722"/>
      <c r="AG514" s="722"/>
      <c r="AH514" s="722"/>
      <c r="AI514" s="722"/>
      <c r="AJ514" s="722"/>
      <c r="AK514" s="722"/>
      <c r="AL514" s="722"/>
      <c r="AM514" s="722"/>
      <c r="AN514" s="722"/>
      <c r="AO514" s="722"/>
      <c r="AP514" s="722"/>
      <c r="AQ514" s="722"/>
      <c r="AR514" s="722"/>
      <c r="AS514" s="722"/>
      <c r="AT514" s="722"/>
      <c r="AU514" s="722"/>
      <c r="AV514" s="722"/>
      <c r="AW514" s="722"/>
      <c r="AX514" s="722"/>
      <c r="AY514" s="722"/>
      <c r="AZ514" s="722"/>
      <c r="BA514" s="722"/>
      <c r="BB514" s="722"/>
      <c r="BC514" s="722"/>
      <c r="BD514" s="722"/>
      <c r="BE514" s="722"/>
      <c r="BF514" s="722"/>
      <c r="BG514" s="722"/>
      <c r="BH514" s="722"/>
      <c r="BI514" s="722"/>
      <c r="BJ514" s="722"/>
      <c r="BK514" s="722"/>
      <c r="BL514" s="722"/>
      <c r="BM514" s="722"/>
      <c r="BN514" s="722"/>
      <c r="BO514" s="722"/>
      <c r="BP514" s="722"/>
      <c r="BQ514" s="722"/>
      <c r="BR514" s="722"/>
      <c r="BS514" s="722"/>
      <c r="BT514" s="722"/>
      <c r="BU514" s="722"/>
      <c r="BV514" s="722"/>
      <c r="BW514" s="722"/>
      <c r="BX514" s="722"/>
      <c r="BY514" s="722"/>
      <c r="BZ514" s="722"/>
      <c r="CA514" s="722"/>
      <c r="CB514" s="722"/>
      <c r="CC514" s="722"/>
      <c r="CD514" s="722"/>
      <c r="CE514" s="722"/>
      <c r="CF514" s="722"/>
      <c r="CG514" s="722"/>
      <c r="CH514" s="722"/>
      <c r="CI514" s="722"/>
      <c r="CJ514" s="722"/>
      <c r="CK514" s="722"/>
      <c r="CL514" s="722"/>
      <c r="CM514" s="722"/>
      <c r="CN514" s="722"/>
      <c r="CO514" s="722"/>
      <c r="CP514" s="722"/>
      <c r="CQ514" s="722"/>
      <c r="CR514" s="722"/>
      <c r="CS514" s="722"/>
      <c r="CT514" s="722"/>
      <c r="CU514" s="722"/>
      <c r="CV514" s="722"/>
      <c r="CW514" s="722"/>
      <c r="CX514" s="722"/>
      <c r="CY514" s="722"/>
      <c r="CZ514" s="722"/>
      <c r="DA514" s="722"/>
      <c r="DB514" s="722"/>
      <c r="DC514" s="722"/>
      <c r="DD514" s="722"/>
      <c r="DE514" s="722"/>
      <c r="DF514" s="722"/>
      <c r="DG514" s="722"/>
      <c r="DH514" s="722"/>
      <c r="DI514" s="722"/>
      <c r="DJ514" s="722"/>
      <c r="DK514" s="722"/>
      <c r="DL514" s="722"/>
      <c r="DM514" s="722"/>
      <c r="DN514" s="722"/>
      <c r="DO514" s="722"/>
      <c r="DP514" s="722"/>
      <c r="DQ514" s="722"/>
      <c r="DR514" s="722"/>
      <c r="DS514" s="722"/>
      <c r="DT514" s="722"/>
      <c r="DU514" s="722"/>
      <c r="DV514" s="722"/>
      <c r="DW514" s="722"/>
      <c r="DX514" s="722"/>
      <c r="DY514" s="722"/>
      <c r="DZ514" s="722"/>
      <c r="EA514" s="722"/>
      <c r="EB514" s="722"/>
      <c r="EC514" s="722"/>
      <c r="ED514" s="722"/>
      <c r="EE514" s="722"/>
      <c r="EF514" s="722"/>
      <c r="EG514" s="722"/>
      <c r="EH514" s="722"/>
      <c r="EI514" s="722"/>
      <c r="EJ514" s="722"/>
      <c r="EK514" s="722"/>
      <c r="EL514" s="722"/>
      <c r="EM514" s="722"/>
      <c r="EN514" s="722"/>
      <c r="EO514" s="722"/>
      <c r="EP514" s="722"/>
      <c r="EQ514" s="722"/>
      <c r="ER514" s="722"/>
      <c r="ES514" s="722"/>
      <c r="ET514" s="722"/>
      <c r="EU514" s="722"/>
      <c r="EV514" s="722"/>
      <c r="EW514" s="722"/>
      <c r="EX514" s="722"/>
      <c r="EY514" s="722"/>
      <c r="EZ514" s="722"/>
      <c r="FA514" s="722"/>
      <c r="FB514" s="722"/>
      <c r="FC514" s="722"/>
      <c r="FD514" s="722"/>
      <c r="FE514" s="722"/>
      <c r="FF514" s="722"/>
      <c r="FG514" s="722"/>
      <c r="FH514" s="722"/>
      <c r="FI514" s="722"/>
      <c r="FJ514" s="722"/>
      <c r="FK514" s="722"/>
      <c r="FL514" s="722"/>
      <c r="FM514" s="722"/>
      <c r="FN514" s="722"/>
      <c r="FO514" s="722"/>
      <c r="FP514" s="722"/>
      <c r="FQ514" s="722"/>
      <c r="FR514" s="722"/>
      <c r="FS514" s="722"/>
      <c r="FT514" s="722"/>
      <c r="FU514" s="722"/>
      <c r="FV514" s="722"/>
      <c r="FW514" s="722"/>
      <c r="FX514" s="722"/>
      <c r="FY514" s="722"/>
      <c r="FZ514" s="722"/>
      <c r="GA514" s="722"/>
      <c r="GB514" s="722"/>
      <c r="GC514" s="722"/>
      <c r="GD514" s="722"/>
      <c r="GE514" s="722"/>
      <c r="GF514" s="722"/>
      <c r="GG514" s="722"/>
      <c r="GH514" s="722"/>
      <c r="GI514" s="722"/>
      <c r="GJ514" s="722"/>
      <c r="GK514" s="722"/>
      <c r="GL514" s="722"/>
      <c r="GM514" s="722"/>
      <c r="GN514" s="722"/>
      <c r="GO514" s="722"/>
      <c r="GP514" s="722"/>
      <c r="GQ514" s="722"/>
      <c r="GR514" s="722"/>
      <c r="GS514" s="722"/>
      <c r="GT514" s="722"/>
      <c r="GU514" s="722"/>
      <c r="GV514" s="722"/>
      <c r="GW514" s="722"/>
      <c r="GX514" s="722"/>
      <c r="GY514" s="722"/>
      <c r="GZ514" s="722"/>
      <c r="HA514" s="722"/>
      <c r="HB514" s="722"/>
      <c r="HC514" s="722"/>
      <c r="HD514" s="722"/>
      <c r="HE514" s="722"/>
      <c r="HF514" s="722"/>
      <c r="HG514" s="722"/>
      <c r="HH514" s="722"/>
      <c r="HI514" s="722"/>
      <c r="HJ514" s="722"/>
      <c r="HK514" s="722"/>
      <c r="HL514" s="722"/>
      <c r="HM514" s="722"/>
      <c r="HN514" s="722"/>
      <c r="HO514" s="722"/>
      <c r="HP514" s="722"/>
      <c r="HQ514" s="722"/>
      <c r="HR514" s="722"/>
      <c r="HS514" s="722"/>
      <c r="HT514" s="722"/>
      <c r="HU514" s="722"/>
      <c r="HV514" s="722"/>
      <c r="HW514" s="722"/>
      <c r="HX514" s="722"/>
      <c r="HY514" s="722"/>
      <c r="HZ514" s="722"/>
      <c r="IA514" s="722"/>
      <c r="IB514" s="722"/>
      <c r="IC514" s="722"/>
      <c r="ID514" s="722"/>
      <c r="IE514" s="722"/>
      <c r="IF514" s="722"/>
      <c r="IG514" s="722"/>
      <c r="IH514" s="722"/>
      <c r="II514" s="722"/>
      <c r="IJ514" s="722"/>
      <c r="IK514" s="722"/>
      <c r="IL514" s="722"/>
      <c r="IM514" s="722"/>
      <c r="IN514" s="722"/>
      <c r="IO514" s="722"/>
      <c r="IP514" s="722"/>
      <c r="IQ514" s="722"/>
      <c r="IR514" s="722"/>
      <c r="IS514" s="722"/>
      <c r="IT514" s="722"/>
      <c r="IU514" s="722"/>
      <c r="IV514" s="722"/>
      <c r="IW514" s="722"/>
    </row>
    <row r="515" customFormat="false" ht="12.75" hidden="false" customHeight="false" outlineLevel="1" collapsed="false">
      <c r="A515" s="367"/>
      <c r="B515" s="726"/>
      <c r="C515" s="726"/>
      <c r="D515" s="726"/>
      <c r="E515" s="713"/>
      <c r="F515" s="713"/>
      <c r="G515" s="713"/>
      <c r="H515" s="713"/>
      <c r="I515" s="713"/>
      <c r="J515" s="713"/>
      <c r="K515" s="713"/>
      <c r="L515" s="713"/>
      <c r="M515" s="713"/>
      <c r="N515" s="713"/>
      <c r="O515" s="713"/>
      <c r="P515" s="713"/>
      <c r="Q515" s="713"/>
      <c r="R515" s="713"/>
      <c r="S515" s="713"/>
      <c r="T515" s="713"/>
      <c r="U515" s="713"/>
      <c r="V515" s="713"/>
      <c r="W515" s="713"/>
      <c r="X515" s="713"/>
      <c r="Y515" s="713"/>
      <c r="Z515" s="713"/>
      <c r="AA515" s="707"/>
      <c r="AB515" s="707"/>
      <c r="AC515" s="707"/>
      <c r="AD515" s="707"/>
      <c r="AE515" s="707"/>
      <c r="AF515" s="707"/>
      <c r="AG515" s="707"/>
      <c r="AH515" s="707"/>
      <c r="AI515" s="707"/>
      <c r="AJ515" s="707"/>
      <c r="AK515" s="707"/>
      <c r="AL515" s="707"/>
      <c r="AM515" s="707"/>
      <c r="AN515" s="707"/>
      <c r="AO515" s="707"/>
      <c r="AP515" s="707"/>
      <c r="AQ515" s="707"/>
      <c r="AR515" s="707"/>
      <c r="AS515" s="707"/>
      <c r="AT515" s="707"/>
      <c r="AU515" s="707"/>
      <c r="AV515" s="707"/>
      <c r="AW515" s="707"/>
      <c r="AX515" s="707"/>
      <c r="AY515" s="707"/>
      <c r="AZ515" s="707"/>
      <c r="BA515" s="707"/>
      <c r="BB515" s="707"/>
      <c r="BC515" s="707"/>
      <c r="BD515" s="707"/>
      <c r="BE515" s="707"/>
      <c r="BF515" s="707"/>
      <c r="BG515" s="707"/>
      <c r="BH515" s="707"/>
      <c r="BI515" s="707"/>
      <c r="BJ515" s="707"/>
      <c r="BK515" s="707"/>
      <c r="BL515" s="707"/>
      <c r="BM515" s="707"/>
      <c r="BN515" s="707"/>
      <c r="BO515" s="707"/>
      <c r="BP515" s="707"/>
      <c r="BQ515" s="707"/>
      <c r="BR515" s="707"/>
      <c r="BS515" s="707"/>
      <c r="BT515" s="707"/>
      <c r="BU515" s="707"/>
      <c r="BV515" s="707"/>
      <c r="BW515" s="707"/>
      <c r="BX515" s="707"/>
      <c r="BY515" s="707"/>
      <c r="BZ515" s="707"/>
      <c r="CA515" s="707"/>
      <c r="CB515" s="707"/>
      <c r="CC515" s="707"/>
      <c r="CD515" s="707"/>
      <c r="CE515" s="707"/>
      <c r="CF515" s="707"/>
      <c r="CG515" s="707"/>
      <c r="CH515" s="707"/>
      <c r="CI515" s="707"/>
      <c r="CJ515" s="707"/>
      <c r="CK515" s="707"/>
      <c r="CL515" s="707"/>
      <c r="CM515" s="707"/>
      <c r="CN515" s="707"/>
      <c r="CO515" s="707"/>
      <c r="CP515" s="707"/>
      <c r="CQ515" s="707"/>
      <c r="CR515" s="707"/>
      <c r="CS515" s="707"/>
      <c r="CT515" s="707"/>
      <c r="CU515" s="707"/>
      <c r="CV515" s="707"/>
      <c r="CW515" s="707"/>
      <c r="CX515" s="707"/>
      <c r="CY515" s="707"/>
      <c r="CZ515" s="707"/>
      <c r="DA515" s="707"/>
      <c r="DB515" s="707"/>
      <c r="DC515" s="707"/>
      <c r="DD515" s="707"/>
      <c r="DE515" s="707"/>
      <c r="DF515" s="707"/>
      <c r="DG515" s="707"/>
      <c r="DH515" s="707"/>
      <c r="DI515" s="707"/>
      <c r="DJ515" s="707"/>
      <c r="DK515" s="707"/>
      <c r="DL515" s="707"/>
      <c r="DM515" s="707"/>
      <c r="DN515" s="707"/>
      <c r="DO515" s="707"/>
      <c r="DP515" s="707"/>
      <c r="DQ515" s="707"/>
      <c r="DR515" s="707"/>
      <c r="DS515" s="707"/>
      <c r="DT515" s="707"/>
      <c r="DU515" s="707"/>
      <c r="DV515" s="707"/>
      <c r="DW515" s="707"/>
      <c r="DX515" s="707"/>
      <c r="DY515" s="707"/>
      <c r="DZ515" s="707"/>
      <c r="EA515" s="707"/>
      <c r="EB515" s="707"/>
      <c r="EC515" s="707"/>
      <c r="ED515" s="707"/>
      <c r="EE515" s="707"/>
      <c r="EF515" s="707"/>
      <c r="EG515" s="707"/>
      <c r="EH515" s="707"/>
      <c r="EI515" s="707"/>
      <c r="EJ515" s="707"/>
      <c r="EK515" s="707"/>
      <c r="EL515" s="707"/>
      <c r="EM515" s="707"/>
      <c r="EN515" s="707"/>
      <c r="EO515" s="707"/>
      <c r="EP515" s="707"/>
      <c r="EQ515" s="707"/>
      <c r="ER515" s="707"/>
      <c r="ES515" s="707"/>
      <c r="ET515" s="707"/>
      <c r="EU515" s="707"/>
      <c r="EV515" s="707"/>
      <c r="EW515" s="707"/>
      <c r="EX515" s="707"/>
      <c r="EY515" s="707"/>
      <c r="EZ515" s="707"/>
      <c r="FA515" s="707"/>
      <c r="FB515" s="707"/>
      <c r="FC515" s="707"/>
      <c r="FD515" s="707"/>
      <c r="FE515" s="707"/>
      <c r="FF515" s="707"/>
      <c r="FG515" s="707"/>
      <c r="FH515" s="707"/>
      <c r="FI515" s="707"/>
      <c r="FJ515" s="707"/>
      <c r="FK515" s="707"/>
      <c r="FL515" s="707"/>
      <c r="FM515" s="707"/>
      <c r="FN515" s="707"/>
      <c r="FO515" s="707"/>
      <c r="FP515" s="707"/>
      <c r="FQ515" s="707"/>
      <c r="FR515" s="707"/>
      <c r="FS515" s="707"/>
      <c r="FT515" s="707"/>
      <c r="FU515" s="707"/>
      <c r="FV515" s="707"/>
      <c r="FW515" s="707"/>
      <c r="FX515" s="707"/>
      <c r="FY515" s="707"/>
      <c r="FZ515" s="707"/>
      <c r="GA515" s="707"/>
      <c r="GB515" s="707"/>
      <c r="GC515" s="707"/>
      <c r="GD515" s="707"/>
      <c r="GE515" s="707"/>
      <c r="GF515" s="707"/>
      <c r="GG515" s="707"/>
      <c r="GH515" s="707"/>
      <c r="GI515" s="707"/>
      <c r="GJ515" s="707"/>
      <c r="GK515" s="707"/>
      <c r="GL515" s="707"/>
      <c r="GM515" s="707"/>
      <c r="GN515" s="707"/>
      <c r="GO515" s="707"/>
      <c r="GP515" s="707"/>
      <c r="GQ515" s="707"/>
      <c r="GR515" s="707"/>
      <c r="GS515" s="707"/>
      <c r="GT515" s="707"/>
      <c r="GU515" s="707"/>
      <c r="GV515" s="707"/>
      <c r="GW515" s="707"/>
      <c r="GX515" s="707"/>
      <c r="GY515" s="707"/>
      <c r="GZ515" s="707"/>
      <c r="HA515" s="707"/>
      <c r="HB515" s="707"/>
      <c r="HC515" s="707"/>
      <c r="HD515" s="707"/>
      <c r="HE515" s="707"/>
      <c r="HF515" s="707"/>
      <c r="HG515" s="707"/>
      <c r="HH515" s="707"/>
      <c r="HI515" s="707"/>
      <c r="HJ515" s="707"/>
      <c r="HK515" s="707"/>
      <c r="HL515" s="707"/>
      <c r="HM515" s="707"/>
      <c r="HN515" s="707"/>
      <c r="HO515" s="707"/>
      <c r="HP515" s="707"/>
      <c r="HQ515" s="707"/>
      <c r="HR515" s="707"/>
      <c r="HS515" s="707"/>
      <c r="HT515" s="707"/>
      <c r="HU515" s="707"/>
      <c r="HV515" s="707"/>
      <c r="HW515" s="707"/>
      <c r="HX515" s="707"/>
      <c r="HY515" s="707"/>
      <c r="HZ515" s="707"/>
      <c r="IA515" s="707"/>
      <c r="IB515" s="707"/>
      <c r="IC515" s="707"/>
      <c r="ID515" s="707"/>
      <c r="IE515" s="707"/>
      <c r="IF515" s="707"/>
      <c r="IG515" s="707"/>
      <c r="IH515" s="707"/>
      <c r="II515" s="707"/>
      <c r="IJ515" s="707"/>
      <c r="IK515" s="707"/>
      <c r="IL515" s="707"/>
      <c r="IM515" s="707"/>
      <c r="IN515" s="707"/>
      <c r="IO515" s="707"/>
      <c r="IP515" s="707"/>
      <c r="IQ515" s="707"/>
      <c r="IR515" s="707"/>
      <c r="IS515" s="707"/>
      <c r="IT515" s="707"/>
      <c r="IU515" s="707"/>
      <c r="IV515" s="707"/>
      <c r="IW515" s="707"/>
    </row>
    <row r="516" customFormat="false" ht="12.75" hidden="false" customHeight="false" outlineLevel="1" collapsed="false">
      <c r="A516" s="681"/>
      <c r="B516" s="726"/>
      <c r="C516" s="726"/>
      <c r="D516" s="726"/>
      <c r="E516" s="713"/>
      <c r="F516" s="713"/>
      <c r="G516" s="713"/>
      <c r="H516" s="713"/>
      <c r="I516" s="713"/>
      <c r="J516" s="713"/>
      <c r="K516" s="713"/>
      <c r="L516" s="713"/>
      <c r="M516" s="713"/>
      <c r="N516" s="713"/>
      <c r="O516" s="713"/>
      <c r="P516" s="713"/>
      <c r="Q516" s="713"/>
      <c r="R516" s="713"/>
      <c r="S516" s="713"/>
      <c r="T516" s="713"/>
      <c r="U516" s="713"/>
      <c r="V516" s="713"/>
      <c r="W516" s="713"/>
      <c r="X516" s="713"/>
      <c r="Y516" s="713"/>
      <c r="Z516" s="713"/>
      <c r="AA516" s="707"/>
      <c r="AB516" s="707"/>
      <c r="AC516" s="707"/>
      <c r="AD516" s="707"/>
      <c r="AE516" s="707"/>
      <c r="AF516" s="707"/>
      <c r="AG516" s="707"/>
      <c r="AH516" s="707"/>
      <c r="AI516" s="707"/>
      <c r="AJ516" s="707"/>
      <c r="AK516" s="707"/>
      <c r="AL516" s="707"/>
      <c r="AM516" s="707"/>
      <c r="AN516" s="707"/>
      <c r="AO516" s="707"/>
      <c r="AP516" s="707"/>
      <c r="AQ516" s="707"/>
      <c r="AR516" s="707"/>
      <c r="AS516" s="707"/>
      <c r="AT516" s="707"/>
      <c r="AU516" s="707"/>
      <c r="AV516" s="707"/>
      <c r="AW516" s="707"/>
      <c r="AX516" s="707"/>
      <c r="AY516" s="707"/>
      <c r="AZ516" s="707"/>
      <c r="BA516" s="707"/>
      <c r="BB516" s="707"/>
      <c r="BC516" s="707"/>
      <c r="BD516" s="707"/>
      <c r="BE516" s="707"/>
      <c r="BF516" s="707"/>
      <c r="BG516" s="707"/>
      <c r="BH516" s="707"/>
      <c r="BI516" s="707"/>
      <c r="BJ516" s="707"/>
      <c r="BK516" s="707"/>
      <c r="BL516" s="707"/>
      <c r="BM516" s="707"/>
      <c r="BN516" s="707"/>
      <c r="BO516" s="707"/>
      <c r="BP516" s="707"/>
      <c r="BQ516" s="707"/>
      <c r="BR516" s="707"/>
      <c r="BS516" s="707"/>
      <c r="BT516" s="707"/>
      <c r="BU516" s="707"/>
      <c r="BV516" s="707"/>
      <c r="BW516" s="707"/>
      <c r="BX516" s="707"/>
      <c r="BY516" s="707"/>
      <c r="BZ516" s="707"/>
      <c r="CA516" s="707"/>
      <c r="CB516" s="707"/>
      <c r="CC516" s="707"/>
      <c r="CD516" s="707"/>
      <c r="CE516" s="707"/>
      <c r="CF516" s="707"/>
      <c r="CG516" s="707"/>
      <c r="CH516" s="707"/>
      <c r="CI516" s="707"/>
      <c r="CJ516" s="707"/>
      <c r="CK516" s="707"/>
      <c r="CL516" s="707"/>
      <c r="CM516" s="707"/>
      <c r="CN516" s="707"/>
      <c r="CO516" s="707"/>
      <c r="CP516" s="707"/>
      <c r="CQ516" s="707"/>
      <c r="CR516" s="707"/>
      <c r="CS516" s="707"/>
      <c r="CT516" s="707"/>
      <c r="CU516" s="707"/>
      <c r="CV516" s="707"/>
      <c r="CW516" s="707"/>
      <c r="CX516" s="707"/>
      <c r="CY516" s="707"/>
      <c r="CZ516" s="707"/>
      <c r="DA516" s="707"/>
      <c r="DB516" s="707"/>
      <c r="DC516" s="707"/>
      <c r="DD516" s="707"/>
      <c r="DE516" s="707"/>
      <c r="DF516" s="707"/>
      <c r="DG516" s="707"/>
      <c r="DH516" s="707"/>
      <c r="DI516" s="707"/>
      <c r="DJ516" s="707"/>
      <c r="DK516" s="707"/>
      <c r="DL516" s="707"/>
      <c r="DM516" s="707"/>
      <c r="DN516" s="707"/>
      <c r="DO516" s="707"/>
      <c r="DP516" s="707"/>
      <c r="DQ516" s="707"/>
      <c r="DR516" s="707"/>
      <c r="DS516" s="707"/>
      <c r="DT516" s="707"/>
      <c r="DU516" s="707"/>
      <c r="DV516" s="707"/>
      <c r="DW516" s="707"/>
      <c r="DX516" s="707"/>
      <c r="DY516" s="707"/>
      <c r="DZ516" s="707"/>
      <c r="EA516" s="707"/>
      <c r="EB516" s="707"/>
      <c r="EC516" s="707"/>
      <c r="ED516" s="707"/>
      <c r="EE516" s="707"/>
      <c r="EF516" s="707"/>
      <c r="EG516" s="707"/>
      <c r="EH516" s="707"/>
      <c r="EI516" s="707"/>
      <c r="EJ516" s="707"/>
      <c r="EK516" s="707"/>
      <c r="EL516" s="707"/>
      <c r="EM516" s="707"/>
      <c r="EN516" s="707"/>
      <c r="EO516" s="707"/>
      <c r="EP516" s="707"/>
      <c r="EQ516" s="707"/>
      <c r="ER516" s="707"/>
      <c r="ES516" s="707"/>
      <c r="ET516" s="707"/>
      <c r="EU516" s="707"/>
      <c r="EV516" s="707"/>
      <c r="EW516" s="707"/>
      <c r="EX516" s="707"/>
      <c r="EY516" s="707"/>
      <c r="EZ516" s="707"/>
      <c r="FA516" s="707"/>
      <c r="FB516" s="707"/>
      <c r="FC516" s="707"/>
      <c r="FD516" s="707"/>
      <c r="FE516" s="707"/>
      <c r="FF516" s="707"/>
      <c r="FG516" s="707"/>
      <c r="FH516" s="707"/>
      <c r="FI516" s="707"/>
      <c r="FJ516" s="707"/>
      <c r="FK516" s="707"/>
      <c r="FL516" s="707"/>
      <c r="FM516" s="707"/>
      <c r="FN516" s="707"/>
      <c r="FO516" s="707"/>
      <c r="FP516" s="707"/>
      <c r="FQ516" s="707"/>
      <c r="FR516" s="707"/>
      <c r="FS516" s="707"/>
      <c r="FT516" s="707"/>
      <c r="FU516" s="707"/>
      <c r="FV516" s="707"/>
      <c r="FW516" s="707"/>
      <c r="FX516" s="707"/>
      <c r="FY516" s="707"/>
      <c r="FZ516" s="707"/>
      <c r="GA516" s="707"/>
      <c r="GB516" s="707"/>
      <c r="GC516" s="707"/>
      <c r="GD516" s="707"/>
      <c r="GE516" s="707"/>
      <c r="GF516" s="707"/>
      <c r="GG516" s="707"/>
      <c r="GH516" s="707"/>
      <c r="GI516" s="707"/>
      <c r="GJ516" s="707"/>
      <c r="GK516" s="707"/>
      <c r="GL516" s="707"/>
      <c r="GM516" s="707"/>
      <c r="GN516" s="707"/>
      <c r="GO516" s="707"/>
      <c r="GP516" s="707"/>
      <c r="GQ516" s="707"/>
      <c r="GR516" s="707"/>
      <c r="GS516" s="707"/>
      <c r="GT516" s="707"/>
      <c r="GU516" s="707"/>
      <c r="GV516" s="707"/>
      <c r="GW516" s="707"/>
      <c r="GX516" s="707"/>
      <c r="GY516" s="707"/>
      <c r="GZ516" s="707"/>
      <c r="HA516" s="707"/>
      <c r="HB516" s="707"/>
      <c r="HC516" s="707"/>
      <c r="HD516" s="707"/>
      <c r="HE516" s="707"/>
      <c r="HF516" s="707"/>
      <c r="HG516" s="707"/>
      <c r="HH516" s="707"/>
      <c r="HI516" s="707"/>
      <c r="HJ516" s="707"/>
      <c r="HK516" s="707"/>
      <c r="HL516" s="707"/>
      <c r="HM516" s="707"/>
      <c r="HN516" s="707"/>
      <c r="HO516" s="707"/>
      <c r="HP516" s="707"/>
      <c r="HQ516" s="707"/>
      <c r="HR516" s="707"/>
      <c r="HS516" s="707"/>
      <c r="HT516" s="707"/>
      <c r="HU516" s="707"/>
      <c r="HV516" s="707"/>
      <c r="HW516" s="707"/>
      <c r="HX516" s="707"/>
      <c r="HY516" s="707"/>
      <c r="HZ516" s="707"/>
      <c r="IA516" s="707"/>
      <c r="IB516" s="707"/>
      <c r="IC516" s="707"/>
      <c r="ID516" s="707"/>
      <c r="IE516" s="707"/>
      <c r="IF516" s="707"/>
      <c r="IG516" s="707"/>
      <c r="IH516" s="707"/>
      <c r="II516" s="707"/>
      <c r="IJ516" s="707"/>
      <c r="IK516" s="707"/>
      <c r="IL516" s="707"/>
      <c r="IM516" s="707"/>
      <c r="IN516" s="707"/>
      <c r="IO516" s="707"/>
      <c r="IP516" s="707"/>
      <c r="IQ516" s="707"/>
      <c r="IR516" s="707"/>
      <c r="IS516" s="707"/>
      <c r="IT516" s="707"/>
      <c r="IU516" s="707"/>
      <c r="IV516" s="707"/>
      <c r="IW516" s="707"/>
    </row>
    <row r="517" customFormat="false" ht="12.75" hidden="false" customHeight="false" outlineLevel="1" collapsed="false">
      <c r="A517" s="366"/>
      <c r="B517" s="719"/>
      <c r="C517" s="719"/>
      <c r="D517" s="719"/>
      <c r="E517" s="713"/>
      <c r="F517" s="713"/>
      <c r="G517" s="713"/>
      <c r="H517" s="713"/>
      <c r="I517" s="713"/>
      <c r="J517" s="713"/>
      <c r="K517" s="713"/>
      <c r="L517" s="713"/>
      <c r="M517" s="713"/>
      <c r="N517" s="713"/>
      <c r="O517" s="713"/>
      <c r="P517" s="713"/>
      <c r="Q517" s="713"/>
      <c r="R517" s="713"/>
      <c r="S517" s="713"/>
      <c r="T517" s="713"/>
      <c r="U517" s="713"/>
      <c r="V517" s="713"/>
      <c r="W517" s="713"/>
      <c r="X517" s="713"/>
      <c r="Y517" s="713"/>
      <c r="Z517" s="713"/>
      <c r="AA517" s="707"/>
      <c r="AB517" s="707"/>
      <c r="AC517" s="707"/>
      <c r="AD517" s="707"/>
      <c r="AE517" s="707"/>
      <c r="AF517" s="707"/>
      <c r="AG517" s="707"/>
      <c r="AH517" s="707"/>
      <c r="AI517" s="707"/>
      <c r="AJ517" s="707"/>
      <c r="AK517" s="707"/>
      <c r="AL517" s="707"/>
      <c r="AM517" s="707"/>
      <c r="AN517" s="707"/>
      <c r="AO517" s="707"/>
      <c r="AP517" s="707"/>
      <c r="AQ517" s="707"/>
      <c r="AR517" s="707"/>
      <c r="AS517" s="707"/>
      <c r="AT517" s="707"/>
      <c r="AU517" s="707"/>
      <c r="AV517" s="707"/>
      <c r="AW517" s="707"/>
      <c r="AX517" s="707"/>
      <c r="AY517" s="707"/>
      <c r="AZ517" s="707"/>
      <c r="BA517" s="707"/>
      <c r="BB517" s="707"/>
      <c r="BC517" s="707"/>
      <c r="BD517" s="707"/>
      <c r="BE517" s="707"/>
      <c r="BF517" s="707"/>
      <c r="BG517" s="707"/>
      <c r="BH517" s="707"/>
      <c r="BI517" s="707"/>
      <c r="BJ517" s="707"/>
      <c r="BK517" s="707"/>
      <c r="BL517" s="707"/>
      <c r="BM517" s="707"/>
      <c r="BN517" s="707"/>
      <c r="BO517" s="707"/>
      <c r="BP517" s="707"/>
      <c r="BQ517" s="707"/>
      <c r="BR517" s="707"/>
      <c r="BS517" s="707"/>
      <c r="BT517" s="707"/>
      <c r="BU517" s="707"/>
      <c r="BV517" s="707"/>
      <c r="BW517" s="707"/>
      <c r="BX517" s="707"/>
      <c r="BY517" s="707"/>
      <c r="BZ517" s="707"/>
      <c r="CA517" s="707"/>
      <c r="CB517" s="707"/>
      <c r="CC517" s="707"/>
      <c r="CD517" s="707"/>
      <c r="CE517" s="707"/>
      <c r="CF517" s="707"/>
      <c r="CG517" s="707"/>
      <c r="CH517" s="707"/>
      <c r="CI517" s="707"/>
      <c r="CJ517" s="707"/>
      <c r="CK517" s="707"/>
      <c r="CL517" s="707"/>
      <c r="CM517" s="707"/>
      <c r="CN517" s="707"/>
      <c r="CO517" s="707"/>
      <c r="CP517" s="707"/>
      <c r="CQ517" s="707"/>
      <c r="CR517" s="707"/>
      <c r="CS517" s="707"/>
      <c r="CT517" s="707"/>
      <c r="CU517" s="707"/>
      <c r="CV517" s="707"/>
      <c r="CW517" s="707"/>
      <c r="CX517" s="707"/>
      <c r="CY517" s="707"/>
      <c r="CZ517" s="707"/>
      <c r="DA517" s="707"/>
      <c r="DB517" s="707"/>
      <c r="DC517" s="707"/>
      <c r="DD517" s="707"/>
      <c r="DE517" s="707"/>
      <c r="DF517" s="707"/>
      <c r="DG517" s="707"/>
      <c r="DH517" s="707"/>
      <c r="DI517" s="707"/>
      <c r="DJ517" s="707"/>
      <c r="DK517" s="707"/>
      <c r="DL517" s="707"/>
      <c r="DM517" s="707"/>
      <c r="DN517" s="707"/>
      <c r="DO517" s="707"/>
      <c r="DP517" s="707"/>
      <c r="DQ517" s="707"/>
      <c r="DR517" s="707"/>
      <c r="DS517" s="707"/>
      <c r="DT517" s="707"/>
      <c r="DU517" s="707"/>
      <c r="DV517" s="707"/>
      <c r="DW517" s="707"/>
      <c r="DX517" s="707"/>
      <c r="DY517" s="707"/>
      <c r="DZ517" s="707"/>
      <c r="EA517" s="707"/>
      <c r="EB517" s="707"/>
      <c r="EC517" s="707"/>
      <c r="ED517" s="707"/>
      <c r="EE517" s="707"/>
      <c r="EF517" s="707"/>
      <c r="EG517" s="707"/>
      <c r="EH517" s="707"/>
      <c r="EI517" s="707"/>
      <c r="EJ517" s="707"/>
      <c r="EK517" s="707"/>
      <c r="EL517" s="707"/>
      <c r="EM517" s="707"/>
      <c r="EN517" s="707"/>
      <c r="EO517" s="707"/>
      <c r="EP517" s="707"/>
      <c r="EQ517" s="707"/>
      <c r="ER517" s="707"/>
      <c r="ES517" s="707"/>
      <c r="ET517" s="707"/>
      <c r="EU517" s="707"/>
      <c r="EV517" s="707"/>
      <c r="EW517" s="707"/>
      <c r="EX517" s="707"/>
      <c r="EY517" s="707"/>
      <c r="EZ517" s="707"/>
      <c r="FA517" s="707"/>
      <c r="FB517" s="707"/>
      <c r="FC517" s="707"/>
      <c r="FD517" s="707"/>
      <c r="FE517" s="707"/>
      <c r="FF517" s="707"/>
      <c r="FG517" s="707"/>
      <c r="FH517" s="707"/>
      <c r="FI517" s="707"/>
      <c r="FJ517" s="707"/>
      <c r="FK517" s="707"/>
      <c r="FL517" s="707"/>
      <c r="FM517" s="707"/>
      <c r="FN517" s="707"/>
      <c r="FO517" s="707"/>
      <c r="FP517" s="707"/>
      <c r="FQ517" s="707"/>
      <c r="FR517" s="707"/>
      <c r="FS517" s="707"/>
      <c r="FT517" s="707"/>
      <c r="FU517" s="707"/>
      <c r="FV517" s="707"/>
      <c r="FW517" s="707"/>
      <c r="FX517" s="707"/>
      <c r="FY517" s="707"/>
      <c r="FZ517" s="707"/>
      <c r="GA517" s="707"/>
      <c r="GB517" s="707"/>
      <c r="GC517" s="707"/>
      <c r="GD517" s="707"/>
      <c r="GE517" s="707"/>
      <c r="GF517" s="707"/>
      <c r="GG517" s="707"/>
      <c r="GH517" s="707"/>
      <c r="GI517" s="707"/>
      <c r="GJ517" s="707"/>
      <c r="GK517" s="707"/>
      <c r="GL517" s="707"/>
      <c r="GM517" s="707"/>
      <c r="GN517" s="707"/>
      <c r="GO517" s="707"/>
      <c r="GP517" s="707"/>
      <c r="GQ517" s="707"/>
      <c r="GR517" s="707"/>
      <c r="GS517" s="707"/>
      <c r="GT517" s="707"/>
      <c r="GU517" s="707"/>
      <c r="GV517" s="707"/>
      <c r="GW517" s="707"/>
      <c r="GX517" s="707"/>
      <c r="GY517" s="707"/>
      <c r="GZ517" s="707"/>
      <c r="HA517" s="707"/>
      <c r="HB517" s="707"/>
      <c r="HC517" s="707"/>
      <c r="HD517" s="707"/>
      <c r="HE517" s="707"/>
      <c r="HF517" s="707"/>
      <c r="HG517" s="707"/>
      <c r="HH517" s="707"/>
      <c r="HI517" s="707"/>
      <c r="HJ517" s="707"/>
      <c r="HK517" s="707"/>
      <c r="HL517" s="707"/>
      <c r="HM517" s="707"/>
      <c r="HN517" s="707"/>
      <c r="HO517" s="707"/>
      <c r="HP517" s="707"/>
      <c r="HQ517" s="707"/>
      <c r="HR517" s="707"/>
      <c r="HS517" s="707"/>
      <c r="HT517" s="707"/>
      <c r="HU517" s="707"/>
      <c r="HV517" s="707"/>
      <c r="HW517" s="707"/>
      <c r="HX517" s="707"/>
      <c r="HY517" s="707"/>
      <c r="HZ517" s="707"/>
      <c r="IA517" s="707"/>
      <c r="IB517" s="707"/>
      <c r="IC517" s="707"/>
      <c r="ID517" s="707"/>
      <c r="IE517" s="707"/>
      <c r="IF517" s="707"/>
      <c r="IG517" s="707"/>
      <c r="IH517" s="707"/>
      <c r="II517" s="707"/>
      <c r="IJ517" s="707"/>
      <c r="IK517" s="707"/>
      <c r="IL517" s="707"/>
      <c r="IM517" s="707"/>
      <c r="IN517" s="707"/>
      <c r="IO517" s="707"/>
      <c r="IP517" s="707"/>
      <c r="IQ517" s="707"/>
      <c r="IR517" s="707"/>
      <c r="IS517" s="707"/>
      <c r="IT517" s="707"/>
      <c r="IU517" s="707"/>
      <c r="IV517" s="707"/>
      <c r="IW517" s="707"/>
    </row>
    <row r="518" customFormat="false" ht="12.75" hidden="false" customHeight="false" outlineLevel="1" collapsed="false">
      <c r="A518" s="724"/>
      <c r="B518" s="725"/>
      <c r="C518" s="725"/>
      <c r="D518" s="725"/>
      <c r="E518" s="713"/>
      <c r="F518" s="713"/>
      <c r="G518" s="713"/>
      <c r="H518" s="713"/>
      <c r="I518" s="713"/>
      <c r="J518" s="713"/>
      <c r="K518" s="713"/>
      <c r="L518" s="713"/>
      <c r="M518" s="713"/>
      <c r="N518" s="713"/>
      <c r="O518" s="713"/>
      <c r="P518" s="713"/>
      <c r="Q518" s="713"/>
      <c r="R518" s="713"/>
      <c r="S518" s="713"/>
      <c r="T518" s="713"/>
      <c r="U518" s="713"/>
      <c r="V518" s="713"/>
      <c r="W518" s="713"/>
      <c r="X518" s="713"/>
      <c r="Y518" s="713"/>
      <c r="Z518" s="713"/>
      <c r="AA518" s="722"/>
      <c r="AB518" s="722"/>
      <c r="AC518" s="722"/>
      <c r="AD518" s="722"/>
      <c r="AE518" s="722"/>
      <c r="AF518" s="722"/>
      <c r="AG518" s="722"/>
      <c r="AH518" s="722"/>
      <c r="AI518" s="722"/>
      <c r="AJ518" s="722"/>
      <c r="AK518" s="722"/>
      <c r="AL518" s="722"/>
      <c r="AM518" s="722"/>
      <c r="AN518" s="722"/>
      <c r="AO518" s="722"/>
      <c r="AP518" s="722"/>
      <c r="AQ518" s="722"/>
      <c r="AR518" s="722"/>
      <c r="AS518" s="722"/>
      <c r="AT518" s="722"/>
      <c r="AU518" s="722"/>
      <c r="AV518" s="722"/>
      <c r="AW518" s="722"/>
      <c r="AX518" s="722"/>
      <c r="AY518" s="722"/>
      <c r="AZ518" s="722"/>
      <c r="BA518" s="722"/>
      <c r="BB518" s="722"/>
      <c r="BC518" s="722"/>
      <c r="BD518" s="722"/>
      <c r="BE518" s="722"/>
      <c r="BF518" s="722"/>
      <c r="BG518" s="722"/>
      <c r="BH518" s="722"/>
      <c r="BI518" s="722"/>
      <c r="BJ518" s="722"/>
      <c r="BK518" s="722"/>
      <c r="BL518" s="722"/>
      <c r="BM518" s="722"/>
      <c r="BN518" s="722"/>
      <c r="BO518" s="722"/>
      <c r="BP518" s="722"/>
      <c r="BQ518" s="722"/>
      <c r="BR518" s="722"/>
      <c r="BS518" s="722"/>
      <c r="BT518" s="722"/>
      <c r="BU518" s="722"/>
      <c r="BV518" s="722"/>
      <c r="BW518" s="722"/>
      <c r="BX518" s="722"/>
      <c r="BY518" s="722"/>
      <c r="BZ518" s="722"/>
      <c r="CA518" s="722"/>
      <c r="CB518" s="722"/>
      <c r="CC518" s="722"/>
      <c r="CD518" s="722"/>
      <c r="CE518" s="722"/>
      <c r="CF518" s="722"/>
      <c r="CG518" s="722"/>
      <c r="CH518" s="722"/>
      <c r="CI518" s="722"/>
      <c r="CJ518" s="722"/>
      <c r="CK518" s="722"/>
      <c r="CL518" s="722"/>
      <c r="CM518" s="722"/>
      <c r="CN518" s="722"/>
      <c r="CO518" s="722"/>
      <c r="CP518" s="722"/>
      <c r="CQ518" s="722"/>
      <c r="CR518" s="722"/>
      <c r="CS518" s="722"/>
      <c r="CT518" s="722"/>
      <c r="CU518" s="722"/>
      <c r="CV518" s="722"/>
      <c r="CW518" s="722"/>
      <c r="CX518" s="722"/>
      <c r="CY518" s="722"/>
      <c r="CZ518" s="722"/>
      <c r="DA518" s="722"/>
      <c r="DB518" s="722"/>
      <c r="DC518" s="722"/>
      <c r="DD518" s="722"/>
      <c r="DE518" s="722"/>
      <c r="DF518" s="722"/>
      <c r="DG518" s="722"/>
      <c r="DH518" s="722"/>
      <c r="DI518" s="722"/>
      <c r="DJ518" s="722"/>
      <c r="DK518" s="722"/>
      <c r="DL518" s="722"/>
      <c r="DM518" s="722"/>
      <c r="DN518" s="722"/>
      <c r="DO518" s="722"/>
      <c r="DP518" s="722"/>
      <c r="DQ518" s="722"/>
      <c r="DR518" s="722"/>
      <c r="DS518" s="722"/>
      <c r="DT518" s="722"/>
      <c r="DU518" s="722"/>
      <c r="DV518" s="722"/>
      <c r="DW518" s="722"/>
      <c r="DX518" s="722"/>
      <c r="DY518" s="722"/>
      <c r="DZ518" s="722"/>
      <c r="EA518" s="722"/>
      <c r="EB518" s="722"/>
      <c r="EC518" s="722"/>
      <c r="ED518" s="722"/>
      <c r="EE518" s="722"/>
      <c r="EF518" s="722"/>
      <c r="EG518" s="722"/>
      <c r="EH518" s="722"/>
      <c r="EI518" s="722"/>
      <c r="EJ518" s="722"/>
      <c r="EK518" s="722"/>
      <c r="EL518" s="722"/>
      <c r="EM518" s="722"/>
      <c r="EN518" s="722"/>
      <c r="EO518" s="722"/>
      <c r="EP518" s="722"/>
      <c r="EQ518" s="722"/>
      <c r="ER518" s="722"/>
      <c r="ES518" s="722"/>
      <c r="ET518" s="722"/>
      <c r="EU518" s="722"/>
      <c r="EV518" s="722"/>
      <c r="EW518" s="722"/>
      <c r="EX518" s="722"/>
      <c r="EY518" s="722"/>
      <c r="EZ518" s="722"/>
      <c r="FA518" s="722"/>
      <c r="FB518" s="722"/>
      <c r="FC518" s="722"/>
      <c r="FD518" s="722"/>
      <c r="FE518" s="722"/>
      <c r="FF518" s="722"/>
      <c r="FG518" s="722"/>
      <c r="FH518" s="722"/>
      <c r="FI518" s="722"/>
      <c r="FJ518" s="722"/>
      <c r="FK518" s="722"/>
      <c r="FL518" s="722"/>
      <c r="FM518" s="722"/>
      <c r="FN518" s="722"/>
      <c r="FO518" s="722"/>
      <c r="FP518" s="722"/>
      <c r="FQ518" s="722"/>
      <c r="FR518" s="722"/>
      <c r="FS518" s="722"/>
      <c r="FT518" s="722"/>
      <c r="FU518" s="722"/>
      <c r="FV518" s="722"/>
      <c r="FW518" s="722"/>
      <c r="FX518" s="722"/>
      <c r="FY518" s="722"/>
      <c r="FZ518" s="722"/>
      <c r="GA518" s="722"/>
      <c r="GB518" s="722"/>
      <c r="GC518" s="722"/>
      <c r="GD518" s="722"/>
      <c r="GE518" s="722"/>
      <c r="GF518" s="722"/>
      <c r="GG518" s="722"/>
      <c r="GH518" s="722"/>
      <c r="GI518" s="722"/>
      <c r="GJ518" s="722"/>
      <c r="GK518" s="722"/>
      <c r="GL518" s="722"/>
      <c r="GM518" s="722"/>
      <c r="GN518" s="722"/>
      <c r="GO518" s="722"/>
      <c r="GP518" s="722"/>
      <c r="GQ518" s="722"/>
      <c r="GR518" s="722"/>
      <c r="GS518" s="722"/>
      <c r="GT518" s="722"/>
      <c r="GU518" s="722"/>
      <c r="GV518" s="722"/>
      <c r="GW518" s="722"/>
      <c r="GX518" s="722"/>
      <c r="GY518" s="722"/>
      <c r="GZ518" s="722"/>
      <c r="HA518" s="722"/>
      <c r="HB518" s="722"/>
      <c r="HC518" s="722"/>
      <c r="HD518" s="722"/>
      <c r="HE518" s="722"/>
      <c r="HF518" s="722"/>
      <c r="HG518" s="722"/>
      <c r="HH518" s="722"/>
      <c r="HI518" s="722"/>
      <c r="HJ518" s="722"/>
      <c r="HK518" s="722"/>
      <c r="HL518" s="722"/>
      <c r="HM518" s="722"/>
      <c r="HN518" s="722"/>
      <c r="HO518" s="722"/>
      <c r="HP518" s="722"/>
      <c r="HQ518" s="722"/>
      <c r="HR518" s="722"/>
      <c r="HS518" s="722"/>
      <c r="HT518" s="722"/>
      <c r="HU518" s="722"/>
      <c r="HV518" s="722"/>
      <c r="HW518" s="722"/>
      <c r="HX518" s="722"/>
      <c r="HY518" s="722"/>
      <c r="HZ518" s="722"/>
      <c r="IA518" s="722"/>
      <c r="IB518" s="722"/>
      <c r="IC518" s="722"/>
      <c r="ID518" s="722"/>
      <c r="IE518" s="722"/>
      <c r="IF518" s="722"/>
      <c r="IG518" s="722"/>
      <c r="IH518" s="722"/>
      <c r="II518" s="722"/>
      <c r="IJ518" s="722"/>
      <c r="IK518" s="722"/>
      <c r="IL518" s="722"/>
      <c r="IM518" s="722"/>
      <c r="IN518" s="722"/>
      <c r="IO518" s="722"/>
      <c r="IP518" s="722"/>
      <c r="IQ518" s="722"/>
      <c r="IR518" s="722"/>
      <c r="IS518" s="722"/>
      <c r="IT518" s="722"/>
      <c r="IU518" s="722"/>
      <c r="IV518" s="722"/>
      <c r="IW518" s="722"/>
    </row>
    <row r="519" customFormat="false" ht="12.75" hidden="false" customHeight="false" outlineLevel="1" collapsed="false">
      <c r="A519" s="388"/>
      <c r="B519" s="706"/>
      <c r="C519" s="706"/>
      <c r="D519" s="706"/>
      <c r="E519" s="713"/>
      <c r="F519" s="713"/>
      <c r="G519" s="713"/>
      <c r="H519" s="713"/>
      <c r="I519" s="713"/>
      <c r="J519" s="713"/>
      <c r="K519" s="713"/>
      <c r="L519" s="713"/>
      <c r="M519" s="713"/>
      <c r="N519" s="713"/>
      <c r="O519" s="713"/>
      <c r="P519" s="713"/>
      <c r="Q519" s="713"/>
      <c r="R519" s="713"/>
      <c r="S519" s="713"/>
      <c r="T519" s="713"/>
      <c r="U519" s="713"/>
      <c r="V519" s="713"/>
      <c r="W519" s="713"/>
      <c r="X519" s="713"/>
      <c r="Y519" s="713"/>
      <c r="Z519" s="713"/>
      <c r="AA519" s="707"/>
      <c r="AB519" s="707"/>
      <c r="AC519" s="707"/>
      <c r="AD519" s="707"/>
      <c r="AE519" s="707"/>
      <c r="AF519" s="707"/>
      <c r="AG519" s="707"/>
      <c r="AH519" s="707"/>
      <c r="AI519" s="707"/>
      <c r="AJ519" s="707"/>
      <c r="AK519" s="707"/>
      <c r="AL519" s="707"/>
      <c r="AM519" s="707"/>
      <c r="AN519" s="707"/>
      <c r="AO519" s="707"/>
      <c r="AP519" s="707"/>
      <c r="AQ519" s="707"/>
      <c r="AR519" s="707"/>
      <c r="AS519" s="707"/>
      <c r="AT519" s="707"/>
      <c r="AU519" s="707"/>
      <c r="AV519" s="707"/>
      <c r="AW519" s="707"/>
      <c r="AX519" s="707"/>
      <c r="AY519" s="707"/>
      <c r="AZ519" s="707"/>
      <c r="BA519" s="707"/>
      <c r="BB519" s="707"/>
      <c r="BC519" s="707"/>
      <c r="BD519" s="707"/>
      <c r="BE519" s="707"/>
      <c r="BF519" s="707"/>
      <c r="BG519" s="707"/>
      <c r="BH519" s="707"/>
      <c r="BI519" s="707"/>
      <c r="BJ519" s="707"/>
      <c r="BK519" s="707"/>
      <c r="BL519" s="707"/>
      <c r="BM519" s="707"/>
      <c r="BN519" s="707"/>
      <c r="BO519" s="707"/>
      <c r="BP519" s="707"/>
      <c r="BQ519" s="707"/>
      <c r="BR519" s="707"/>
      <c r="BS519" s="707"/>
      <c r="BT519" s="707"/>
      <c r="BU519" s="707"/>
      <c r="BV519" s="707"/>
      <c r="BW519" s="707"/>
      <c r="BX519" s="707"/>
      <c r="BY519" s="707"/>
      <c r="BZ519" s="707"/>
      <c r="CA519" s="707"/>
      <c r="CB519" s="707"/>
      <c r="CC519" s="707"/>
      <c r="CD519" s="707"/>
      <c r="CE519" s="707"/>
      <c r="CF519" s="707"/>
      <c r="CG519" s="707"/>
      <c r="CH519" s="707"/>
      <c r="CI519" s="707"/>
      <c r="CJ519" s="707"/>
      <c r="CK519" s="707"/>
      <c r="CL519" s="707"/>
      <c r="CM519" s="707"/>
      <c r="CN519" s="707"/>
      <c r="CO519" s="707"/>
      <c r="CP519" s="707"/>
      <c r="CQ519" s="707"/>
      <c r="CR519" s="707"/>
      <c r="CS519" s="707"/>
      <c r="CT519" s="707"/>
      <c r="CU519" s="707"/>
      <c r="CV519" s="707"/>
      <c r="CW519" s="707"/>
      <c r="CX519" s="707"/>
      <c r="CY519" s="707"/>
      <c r="CZ519" s="707"/>
      <c r="DA519" s="707"/>
      <c r="DB519" s="707"/>
      <c r="DC519" s="707"/>
      <c r="DD519" s="707"/>
      <c r="DE519" s="707"/>
      <c r="DF519" s="707"/>
      <c r="DG519" s="707"/>
      <c r="DH519" s="707"/>
      <c r="DI519" s="707"/>
      <c r="DJ519" s="707"/>
      <c r="DK519" s="707"/>
      <c r="DL519" s="707"/>
      <c r="DM519" s="707"/>
      <c r="DN519" s="707"/>
      <c r="DO519" s="707"/>
      <c r="DP519" s="707"/>
      <c r="DQ519" s="707"/>
      <c r="DR519" s="707"/>
      <c r="DS519" s="707"/>
      <c r="DT519" s="707"/>
      <c r="DU519" s="707"/>
      <c r="DV519" s="707"/>
      <c r="DW519" s="707"/>
      <c r="DX519" s="707"/>
      <c r="DY519" s="707"/>
      <c r="DZ519" s="707"/>
      <c r="EA519" s="707"/>
      <c r="EB519" s="707"/>
      <c r="EC519" s="707"/>
      <c r="ED519" s="707"/>
      <c r="EE519" s="707"/>
      <c r="EF519" s="707"/>
      <c r="EG519" s="707"/>
      <c r="EH519" s="707"/>
      <c r="EI519" s="707"/>
      <c r="EJ519" s="707"/>
      <c r="EK519" s="707"/>
      <c r="EL519" s="707"/>
      <c r="EM519" s="707"/>
      <c r="EN519" s="707"/>
      <c r="EO519" s="707"/>
      <c r="EP519" s="707"/>
      <c r="EQ519" s="707"/>
      <c r="ER519" s="707"/>
      <c r="ES519" s="707"/>
      <c r="ET519" s="707"/>
      <c r="EU519" s="707"/>
      <c r="EV519" s="707"/>
      <c r="EW519" s="707"/>
      <c r="EX519" s="707"/>
      <c r="EY519" s="707"/>
      <c r="EZ519" s="707"/>
      <c r="FA519" s="707"/>
      <c r="FB519" s="707"/>
      <c r="FC519" s="707"/>
      <c r="FD519" s="707"/>
      <c r="FE519" s="707"/>
      <c r="FF519" s="707"/>
      <c r="FG519" s="707"/>
      <c r="FH519" s="707"/>
      <c r="FI519" s="707"/>
      <c r="FJ519" s="707"/>
      <c r="FK519" s="707"/>
      <c r="FL519" s="707"/>
      <c r="FM519" s="707"/>
      <c r="FN519" s="707"/>
      <c r="FO519" s="707"/>
      <c r="FP519" s="707"/>
      <c r="FQ519" s="707"/>
      <c r="FR519" s="707"/>
      <c r="FS519" s="707"/>
      <c r="FT519" s="707"/>
      <c r="FU519" s="707"/>
      <c r="FV519" s="707"/>
      <c r="FW519" s="707"/>
      <c r="FX519" s="707"/>
      <c r="FY519" s="707"/>
      <c r="FZ519" s="707"/>
      <c r="GA519" s="707"/>
      <c r="GB519" s="707"/>
      <c r="GC519" s="707"/>
      <c r="GD519" s="707"/>
      <c r="GE519" s="707"/>
      <c r="GF519" s="707"/>
      <c r="GG519" s="707"/>
      <c r="GH519" s="707"/>
      <c r="GI519" s="707"/>
      <c r="GJ519" s="707"/>
      <c r="GK519" s="707"/>
      <c r="GL519" s="707"/>
      <c r="GM519" s="707"/>
      <c r="GN519" s="707"/>
      <c r="GO519" s="707"/>
      <c r="GP519" s="707"/>
      <c r="GQ519" s="707"/>
      <c r="GR519" s="707"/>
      <c r="GS519" s="707"/>
      <c r="GT519" s="707"/>
      <c r="GU519" s="707"/>
      <c r="GV519" s="707"/>
      <c r="GW519" s="707"/>
      <c r="GX519" s="707"/>
      <c r="GY519" s="707"/>
      <c r="GZ519" s="707"/>
      <c r="HA519" s="707"/>
      <c r="HB519" s="707"/>
      <c r="HC519" s="707"/>
      <c r="HD519" s="707"/>
      <c r="HE519" s="707"/>
      <c r="HF519" s="707"/>
      <c r="HG519" s="707"/>
      <c r="HH519" s="707"/>
      <c r="HI519" s="707"/>
      <c r="HJ519" s="707"/>
      <c r="HK519" s="707"/>
      <c r="HL519" s="707"/>
      <c r="HM519" s="707"/>
      <c r="HN519" s="707"/>
      <c r="HO519" s="707"/>
      <c r="HP519" s="707"/>
      <c r="HQ519" s="707"/>
      <c r="HR519" s="707"/>
      <c r="HS519" s="707"/>
      <c r="HT519" s="707"/>
      <c r="HU519" s="707"/>
      <c r="HV519" s="707"/>
      <c r="HW519" s="707"/>
      <c r="HX519" s="707"/>
      <c r="HY519" s="707"/>
      <c r="HZ519" s="707"/>
      <c r="IA519" s="707"/>
      <c r="IB519" s="707"/>
      <c r="IC519" s="707"/>
      <c r="ID519" s="707"/>
      <c r="IE519" s="707"/>
      <c r="IF519" s="707"/>
      <c r="IG519" s="707"/>
      <c r="IH519" s="707"/>
      <c r="II519" s="707"/>
      <c r="IJ519" s="707"/>
      <c r="IK519" s="707"/>
      <c r="IL519" s="707"/>
      <c r="IM519" s="707"/>
      <c r="IN519" s="707"/>
      <c r="IO519" s="707"/>
      <c r="IP519" s="707"/>
      <c r="IQ519" s="707"/>
      <c r="IR519" s="707"/>
      <c r="IS519" s="707"/>
      <c r="IT519" s="707"/>
      <c r="IU519" s="707"/>
      <c r="IV519" s="707"/>
      <c r="IW519" s="707"/>
    </row>
    <row r="520" customFormat="false" ht="12.75" hidden="false" customHeight="false" outlineLevel="1" collapsed="false">
      <c r="A520" s="724"/>
      <c r="B520" s="725"/>
      <c r="C520" s="725"/>
      <c r="D520" s="725"/>
      <c r="E520" s="713"/>
      <c r="F520" s="713"/>
      <c r="G520" s="713"/>
      <c r="H520" s="713"/>
      <c r="I520" s="713"/>
      <c r="J520" s="713"/>
      <c r="K520" s="713"/>
      <c r="L520" s="713"/>
      <c r="M520" s="713"/>
      <c r="N520" s="713"/>
      <c r="O520" s="713"/>
      <c r="P520" s="713"/>
      <c r="Q520" s="713"/>
      <c r="R520" s="713"/>
      <c r="S520" s="713"/>
      <c r="T520" s="713"/>
      <c r="U520" s="713"/>
      <c r="V520" s="713"/>
      <c r="W520" s="713"/>
      <c r="X520" s="713"/>
      <c r="Y520" s="713"/>
      <c r="Z520" s="713"/>
      <c r="AA520" s="722"/>
      <c r="AB520" s="722"/>
      <c r="AC520" s="722"/>
      <c r="AD520" s="722"/>
      <c r="AE520" s="722"/>
      <c r="AF520" s="722"/>
      <c r="AG520" s="722"/>
      <c r="AH520" s="722"/>
      <c r="AI520" s="722"/>
      <c r="AJ520" s="722"/>
      <c r="AK520" s="722"/>
      <c r="AL520" s="722"/>
      <c r="AM520" s="722"/>
      <c r="AN520" s="722"/>
      <c r="AO520" s="722"/>
      <c r="AP520" s="722"/>
      <c r="AQ520" s="722"/>
      <c r="AR520" s="722"/>
      <c r="AS520" s="722"/>
      <c r="AT520" s="722"/>
      <c r="AU520" s="722"/>
      <c r="AV520" s="722"/>
      <c r="AW520" s="722"/>
      <c r="AX520" s="722"/>
      <c r="AY520" s="722"/>
      <c r="AZ520" s="722"/>
      <c r="BA520" s="722"/>
      <c r="BB520" s="722"/>
      <c r="BC520" s="722"/>
      <c r="BD520" s="722"/>
      <c r="BE520" s="722"/>
      <c r="BF520" s="722"/>
      <c r="BG520" s="722"/>
      <c r="BH520" s="722"/>
      <c r="BI520" s="722"/>
      <c r="BJ520" s="722"/>
      <c r="BK520" s="722"/>
      <c r="BL520" s="722"/>
      <c r="BM520" s="722"/>
      <c r="BN520" s="722"/>
      <c r="BO520" s="722"/>
      <c r="BP520" s="722"/>
      <c r="BQ520" s="722"/>
      <c r="BR520" s="722"/>
      <c r="BS520" s="722"/>
      <c r="BT520" s="722"/>
      <c r="BU520" s="722"/>
      <c r="BV520" s="722"/>
      <c r="BW520" s="722"/>
      <c r="BX520" s="722"/>
      <c r="BY520" s="722"/>
      <c r="BZ520" s="722"/>
      <c r="CA520" s="722"/>
      <c r="CB520" s="722"/>
      <c r="CC520" s="722"/>
      <c r="CD520" s="722"/>
      <c r="CE520" s="722"/>
      <c r="CF520" s="722"/>
      <c r="CG520" s="722"/>
      <c r="CH520" s="722"/>
      <c r="CI520" s="722"/>
      <c r="CJ520" s="722"/>
      <c r="CK520" s="722"/>
      <c r="CL520" s="722"/>
      <c r="CM520" s="722"/>
      <c r="CN520" s="722"/>
      <c r="CO520" s="722"/>
      <c r="CP520" s="722"/>
      <c r="CQ520" s="722"/>
      <c r="CR520" s="722"/>
      <c r="CS520" s="722"/>
      <c r="CT520" s="722"/>
      <c r="CU520" s="722"/>
      <c r="CV520" s="722"/>
      <c r="CW520" s="722"/>
      <c r="CX520" s="722"/>
      <c r="CY520" s="722"/>
      <c r="CZ520" s="722"/>
      <c r="DA520" s="722"/>
      <c r="DB520" s="722"/>
      <c r="DC520" s="722"/>
      <c r="DD520" s="722"/>
      <c r="DE520" s="722"/>
      <c r="DF520" s="722"/>
      <c r="DG520" s="722"/>
      <c r="DH520" s="722"/>
      <c r="DI520" s="722"/>
      <c r="DJ520" s="722"/>
      <c r="DK520" s="722"/>
      <c r="DL520" s="722"/>
      <c r="DM520" s="722"/>
      <c r="DN520" s="722"/>
      <c r="DO520" s="722"/>
      <c r="DP520" s="722"/>
      <c r="DQ520" s="722"/>
      <c r="DR520" s="722"/>
      <c r="DS520" s="722"/>
      <c r="DT520" s="722"/>
      <c r="DU520" s="722"/>
      <c r="DV520" s="722"/>
      <c r="DW520" s="722"/>
      <c r="DX520" s="722"/>
      <c r="DY520" s="722"/>
      <c r="DZ520" s="722"/>
      <c r="EA520" s="722"/>
      <c r="EB520" s="722"/>
      <c r="EC520" s="722"/>
      <c r="ED520" s="722"/>
      <c r="EE520" s="722"/>
      <c r="EF520" s="722"/>
      <c r="EG520" s="722"/>
      <c r="EH520" s="722"/>
      <c r="EI520" s="722"/>
      <c r="EJ520" s="722"/>
      <c r="EK520" s="722"/>
      <c r="EL520" s="722"/>
      <c r="EM520" s="722"/>
      <c r="EN520" s="722"/>
      <c r="EO520" s="722"/>
      <c r="EP520" s="722"/>
      <c r="EQ520" s="722"/>
      <c r="ER520" s="722"/>
      <c r="ES520" s="722"/>
      <c r="ET520" s="722"/>
      <c r="EU520" s="722"/>
      <c r="EV520" s="722"/>
      <c r="EW520" s="722"/>
      <c r="EX520" s="722"/>
      <c r="EY520" s="722"/>
      <c r="EZ520" s="722"/>
      <c r="FA520" s="722"/>
      <c r="FB520" s="722"/>
      <c r="FC520" s="722"/>
      <c r="FD520" s="722"/>
      <c r="FE520" s="722"/>
      <c r="FF520" s="722"/>
      <c r="FG520" s="722"/>
      <c r="FH520" s="722"/>
      <c r="FI520" s="722"/>
      <c r="FJ520" s="722"/>
      <c r="FK520" s="722"/>
      <c r="FL520" s="722"/>
      <c r="FM520" s="722"/>
      <c r="FN520" s="722"/>
      <c r="FO520" s="722"/>
      <c r="FP520" s="722"/>
      <c r="FQ520" s="722"/>
      <c r="FR520" s="722"/>
      <c r="FS520" s="722"/>
      <c r="FT520" s="722"/>
      <c r="FU520" s="722"/>
      <c r="FV520" s="722"/>
      <c r="FW520" s="722"/>
      <c r="FX520" s="722"/>
      <c r="FY520" s="722"/>
      <c r="FZ520" s="722"/>
      <c r="GA520" s="722"/>
      <c r="GB520" s="722"/>
      <c r="GC520" s="722"/>
      <c r="GD520" s="722"/>
      <c r="GE520" s="722"/>
      <c r="GF520" s="722"/>
      <c r="GG520" s="722"/>
      <c r="GH520" s="722"/>
      <c r="GI520" s="722"/>
      <c r="GJ520" s="722"/>
      <c r="GK520" s="722"/>
      <c r="GL520" s="722"/>
      <c r="GM520" s="722"/>
      <c r="GN520" s="722"/>
      <c r="GO520" s="722"/>
      <c r="GP520" s="722"/>
      <c r="GQ520" s="722"/>
      <c r="GR520" s="722"/>
      <c r="GS520" s="722"/>
      <c r="GT520" s="722"/>
      <c r="GU520" s="722"/>
      <c r="GV520" s="722"/>
      <c r="GW520" s="722"/>
      <c r="GX520" s="722"/>
      <c r="GY520" s="722"/>
      <c r="GZ520" s="722"/>
      <c r="HA520" s="722"/>
      <c r="HB520" s="722"/>
      <c r="HC520" s="722"/>
      <c r="HD520" s="722"/>
      <c r="HE520" s="722"/>
      <c r="HF520" s="722"/>
      <c r="HG520" s="722"/>
      <c r="HH520" s="722"/>
      <c r="HI520" s="722"/>
      <c r="HJ520" s="722"/>
      <c r="HK520" s="722"/>
      <c r="HL520" s="722"/>
      <c r="HM520" s="722"/>
      <c r="HN520" s="722"/>
      <c r="HO520" s="722"/>
      <c r="HP520" s="722"/>
      <c r="HQ520" s="722"/>
      <c r="HR520" s="722"/>
      <c r="HS520" s="722"/>
      <c r="HT520" s="722"/>
      <c r="HU520" s="722"/>
      <c r="HV520" s="722"/>
      <c r="HW520" s="722"/>
      <c r="HX520" s="722"/>
      <c r="HY520" s="722"/>
      <c r="HZ520" s="722"/>
      <c r="IA520" s="722"/>
      <c r="IB520" s="722"/>
      <c r="IC520" s="722"/>
      <c r="ID520" s="722"/>
      <c r="IE520" s="722"/>
      <c r="IF520" s="722"/>
      <c r="IG520" s="722"/>
      <c r="IH520" s="722"/>
      <c r="II520" s="722"/>
      <c r="IJ520" s="722"/>
      <c r="IK520" s="722"/>
      <c r="IL520" s="722"/>
      <c r="IM520" s="722"/>
      <c r="IN520" s="722"/>
      <c r="IO520" s="722"/>
      <c r="IP520" s="722"/>
      <c r="IQ520" s="722"/>
      <c r="IR520" s="722"/>
      <c r="IS520" s="722"/>
      <c r="IT520" s="722"/>
      <c r="IU520" s="722"/>
      <c r="IV520" s="722"/>
      <c r="IW520" s="722"/>
    </row>
    <row r="521" customFormat="false" ht="12.75" hidden="false" customHeight="false" outlineLevel="1" collapsed="false">
      <c r="A521" s="388"/>
      <c r="B521" s="719"/>
      <c r="C521" s="719"/>
      <c r="D521" s="719"/>
      <c r="E521" s="713"/>
      <c r="F521" s="713"/>
      <c r="G521" s="713"/>
      <c r="H521" s="713"/>
      <c r="I521" s="713"/>
      <c r="J521" s="713"/>
      <c r="K521" s="713"/>
      <c r="L521" s="713"/>
      <c r="M521" s="713"/>
      <c r="N521" s="713"/>
      <c r="O521" s="713"/>
      <c r="P521" s="713"/>
      <c r="Q521" s="713"/>
      <c r="R521" s="713"/>
      <c r="S521" s="713"/>
      <c r="T521" s="713"/>
      <c r="U521" s="713"/>
      <c r="V521" s="713"/>
      <c r="W521" s="713"/>
      <c r="X521" s="713"/>
      <c r="Y521" s="713"/>
      <c r="Z521" s="713"/>
      <c r="AA521" s="707"/>
      <c r="AB521" s="707"/>
      <c r="AC521" s="707"/>
      <c r="AD521" s="707"/>
      <c r="AE521" s="707"/>
      <c r="AF521" s="707"/>
      <c r="AG521" s="707"/>
      <c r="AH521" s="707"/>
      <c r="AI521" s="707"/>
      <c r="AJ521" s="707"/>
      <c r="AK521" s="707"/>
      <c r="AL521" s="707"/>
      <c r="AM521" s="707"/>
      <c r="AN521" s="707"/>
      <c r="AO521" s="707"/>
      <c r="AP521" s="707"/>
      <c r="AQ521" s="707"/>
      <c r="AR521" s="707"/>
      <c r="AS521" s="707"/>
      <c r="AT521" s="707"/>
      <c r="AU521" s="707"/>
      <c r="AV521" s="707"/>
      <c r="AW521" s="707"/>
      <c r="AX521" s="707"/>
      <c r="AY521" s="707"/>
      <c r="AZ521" s="707"/>
      <c r="BA521" s="707"/>
      <c r="BB521" s="707"/>
      <c r="BC521" s="707"/>
      <c r="BD521" s="707"/>
      <c r="BE521" s="707"/>
      <c r="BF521" s="707"/>
      <c r="BG521" s="707"/>
      <c r="BH521" s="707"/>
      <c r="BI521" s="707"/>
      <c r="BJ521" s="707"/>
      <c r="BK521" s="707"/>
      <c r="BL521" s="707"/>
      <c r="BM521" s="707"/>
      <c r="BN521" s="707"/>
      <c r="BO521" s="707"/>
      <c r="BP521" s="707"/>
      <c r="BQ521" s="707"/>
      <c r="BR521" s="707"/>
      <c r="BS521" s="707"/>
      <c r="BT521" s="707"/>
      <c r="BU521" s="707"/>
      <c r="BV521" s="707"/>
      <c r="BW521" s="707"/>
      <c r="BX521" s="707"/>
      <c r="BY521" s="707"/>
      <c r="BZ521" s="707"/>
      <c r="CA521" s="707"/>
      <c r="CB521" s="707"/>
      <c r="CC521" s="707"/>
      <c r="CD521" s="707"/>
      <c r="CE521" s="707"/>
      <c r="CF521" s="707"/>
      <c r="CG521" s="707"/>
      <c r="CH521" s="707"/>
      <c r="CI521" s="707"/>
      <c r="CJ521" s="707"/>
      <c r="CK521" s="707"/>
      <c r="CL521" s="707"/>
      <c r="CM521" s="707"/>
      <c r="CN521" s="707"/>
      <c r="CO521" s="707"/>
      <c r="CP521" s="707"/>
      <c r="CQ521" s="707"/>
      <c r="CR521" s="707"/>
      <c r="CS521" s="707"/>
      <c r="CT521" s="707"/>
      <c r="CU521" s="707"/>
      <c r="CV521" s="707"/>
      <c r="CW521" s="707"/>
      <c r="CX521" s="707"/>
      <c r="CY521" s="707"/>
      <c r="CZ521" s="707"/>
      <c r="DA521" s="707"/>
      <c r="DB521" s="707"/>
      <c r="DC521" s="707"/>
      <c r="DD521" s="707"/>
      <c r="DE521" s="707"/>
      <c r="DF521" s="707"/>
      <c r="DG521" s="707"/>
      <c r="DH521" s="707"/>
      <c r="DI521" s="707"/>
      <c r="DJ521" s="707"/>
      <c r="DK521" s="707"/>
      <c r="DL521" s="707"/>
      <c r="DM521" s="707"/>
      <c r="DN521" s="707"/>
      <c r="DO521" s="707"/>
      <c r="DP521" s="707"/>
      <c r="DQ521" s="707"/>
      <c r="DR521" s="707"/>
      <c r="DS521" s="707"/>
      <c r="DT521" s="707"/>
      <c r="DU521" s="707"/>
      <c r="DV521" s="707"/>
      <c r="DW521" s="707"/>
      <c r="DX521" s="707"/>
      <c r="DY521" s="707"/>
      <c r="DZ521" s="707"/>
      <c r="EA521" s="707"/>
      <c r="EB521" s="707"/>
      <c r="EC521" s="707"/>
      <c r="ED521" s="707"/>
      <c r="EE521" s="707"/>
      <c r="EF521" s="707"/>
      <c r="EG521" s="707"/>
      <c r="EH521" s="707"/>
      <c r="EI521" s="707"/>
      <c r="EJ521" s="707"/>
      <c r="EK521" s="707"/>
      <c r="EL521" s="707"/>
      <c r="EM521" s="707"/>
      <c r="EN521" s="707"/>
      <c r="EO521" s="707"/>
      <c r="EP521" s="707"/>
      <c r="EQ521" s="707"/>
      <c r="ER521" s="707"/>
      <c r="ES521" s="707"/>
      <c r="ET521" s="707"/>
      <c r="EU521" s="707"/>
      <c r="EV521" s="707"/>
      <c r="EW521" s="707"/>
      <c r="EX521" s="707"/>
      <c r="EY521" s="707"/>
      <c r="EZ521" s="707"/>
      <c r="FA521" s="707"/>
      <c r="FB521" s="707"/>
      <c r="FC521" s="707"/>
      <c r="FD521" s="707"/>
      <c r="FE521" s="707"/>
      <c r="FF521" s="707"/>
      <c r="FG521" s="707"/>
      <c r="FH521" s="707"/>
      <c r="FI521" s="707"/>
      <c r="FJ521" s="707"/>
      <c r="FK521" s="707"/>
      <c r="FL521" s="707"/>
      <c r="FM521" s="707"/>
      <c r="FN521" s="707"/>
      <c r="FO521" s="707"/>
      <c r="FP521" s="707"/>
      <c r="FQ521" s="707"/>
      <c r="FR521" s="707"/>
      <c r="FS521" s="707"/>
      <c r="FT521" s="707"/>
      <c r="FU521" s="707"/>
      <c r="FV521" s="707"/>
      <c r="FW521" s="707"/>
      <c r="FX521" s="707"/>
      <c r="FY521" s="707"/>
      <c r="FZ521" s="707"/>
      <c r="GA521" s="707"/>
      <c r="GB521" s="707"/>
      <c r="GC521" s="707"/>
      <c r="GD521" s="707"/>
      <c r="GE521" s="707"/>
      <c r="GF521" s="707"/>
      <c r="GG521" s="707"/>
      <c r="GH521" s="707"/>
      <c r="GI521" s="707"/>
      <c r="GJ521" s="707"/>
      <c r="GK521" s="707"/>
      <c r="GL521" s="707"/>
      <c r="GM521" s="707"/>
      <c r="GN521" s="707"/>
      <c r="GO521" s="707"/>
      <c r="GP521" s="707"/>
      <c r="GQ521" s="707"/>
      <c r="GR521" s="707"/>
      <c r="GS521" s="707"/>
      <c r="GT521" s="707"/>
      <c r="GU521" s="707"/>
      <c r="GV521" s="707"/>
      <c r="GW521" s="707"/>
      <c r="GX521" s="707"/>
      <c r="GY521" s="707"/>
      <c r="GZ521" s="707"/>
      <c r="HA521" s="707"/>
      <c r="HB521" s="707"/>
      <c r="HC521" s="707"/>
      <c r="HD521" s="707"/>
      <c r="HE521" s="707"/>
      <c r="HF521" s="707"/>
      <c r="HG521" s="707"/>
      <c r="HH521" s="707"/>
      <c r="HI521" s="707"/>
      <c r="HJ521" s="707"/>
      <c r="HK521" s="707"/>
      <c r="HL521" s="707"/>
      <c r="HM521" s="707"/>
      <c r="HN521" s="707"/>
      <c r="HO521" s="707"/>
      <c r="HP521" s="707"/>
      <c r="HQ521" s="707"/>
      <c r="HR521" s="707"/>
      <c r="HS521" s="707"/>
      <c r="HT521" s="707"/>
      <c r="HU521" s="707"/>
      <c r="HV521" s="707"/>
      <c r="HW521" s="707"/>
      <c r="HX521" s="707"/>
      <c r="HY521" s="707"/>
      <c r="HZ521" s="707"/>
      <c r="IA521" s="707"/>
      <c r="IB521" s="707"/>
      <c r="IC521" s="707"/>
      <c r="ID521" s="707"/>
      <c r="IE521" s="707"/>
      <c r="IF521" s="707"/>
      <c r="IG521" s="707"/>
      <c r="IH521" s="707"/>
      <c r="II521" s="707"/>
      <c r="IJ521" s="707"/>
      <c r="IK521" s="707"/>
      <c r="IL521" s="707"/>
      <c r="IM521" s="707"/>
      <c r="IN521" s="707"/>
      <c r="IO521" s="707"/>
      <c r="IP521" s="707"/>
      <c r="IQ521" s="707"/>
      <c r="IR521" s="707"/>
      <c r="IS521" s="707"/>
      <c r="IT521" s="707"/>
      <c r="IU521" s="707"/>
      <c r="IV521" s="707"/>
      <c r="IW521" s="707"/>
    </row>
    <row r="522" customFormat="false" ht="12.75" hidden="false" customHeight="false" outlineLevel="1" collapsed="false">
      <c r="A522" s="388"/>
      <c r="B522" s="719"/>
      <c r="C522" s="719"/>
      <c r="D522" s="719"/>
      <c r="E522" s="713"/>
      <c r="F522" s="713"/>
      <c r="G522" s="713"/>
      <c r="H522" s="713"/>
      <c r="I522" s="713"/>
      <c r="J522" s="713"/>
      <c r="K522" s="713"/>
      <c r="L522" s="713"/>
      <c r="M522" s="713"/>
      <c r="N522" s="713"/>
      <c r="O522" s="713"/>
      <c r="P522" s="713"/>
      <c r="Q522" s="713"/>
      <c r="R522" s="713"/>
      <c r="S522" s="713"/>
      <c r="T522" s="713"/>
      <c r="U522" s="713"/>
      <c r="V522" s="713"/>
      <c r="W522" s="713"/>
      <c r="X522" s="713"/>
      <c r="Y522" s="713"/>
      <c r="Z522" s="713"/>
      <c r="AA522" s="707"/>
      <c r="AB522" s="707"/>
      <c r="AC522" s="707"/>
      <c r="AD522" s="707"/>
      <c r="AE522" s="707"/>
      <c r="AF522" s="707"/>
      <c r="AG522" s="707"/>
      <c r="AH522" s="707"/>
      <c r="AI522" s="707"/>
      <c r="AJ522" s="707"/>
      <c r="AK522" s="707"/>
      <c r="AL522" s="707"/>
      <c r="AM522" s="707"/>
      <c r="AN522" s="707"/>
      <c r="AO522" s="707"/>
      <c r="AP522" s="707"/>
      <c r="AQ522" s="707"/>
      <c r="AR522" s="707"/>
      <c r="AS522" s="707"/>
      <c r="AT522" s="707"/>
      <c r="AU522" s="707"/>
      <c r="AV522" s="707"/>
      <c r="AW522" s="707"/>
      <c r="AX522" s="707"/>
      <c r="AY522" s="707"/>
      <c r="AZ522" s="707"/>
      <c r="BA522" s="707"/>
      <c r="BB522" s="707"/>
      <c r="BC522" s="707"/>
      <c r="BD522" s="707"/>
      <c r="BE522" s="707"/>
      <c r="BF522" s="707"/>
      <c r="BG522" s="707"/>
      <c r="BH522" s="707"/>
      <c r="BI522" s="707"/>
      <c r="BJ522" s="707"/>
      <c r="BK522" s="707"/>
      <c r="BL522" s="707"/>
      <c r="BM522" s="707"/>
      <c r="BN522" s="707"/>
      <c r="BO522" s="707"/>
      <c r="BP522" s="707"/>
      <c r="BQ522" s="707"/>
      <c r="BR522" s="707"/>
      <c r="BS522" s="707"/>
      <c r="BT522" s="707"/>
      <c r="BU522" s="707"/>
      <c r="BV522" s="707"/>
      <c r="BW522" s="707"/>
      <c r="BX522" s="707"/>
      <c r="BY522" s="707"/>
      <c r="BZ522" s="707"/>
      <c r="CA522" s="707"/>
      <c r="CB522" s="707"/>
      <c r="CC522" s="707"/>
      <c r="CD522" s="707"/>
      <c r="CE522" s="707"/>
      <c r="CF522" s="707"/>
      <c r="CG522" s="707"/>
      <c r="CH522" s="707"/>
      <c r="CI522" s="707"/>
      <c r="CJ522" s="707"/>
      <c r="CK522" s="707"/>
      <c r="CL522" s="707"/>
      <c r="CM522" s="707"/>
      <c r="CN522" s="707"/>
      <c r="CO522" s="707"/>
      <c r="CP522" s="707"/>
      <c r="CQ522" s="707"/>
      <c r="CR522" s="707"/>
      <c r="CS522" s="707"/>
      <c r="CT522" s="707"/>
      <c r="CU522" s="707"/>
      <c r="CV522" s="707"/>
      <c r="CW522" s="707"/>
      <c r="CX522" s="707"/>
      <c r="CY522" s="707"/>
      <c r="CZ522" s="707"/>
      <c r="DA522" s="707"/>
      <c r="DB522" s="707"/>
      <c r="DC522" s="707"/>
      <c r="DD522" s="707"/>
      <c r="DE522" s="707"/>
      <c r="DF522" s="707"/>
      <c r="DG522" s="707"/>
      <c r="DH522" s="707"/>
      <c r="DI522" s="707"/>
      <c r="DJ522" s="707"/>
      <c r="DK522" s="707"/>
      <c r="DL522" s="707"/>
      <c r="DM522" s="707"/>
      <c r="DN522" s="707"/>
      <c r="DO522" s="707"/>
      <c r="DP522" s="707"/>
      <c r="DQ522" s="707"/>
      <c r="DR522" s="707"/>
      <c r="DS522" s="707"/>
      <c r="DT522" s="707"/>
      <c r="DU522" s="707"/>
      <c r="DV522" s="707"/>
      <c r="DW522" s="707"/>
      <c r="DX522" s="707"/>
      <c r="DY522" s="707"/>
      <c r="DZ522" s="707"/>
      <c r="EA522" s="707"/>
      <c r="EB522" s="707"/>
      <c r="EC522" s="707"/>
      <c r="ED522" s="707"/>
      <c r="EE522" s="707"/>
      <c r="EF522" s="707"/>
      <c r="EG522" s="707"/>
      <c r="EH522" s="707"/>
      <c r="EI522" s="707"/>
      <c r="EJ522" s="707"/>
      <c r="EK522" s="707"/>
      <c r="EL522" s="707"/>
      <c r="EM522" s="707"/>
      <c r="EN522" s="707"/>
      <c r="EO522" s="707"/>
      <c r="EP522" s="707"/>
      <c r="EQ522" s="707"/>
      <c r="ER522" s="707"/>
      <c r="ES522" s="707"/>
      <c r="ET522" s="707"/>
      <c r="EU522" s="707"/>
      <c r="EV522" s="707"/>
      <c r="EW522" s="707"/>
      <c r="EX522" s="707"/>
      <c r="EY522" s="707"/>
      <c r="EZ522" s="707"/>
      <c r="FA522" s="707"/>
      <c r="FB522" s="707"/>
      <c r="FC522" s="707"/>
      <c r="FD522" s="707"/>
      <c r="FE522" s="707"/>
      <c r="FF522" s="707"/>
      <c r="FG522" s="707"/>
      <c r="FH522" s="707"/>
      <c r="FI522" s="707"/>
      <c r="FJ522" s="707"/>
      <c r="FK522" s="707"/>
      <c r="FL522" s="707"/>
      <c r="FM522" s="707"/>
      <c r="FN522" s="707"/>
      <c r="FO522" s="707"/>
      <c r="FP522" s="707"/>
      <c r="FQ522" s="707"/>
      <c r="FR522" s="707"/>
      <c r="FS522" s="707"/>
      <c r="FT522" s="707"/>
      <c r="FU522" s="707"/>
      <c r="FV522" s="707"/>
      <c r="FW522" s="707"/>
      <c r="FX522" s="707"/>
      <c r="FY522" s="707"/>
      <c r="FZ522" s="707"/>
      <c r="GA522" s="707"/>
      <c r="GB522" s="707"/>
      <c r="GC522" s="707"/>
      <c r="GD522" s="707"/>
      <c r="GE522" s="707"/>
      <c r="GF522" s="707"/>
      <c r="GG522" s="707"/>
      <c r="GH522" s="707"/>
      <c r="GI522" s="707"/>
      <c r="GJ522" s="707"/>
      <c r="GK522" s="707"/>
      <c r="GL522" s="707"/>
      <c r="GM522" s="707"/>
      <c r="GN522" s="707"/>
      <c r="GO522" s="707"/>
      <c r="GP522" s="707"/>
      <c r="GQ522" s="707"/>
      <c r="GR522" s="707"/>
      <c r="GS522" s="707"/>
      <c r="GT522" s="707"/>
      <c r="GU522" s="707"/>
      <c r="GV522" s="707"/>
      <c r="GW522" s="707"/>
      <c r="GX522" s="707"/>
      <c r="GY522" s="707"/>
      <c r="GZ522" s="707"/>
      <c r="HA522" s="707"/>
      <c r="HB522" s="707"/>
      <c r="HC522" s="707"/>
      <c r="HD522" s="707"/>
      <c r="HE522" s="707"/>
      <c r="HF522" s="707"/>
      <c r="HG522" s="707"/>
      <c r="HH522" s="707"/>
      <c r="HI522" s="707"/>
      <c r="HJ522" s="707"/>
      <c r="HK522" s="707"/>
      <c r="HL522" s="707"/>
      <c r="HM522" s="707"/>
      <c r="HN522" s="707"/>
      <c r="HO522" s="707"/>
      <c r="HP522" s="707"/>
      <c r="HQ522" s="707"/>
      <c r="HR522" s="707"/>
      <c r="HS522" s="707"/>
      <c r="HT522" s="707"/>
      <c r="HU522" s="707"/>
      <c r="HV522" s="707"/>
      <c r="HW522" s="707"/>
      <c r="HX522" s="707"/>
      <c r="HY522" s="707"/>
      <c r="HZ522" s="707"/>
      <c r="IA522" s="707"/>
      <c r="IB522" s="707"/>
      <c r="IC522" s="707"/>
      <c r="ID522" s="707"/>
      <c r="IE522" s="707"/>
      <c r="IF522" s="707"/>
      <c r="IG522" s="707"/>
      <c r="IH522" s="707"/>
      <c r="II522" s="707"/>
      <c r="IJ522" s="707"/>
      <c r="IK522" s="707"/>
      <c r="IL522" s="707"/>
      <c r="IM522" s="707"/>
      <c r="IN522" s="707"/>
      <c r="IO522" s="707"/>
      <c r="IP522" s="707"/>
      <c r="IQ522" s="707"/>
      <c r="IR522" s="707"/>
      <c r="IS522" s="707"/>
      <c r="IT522" s="707"/>
      <c r="IU522" s="707"/>
      <c r="IV522" s="707"/>
      <c r="IW522" s="707"/>
    </row>
    <row r="523" customFormat="false" ht="12.75" hidden="false" customHeight="false" outlineLevel="1" collapsed="false">
      <c r="A523" s="388"/>
      <c r="B523" s="719"/>
      <c r="C523" s="719"/>
      <c r="D523" s="719"/>
      <c r="E523" s="713"/>
      <c r="F523" s="713"/>
      <c r="G523" s="713"/>
      <c r="H523" s="713"/>
      <c r="I523" s="713"/>
      <c r="J523" s="713"/>
      <c r="K523" s="713"/>
      <c r="L523" s="713"/>
      <c r="M523" s="713"/>
      <c r="N523" s="713"/>
      <c r="O523" s="713"/>
      <c r="P523" s="713"/>
      <c r="Q523" s="713"/>
      <c r="R523" s="713"/>
      <c r="S523" s="713"/>
      <c r="T523" s="713"/>
      <c r="U523" s="713"/>
      <c r="V523" s="713"/>
      <c r="W523" s="713"/>
      <c r="X523" s="713"/>
      <c r="Y523" s="713"/>
      <c r="Z523" s="713"/>
      <c r="AA523" s="707"/>
      <c r="AB523" s="707"/>
      <c r="AC523" s="707"/>
      <c r="AD523" s="707"/>
      <c r="AE523" s="707"/>
      <c r="AF523" s="707"/>
      <c r="AG523" s="707"/>
      <c r="AH523" s="707"/>
      <c r="AI523" s="707"/>
      <c r="AJ523" s="707"/>
      <c r="AK523" s="707"/>
      <c r="AL523" s="707"/>
      <c r="AM523" s="707"/>
      <c r="AN523" s="707"/>
      <c r="AO523" s="707"/>
      <c r="AP523" s="707"/>
      <c r="AQ523" s="707"/>
      <c r="AR523" s="707"/>
      <c r="AS523" s="707"/>
      <c r="AT523" s="707"/>
      <c r="AU523" s="707"/>
      <c r="AV523" s="707"/>
      <c r="AW523" s="707"/>
      <c r="AX523" s="707"/>
      <c r="AY523" s="707"/>
      <c r="AZ523" s="707"/>
      <c r="BA523" s="707"/>
      <c r="BB523" s="707"/>
      <c r="BC523" s="707"/>
      <c r="BD523" s="707"/>
      <c r="BE523" s="707"/>
      <c r="BF523" s="707"/>
      <c r="BG523" s="707"/>
      <c r="BH523" s="707"/>
      <c r="BI523" s="707"/>
      <c r="BJ523" s="707"/>
      <c r="BK523" s="707"/>
      <c r="BL523" s="707"/>
      <c r="BM523" s="707"/>
      <c r="BN523" s="707"/>
      <c r="BO523" s="707"/>
      <c r="BP523" s="707"/>
      <c r="BQ523" s="707"/>
      <c r="BR523" s="707"/>
      <c r="BS523" s="707"/>
      <c r="BT523" s="707"/>
      <c r="BU523" s="707"/>
      <c r="BV523" s="707"/>
      <c r="BW523" s="707"/>
      <c r="BX523" s="707"/>
      <c r="BY523" s="707"/>
      <c r="BZ523" s="707"/>
      <c r="CA523" s="707"/>
      <c r="CB523" s="707"/>
      <c r="CC523" s="707"/>
      <c r="CD523" s="707"/>
      <c r="CE523" s="707"/>
      <c r="CF523" s="707"/>
      <c r="CG523" s="707"/>
      <c r="CH523" s="707"/>
      <c r="CI523" s="707"/>
      <c r="CJ523" s="707"/>
      <c r="CK523" s="707"/>
      <c r="CL523" s="707"/>
      <c r="CM523" s="707"/>
      <c r="CN523" s="707"/>
      <c r="CO523" s="707"/>
      <c r="CP523" s="707"/>
      <c r="CQ523" s="707"/>
      <c r="CR523" s="707"/>
      <c r="CS523" s="707"/>
      <c r="CT523" s="707"/>
      <c r="CU523" s="707"/>
      <c r="CV523" s="707"/>
      <c r="CW523" s="707"/>
      <c r="CX523" s="707"/>
      <c r="CY523" s="707"/>
      <c r="CZ523" s="707"/>
      <c r="DA523" s="707"/>
      <c r="DB523" s="707"/>
      <c r="DC523" s="707"/>
      <c r="DD523" s="707"/>
      <c r="DE523" s="707"/>
      <c r="DF523" s="707"/>
      <c r="DG523" s="707"/>
      <c r="DH523" s="707"/>
      <c r="DI523" s="707"/>
      <c r="DJ523" s="707"/>
      <c r="DK523" s="707"/>
      <c r="DL523" s="707"/>
      <c r="DM523" s="707"/>
      <c r="DN523" s="707"/>
      <c r="DO523" s="707"/>
      <c r="DP523" s="707"/>
      <c r="DQ523" s="707"/>
      <c r="DR523" s="707"/>
      <c r="DS523" s="707"/>
      <c r="DT523" s="707"/>
      <c r="DU523" s="707"/>
      <c r="DV523" s="707"/>
      <c r="DW523" s="707"/>
      <c r="DX523" s="707"/>
      <c r="DY523" s="707"/>
      <c r="DZ523" s="707"/>
      <c r="EA523" s="707"/>
      <c r="EB523" s="707"/>
      <c r="EC523" s="707"/>
      <c r="ED523" s="707"/>
      <c r="EE523" s="707"/>
      <c r="EF523" s="707"/>
      <c r="EG523" s="707"/>
      <c r="EH523" s="707"/>
      <c r="EI523" s="707"/>
      <c r="EJ523" s="707"/>
      <c r="EK523" s="707"/>
      <c r="EL523" s="707"/>
      <c r="EM523" s="707"/>
      <c r="EN523" s="707"/>
      <c r="EO523" s="707"/>
      <c r="EP523" s="707"/>
      <c r="EQ523" s="707"/>
      <c r="ER523" s="707"/>
      <c r="ES523" s="707"/>
      <c r="ET523" s="707"/>
      <c r="EU523" s="707"/>
      <c r="EV523" s="707"/>
      <c r="EW523" s="707"/>
      <c r="EX523" s="707"/>
      <c r="EY523" s="707"/>
      <c r="EZ523" s="707"/>
      <c r="FA523" s="707"/>
      <c r="FB523" s="707"/>
      <c r="FC523" s="707"/>
      <c r="FD523" s="707"/>
      <c r="FE523" s="707"/>
      <c r="FF523" s="707"/>
      <c r="FG523" s="707"/>
      <c r="FH523" s="707"/>
      <c r="FI523" s="707"/>
      <c r="FJ523" s="707"/>
      <c r="FK523" s="707"/>
      <c r="FL523" s="707"/>
      <c r="FM523" s="707"/>
      <c r="FN523" s="707"/>
      <c r="FO523" s="707"/>
      <c r="FP523" s="707"/>
      <c r="FQ523" s="707"/>
      <c r="FR523" s="707"/>
      <c r="FS523" s="707"/>
      <c r="FT523" s="707"/>
      <c r="FU523" s="707"/>
      <c r="FV523" s="707"/>
      <c r="FW523" s="707"/>
      <c r="FX523" s="707"/>
      <c r="FY523" s="707"/>
      <c r="FZ523" s="707"/>
      <c r="GA523" s="707"/>
      <c r="GB523" s="707"/>
      <c r="GC523" s="707"/>
      <c r="GD523" s="707"/>
      <c r="GE523" s="707"/>
      <c r="GF523" s="707"/>
      <c r="GG523" s="707"/>
      <c r="GH523" s="707"/>
      <c r="GI523" s="707"/>
      <c r="GJ523" s="707"/>
      <c r="GK523" s="707"/>
      <c r="GL523" s="707"/>
      <c r="GM523" s="707"/>
      <c r="GN523" s="707"/>
      <c r="GO523" s="707"/>
      <c r="GP523" s="707"/>
      <c r="GQ523" s="707"/>
      <c r="GR523" s="707"/>
      <c r="GS523" s="707"/>
      <c r="GT523" s="707"/>
      <c r="GU523" s="707"/>
      <c r="GV523" s="707"/>
      <c r="GW523" s="707"/>
      <c r="GX523" s="707"/>
      <c r="GY523" s="707"/>
      <c r="GZ523" s="707"/>
      <c r="HA523" s="707"/>
      <c r="HB523" s="707"/>
      <c r="HC523" s="707"/>
      <c r="HD523" s="707"/>
      <c r="HE523" s="707"/>
      <c r="HF523" s="707"/>
      <c r="HG523" s="707"/>
      <c r="HH523" s="707"/>
      <c r="HI523" s="707"/>
      <c r="HJ523" s="707"/>
      <c r="HK523" s="707"/>
      <c r="HL523" s="707"/>
      <c r="HM523" s="707"/>
      <c r="HN523" s="707"/>
      <c r="HO523" s="707"/>
      <c r="HP523" s="707"/>
      <c r="HQ523" s="707"/>
      <c r="HR523" s="707"/>
      <c r="HS523" s="707"/>
      <c r="HT523" s="707"/>
      <c r="HU523" s="707"/>
      <c r="HV523" s="707"/>
      <c r="HW523" s="707"/>
      <c r="HX523" s="707"/>
      <c r="HY523" s="707"/>
      <c r="HZ523" s="707"/>
      <c r="IA523" s="707"/>
      <c r="IB523" s="707"/>
      <c r="IC523" s="707"/>
      <c r="ID523" s="707"/>
      <c r="IE523" s="707"/>
      <c r="IF523" s="707"/>
      <c r="IG523" s="707"/>
      <c r="IH523" s="707"/>
      <c r="II523" s="707"/>
      <c r="IJ523" s="707"/>
      <c r="IK523" s="707"/>
      <c r="IL523" s="707"/>
      <c r="IM523" s="707"/>
      <c r="IN523" s="707"/>
      <c r="IO523" s="707"/>
      <c r="IP523" s="707"/>
      <c r="IQ523" s="707"/>
      <c r="IR523" s="707"/>
      <c r="IS523" s="707"/>
      <c r="IT523" s="707"/>
      <c r="IU523" s="707"/>
      <c r="IV523" s="707"/>
      <c r="IW523" s="707"/>
    </row>
    <row r="524" customFormat="false" ht="12.75" hidden="false" customHeight="false" outlineLevel="1" collapsed="false">
      <c r="A524" s="70"/>
      <c r="B524" s="70"/>
      <c r="C524" s="70"/>
      <c r="D524" s="70"/>
      <c r="E524" s="70"/>
      <c r="F524" s="70"/>
      <c r="G524" s="70"/>
      <c r="H524" s="70"/>
      <c r="I524" s="70"/>
      <c r="J524" s="70"/>
      <c r="K524" s="70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  <c r="Y524" s="70"/>
      <c r="Z524" s="70"/>
    </row>
    <row r="525" customFormat="false" ht="12.75" hidden="false" customHeight="false" outlineLevel="1" collapsed="false">
      <c r="A525" s="70"/>
      <c r="B525" s="70"/>
      <c r="C525" s="70"/>
      <c r="D525" s="70"/>
      <c r="E525" s="70"/>
      <c r="F525" s="70"/>
      <c r="G525" s="70"/>
      <c r="H525" s="70"/>
      <c r="I525" s="70"/>
      <c r="J525" s="70"/>
      <c r="K525" s="70"/>
      <c r="L525" s="70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  <c r="Y525" s="70"/>
      <c r="Z525" s="70"/>
    </row>
    <row r="526" customFormat="false" ht="12.75" hidden="false" customHeight="false" outlineLevel="1" collapsed="false">
      <c r="A526" s="70"/>
      <c r="B526" s="70"/>
      <c r="C526" s="70"/>
      <c r="D526" s="70"/>
      <c r="E526" s="70"/>
      <c r="F526" s="70"/>
      <c r="G526" s="70"/>
      <c r="H526" s="70"/>
      <c r="I526" s="70"/>
      <c r="J526" s="70"/>
      <c r="K526" s="70"/>
      <c r="L526" s="70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  <c r="Y526" s="70"/>
      <c r="Z526" s="70"/>
    </row>
    <row r="527" customFormat="false" ht="18.75" hidden="false" customHeight="false" outlineLevel="1" collapsed="false">
      <c r="A527" s="683"/>
      <c r="B527" s="70"/>
      <c r="C527" s="70"/>
      <c r="D527" s="70"/>
      <c r="E527" s="70"/>
      <c r="F527" s="70"/>
      <c r="G527" s="70"/>
      <c r="H527" s="70"/>
      <c r="I527" s="70"/>
      <c r="J527" s="70"/>
      <c r="K527" s="70"/>
      <c r="L527" s="70"/>
      <c r="M527" s="70"/>
      <c r="N527" s="70"/>
      <c r="O527" s="70"/>
      <c r="P527" s="70"/>
      <c r="Q527" s="70"/>
      <c r="R527" s="70"/>
      <c r="S527" s="70"/>
      <c r="T527" s="70"/>
      <c r="U527" s="70"/>
      <c r="V527" s="70"/>
      <c r="W527" s="70"/>
      <c r="X527" s="70"/>
      <c r="Y527" s="70"/>
      <c r="Z527" s="70"/>
    </row>
    <row r="528" customFormat="false" ht="12.75" hidden="false" customHeight="false" outlineLevel="1" collapsed="false">
      <c r="A528" s="395"/>
      <c r="B528" s="70"/>
      <c r="C528" s="70"/>
      <c r="D528" s="70"/>
      <c r="E528" s="70"/>
      <c r="F528" s="70"/>
      <c r="G528" s="70"/>
      <c r="H528" s="70"/>
      <c r="I528" s="70"/>
      <c r="J528" s="70"/>
      <c r="K528" s="70"/>
      <c r="L528" s="70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  <c r="Y528" s="70"/>
      <c r="Z528" s="70"/>
    </row>
    <row r="529" customFormat="false" ht="12.75" hidden="false" customHeight="false" outlineLevel="1" collapsed="false">
      <c r="A529" s="727"/>
      <c r="B529" s="70"/>
      <c r="C529" s="70"/>
      <c r="D529" s="70"/>
      <c r="E529" s="70"/>
      <c r="F529" s="692"/>
      <c r="G529" s="692"/>
      <c r="H529" s="692"/>
      <c r="I529" s="692"/>
      <c r="J529" s="692"/>
      <c r="K529" s="692"/>
      <c r="L529" s="692"/>
      <c r="M529" s="692"/>
      <c r="N529" s="692"/>
      <c r="O529" s="692"/>
      <c r="P529" s="692"/>
      <c r="Q529" s="692"/>
      <c r="R529" s="70"/>
      <c r="S529" s="70"/>
      <c r="T529" s="70"/>
      <c r="U529" s="70"/>
      <c r="V529" s="70"/>
      <c r="W529" s="70"/>
      <c r="X529" s="70"/>
      <c r="Y529" s="70"/>
      <c r="Z529" s="70"/>
    </row>
    <row r="530" customFormat="false" ht="12.75" hidden="false" customHeight="false" outlineLevel="1" collapsed="false">
      <c r="A530" s="70"/>
      <c r="B530" s="70"/>
      <c r="C530" s="70"/>
      <c r="D530" s="70"/>
      <c r="E530" s="70"/>
      <c r="F530" s="70"/>
      <c r="G530" s="70"/>
      <c r="H530" s="70"/>
      <c r="I530" s="70"/>
      <c r="J530" s="70"/>
      <c r="K530" s="70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  <c r="Y530" s="70"/>
      <c r="Z530" s="70"/>
    </row>
    <row r="531" customFormat="false" ht="12.75" hidden="false" customHeight="false" outlineLevel="1" collapsed="false">
      <c r="A531" s="322"/>
      <c r="B531" s="322"/>
      <c r="C531" s="322"/>
      <c r="D531" s="322"/>
      <c r="E531" s="321"/>
      <c r="F531" s="321"/>
      <c r="G531" s="321"/>
      <c r="H531" s="321"/>
      <c r="I531" s="321"/>
      <c r="J531" s="321"/>
      <c r="K531" s="321"/>
      <c r="L531" s="321"/>
      <c r="M531" s="321"/>
      <c r="N531" s="321"/>
      <c r="O531" s="321"/>
      <c r="P531" s="321"/>
      <c r="Q531" s="321"/>
      <c r="R531" s="70"/>
      <c r="S531" s="70"/>
      <c r="T531" s="70"/>
      <c r="U531" s="70"/>
      <c r="V531" s="70"/>
      <c r="W531" s="70"/>
      <c r="X531" s="70"/>
      <c r="Y531" s="70"/>
      <c r="Z531" s="70"/>
    </row>
    <row r="532" customFormat="false" ht="12.75" hidden="true" customHeight="false" outlineLevel="2" collapsed="false">
      <c r="A532" s="395"/>
      <c r="B532" s="70"/>
      <c r="C532" s="70"/>
      <c r="D532" s="70"/>
      <c r="E532" s="70"/>
      <c r="F532" s="70"/>
      <c r="G532" s="70"/>
      <c r="H532" s="70"/>
      <c r="I532" s="70"/>
      <c r="J532" s="70"/>
      <c r="K532" s="70"/>
      <c r="L532" s="70"/>
      <c r="M532" s="70"/>
      <c r="N532" s="70"/>
      <c r="O532" s="70"/>
      <c r="P532" s="70"/>
      <c r="Q532" s="70"/>
      <c r="R532" s="70"/>
      <c r="S532" s="70"/>
      <c r="T532" s="70"/>
      <c r="U532" s="70"/>
      <c r="V532" s="70"/>
      <c r="W532" s="70"/>
      <c r="X532" s="70"/>
      <c r="Y532" s="70"/>
      <c r="Z532" s="70"/>
    </row>
    <row r="533" customFormat="false" ht="12.75" hidden="true" customHeight="false" outlineLevel="2" collapsed="false">
      <c r="A533" s="685"/>
      <c r="B533" s="70"/>
      <c r="C533" s="70"/>
      <c r="D533" s="70"/>
      <c r="E533" s="70"/>
      <c r="F533" s="686"/>
      <c r="G533" s="686"/>
      <c r="H533" s="686"/>
      <c r="I533" s="686"/>
      <c r="J533" s="686"/>
      <c r="K533" s="686"/>
      <c r="L533" s="686"/>
      <c r="M533" s="686"/>
      <c r="N533" s="686"/>
      <c r="O533" s="686"/>
      <c r="P533" s="686"/>
      <c r="Q533" s="686"/>
      <c r="R533" s="70"/>
      <c r="S533" s="70"/>
      <c r="T533" s="70"/>
      <c r="U533" s="70"/>
      <c r="V533" s="70"/>
      <c r="W533" s="70"/>
      <c r="X533" s="70"/>
      <c r="Y533" s="70"/>
      <c r="Z533" s="70"/>
    </row>
    <row r="534" customFormat="false" ht="12.75" hidden="true" customHeight="false" outlineLevel="2" collapsed="false">
      <c r="A534" s="685"/>
      <c r="B534" s="70"/>
      <c r="C534" s="70"/>
      <c r="D534" s="70"/>
      <c r="E534" s="70"/>
      <c r="F534" s="686"/>
      <c r="G534" s="686"/>
      <c r="H534" s="686"/>
      <c r="I534" s="686"/>
      <c r="J534" s="686"/>
      <c r="K534" s="686"/>
      <c r="L534" s="686"/>
      <c r="M534" s="686"/>
      <c r="N534" s="686"/>
      <c r="O534" s="686"/>
      <c r="P534" s="686"/>
      <c r="Q534" s="686"/>
      <c r="R534" s="70"/>
      <c r="S534" s="70"/>
      <c r="T534" s="70"/>
      <c r="U534" s="70"/>
      <c r="V534" s="70"/>
      <c r="W534" s="70"/>
      <c r="X534" s="70"/>
      <c r="Y534" s="70"/>
      <c r="Z534" s="70"/>
    </row>
    <row r="535" customFormat="false" ht="12.75" hidden="true" customHeight="false" outlineLevel="2" collapsed="false">
      <c r="A535" s="728"/>
      <c r="B535" s="70"/>
      <c r="C535" s="70"/>
      <c r="D535" s="70"/>
      <c r="E535" s="70"/>
      <c r="F535" s="686"/>
      <c r="G535" s="686"/>
      <c r="H535" s="686"/>
      <c r="I535" s="686"/>
      <c r="J535" s="686"/>
      <c r="K535" s="686"/>
      <c r="L535" s="686"/>
      <c r="M535" s="686"/>
      <c r="N535" s="686"/>
      <c r="O535" s="686"/>
      <c r="P535" s="686"/>
      <c r="Q535" s="686"/>
      <c r="R535" s="70"/>
      <c r="S535" s="70"/>
      <c r="T535" s="70"/>
      <c r="U535" s="70"/>
      <c r="V535" s="70"/>
      <c r="W535" s="70"/>
      <c r="X535" s="70"/>
      <c r="Y535" s="70"/>
      <c r="Z535" s="70"/>
    </row>
    <row r="536" customFormat="false" ht="12.75" hidden="true" customHeight="false" outlineLevel="2" collapsed="false">
      <c r="A536" s="685"/>
      <c r="B536" s="70"/>
      <c r="C536" s="70"/>
      <c r="D536" s="70"/>
      <c r="E536" s="70"/>
      <c r="F536" s="686"/>
      <c r="G536" s="686"/>
      <c r="H536" s="686"/>
      <c r="I536" s="686"/>
      <c r="J536" s="686"/>
      <c r="K536" s="686"/>
      <c r="L536" s="686"/>
      <c r="M536" s="686"/>
      <c r="N536" s="686"/>
      <c r="O536" s="686"/>
      <c r="P536" s="686"/>
      <c r="Q536" s="686"/>
      <c r="R536" s="70"/>
      <c r="S536" s="70"/>
      <c r="T536" s="70"/>
      <c r="U536" s="70"/>
      <c r="V536" s="70"/>
      <c r="W536" s="70"/>
      <c r="X536" s="70"/>
      <c r="Y536" s="70"/>
      <c r="Z536" s="70"/>
    </row>
    <row r="537" customFormat="false" ht="12.75" hidden="true" customHeight="false" outlineLevel="2" collapsed="false">
      <c r="A537" s="70"/>
      <c r="B537" s="70"/>
      <c r="C537" s="70"/>
      <c r="D537" s="70"/>
      <c r="E537" s="70"/>
      <c r="F537" s="686"/>
      <c r="G537" s="686"/>
      <c r="H537" s="686"/>
      <c r="I537" s="686"/>
      <c r="J537" s="686"/>
      <c r="K537" s="686"/>
      <c r="L537" s="686"/>
      <c r="M537" s="686"/>
      <c r="N537" s="686"/>
      <c r="O537" s="686"/>
      <c r="P537" s="686"/>
      <c r="Q537" s="686"/>
      <c r="R537" s="70"/>
      <c r="S537" s="70"/>
      <c r="T537" s="70"/>
      <c r="U537" s="70"/>
      <c r="V537" s="70"/>
      <c r="W537" s="70"/>
      <c r="X537" s="70"/>
      <c r="Y537" s="70"/>
      <c r="Z537" s="70"/>
    </row>
    <row r="538" customFormat="false" ht="12.75" hidden="true" customHeight="false" outlineLevel="2" collapsed="false">
      <c r="A538" s="395"/>
      <c r="B538" s="70"/>
      <c r="C538" s="70"/>
      <c r="D538" s="70"/>
      <c r="E538" s="70"/>
      <c r="F538" s="686"/>
      <c r="G538" s="686"/>
      <c r="H538" s="686"/>
      <c r="I538" s="686"/>
      <c r="J538" s="686"/>
      <c r="K538" s="686"/>
      <c r="L538" s="686"/>
      <c r="M538" s="686"/>
      <c r="N538" s="686"/>
      <c r="O538" s="686"/>
      <c r="P538" s="686"/>
      <c r="Q538" s="686"/>
      <c r="R538" s="70"/>
      <c r="S538" s="70"/>
      <c r="T538" s="70"/>
      <c r="U538" s="70"/>
      <c r="V538" s="70"/>
      <c r="W538" s="70"/>
      <c r="X538" s="70"/>
      <c r="Y538" s="70"/>
      <c r="Z538" s="70"/>
    </row>
    <row r="539" customFormat="false" ht="12.75" hidden="true" customHeight="false" outlineLevel="2" collapsed="false">
      <c r="A539" s="685"/>
      <c r="B539" s="70"/>
      <c r="C539" s="70"/>
      <c r="D539" s="70"/>
      <c r="E539" s="70"/>
      <c r="F539" s="686"/>
      <c r="G539" s="686"/>
      <c r="H539" s="686"/>
      <c r="I539" s="686"/>
      <c r="J539" s="686"/>
      <c r="K539" s="686"/>
      <c r="L539" s="686"/>
      <c r="M539" s="686"/>
      <c r="N539" s="686"/>
      <c r="O539" s="686"/>
      <c r="P539" s="686"/>
      <c r="Q539" s="686"/>
      <c r="R539" s="70"/>
      <c r="S539" s="70"/>
      <c r="T539" s="70"/>
      <c r="U539" s="70"/>
      <c r="V539" s="70"/>
      <c r="W539" s="70"/>
      <c r="X539" s="70"/>
      <c r="Y539" s="70"/>
      <c r="Z539" s="70"/>
    </row>
    <row r="540" customFormat="false" ht="12.75" hidden="true" customHeight="false" outlineLevel="2" collapsed="false">
      <c r="A540" s="685"/>
      <c r="B540" s="70"/>
      <c r="C540" s="70"/>
      <c r="D540" s="70"/>
      <c r="E540" s="70"/>
      <c r="F540" s="686"/>
      <c r="G540" s="686"/>
      <c r="H540" s="686"/>
      <c r="I540" s="686"/>
      <c r="J540" s="686"/>
      <c r="K540" s="686"/>
      <c r="L540" s="686"/>
      <c r="M540" s="686"/>
      <c r="N540" s="686"/>
      <c r="O540" s="686"/>
      <c r="P540" s="686"/>
      <c r="Q540" s="686"/>
      <c r="R540" s="70"/>
      <c r="S540" s="70"/>
      <c r="T540" s="70"/>
      <c r="U540" s="70"/>
      <c r="V540" s="70"/>
      <c r="W540" s="70"/>
      <c r="X540" s="70"/>
      <c r="Y540" s="70"/>
      <c r="Z540" s="70"/>
    </row>
    <row r="541" customFormat="false" ht="12.75" hidden="true" customHeight="false" outlineLevel="2" collapsed="false">
      <c r="A541" s="685"/>
      <c r="B541" s="70"/>
      <c r="C541" s="70"/>
      <c r="D541" s="70"/>
      <c r="E541" s="70"/>
      <c r="F541" s="686"/>
      <c r="G541" s="686"/>
      <c r="H541" s="686"/>
      <c r="I541" s="686"/>
      <c r="J541" s="686"/>
      <c r="K541" s="686"/>
      <c r="L541" s="686"/>
      <c r="M541" s="686"/>
      <c r="N541" s="686"/>
      <c r="O541" s="686"/>
      <c r="P541" s="686"/>
      <c r="Q541" s="686"/>
      <c r="R541" s="70"/>
      <c r="S541" s="70"/>
      <c r="T541" s="70"/>
      <c r="U541" s="70"/>
      <c r="V541" s="70"/>
      <c r="W541" s="70"/>
      <c r="X541" s="70"/>
      <c r="Y541" s="70"/>
      <c r="Z541" s="70"/>
    </row>
    <row r="542" customFormat="false" ht="12.75" hidden="true" customHeight="false" outlineLevel="2" collapsed="false">
      <c r="A542" s="685"/>
      <c r="B542" s="70"/>
      <c r="C542" s="70"/>
      <c r="D542" s="70"/>
      <c r="E542" s="70"/>
      <c r="F542" s="686"/>
      <c r="G542" s="686"/>
      <c r="H542" s="686"/>
      <c r="I542" s="686"/>
      <c r="J542" s="686"/>
      <c r="K542" s="686"/>
      <c r="L542" s="686"/>
      <c r="M542" s="686"/>
      <c r="N542" s="686"/>
      <c r="O542" s="686"/>
      <c r="P542" s="686"/>
      <c r="Q542" s="686"/>
      <c r="R542" s="70"/>
      <c r="S542" s="70"/>
      <c r="T542" s="70"/>
      <c r="U542" s="70"/>
      <c r="V542" s="70"/>
      <c r="W542" s="70"/>
      <c r="X542" s="70"/>
      <c r="Y542" s="70"/>
      <c r="Z542" s="70"/>
    </row>
    <row r="543" customFormat="false" ht="12.75" hidden="true" customHeight="false" outlineLevel="2" collapsed="false">
      <c r="A543" s="685"/>
      <c r="B543" s="70"/>
      <c r="C543" s="70"/>
      <c r="D543" s="70"/>
      <c r="E543" s="70"/>
      <c r="F543" s="686"/>
      <c r="G543" s="686"/>
      <c r="H543" s="686"/>
      <c r="I543" s="686"/>
      <c r="J543" s="686"/>
      <c r="K543" s="686"/>
      <c r="L543" s="686"/>
      <c r="M543" s="686"/>
      <c r="N543" s="686"/>
      <c r="O543" s="686"/>
      <c r="P543" s="686"/>
      <c r="Q543" s="686"/>
      <c r="R543" s="70"/>
      <c r="S543" s="70"/>
      <c r="T543" s="70"/>
      <c r="U543" s="70"/>
      <c r="V543" s="70"/>
      <c r="W543" s="70"/>
      <c r="X543" s="70"/>
      <c r="Y543" s="70"/>
      <c r="Z543" s="70"/>
    </row>
    <row r="544" customFormat="false" ht="12.75" hidden="true" customHeight="false" outlineLevel="2" collapsed="false">
      <c r="A544" s="685"/>
      <c r="B544" s="70"/>
      <c r="C544" s="70"/>
      <c r="D544" s="70"/>
      <c r="E544" s="70"/>
      <c r="F544" s="686"/>
      <c r="G544" s="686"/>
      <c r="H544" s="686"/>
      <c r="I544" s="686"/>
      <c r="J544" s="686"/>
      <c r="K544" s="686"/>
      <c r="L544" s="686"/>
      <c r="M544" s="686"/>
      <c r="N544" s="686"/>
      <c r="O544" s="686"/>
      <c r="P544" s="686"/>
      <c r="Q544" s="686"/>
      <c r="R544" s="70"/>
      <c r="S544" s="70"/>
      <c r="T544" s="70"/>
      <c r="U544" s="70"/>
      <c r="V544" s="70"/>
      <c r="W544" s="70"/>
      <c r="X544" s="70"/>
      <c r="Y544" s="70"/>
      <c r="Z544" s="70"/>
    </row>
    <row r="545" customFormat="false" ht="12.75" hidden="true" customHeight="false" outlineLevel="2" collapsed="false">
      <c r="A545" s="685"/>
      <c r="B545" s="70"/>
      <c r="C545" s="70"/>
      <c r="D545" s="70"/>
      <c r="E545" s="70"/>
      <c r="F545" s="686"/>
      <c r="G545" s="686"/>
      <c r="H545" s="686"/>
      <c r="I545" s="686"/>
      <c r="J545" s="686"/>
      <c r="K545" s="686"/>
      <c r="L545" s="686"/>
      <c r="M545" s="686"/>
      <c r="N545" s="686"/>
      <c r="O545" s="686"/>
      <c r="P545" s="686"/>
      <c r="Q545" s="686"/>
      <c r="R545" s="70"/>
      <c r="S545" s="70"/>
      <c r="T545" s="70"/>
      <c r="U545" s="70"/>
      <c r="V545" s="70"/>
      <c r="W545" s="70"/>
      <c r="X545" s="70"/>
      <c r="Y545" s="70"/>
      <c r="Z545" s="70"/>
    </row>
    <row r="546" customFormat="false" ht="12.75" hidden="true" customHeight="false" outlineLevel="2" collapsed="false">
      <c r="A546" s="685"/>
      <c r="B546" s="70"/>
      <c r="C546" s="70"/>
      <c r="D546" s="70"/>
      <c r="E546" s="70"/>
      <c r="F546" s="686"/>
      <c r="G546" s="686"/>
      <c r="H546" s="686"/>
      <c r="I546" s="686"/>
      <c r="J546" s="686"/>
      <c r="K546" s="686"/>
      <c r="L546" s="686"/>
      <c r="M546" s="686"/>
      <c r="N546" s="686"/>
      <c r="O546" s="686"/>
      <c r="P546" s="686"/>
      <c r="Q546" s="686"/>
      <c r="R546" s="70"/>
      <c r="S546" s="70"/>
      <c r="T546" s="70"/>
      <c r="U546" s="70"/>
      <c r="V546" s="70"/>
      <c r="W546" s="70"/>
      <c r="X546" s="70"/>
      <c r="Y546" s="70"/>
      <c r="Z546" s="70"/>
    </row>
    <row r="547" customFormat="false" ht="12.75" hidden="true" customHeight="false" outlineLevel="2" collapsed="false">
      <c r="A547" s="685"/>
      <c r="B547" s="70"/>
      <c r="C547" s="70"/>
      <c r="D547" s="70"/>
      <c r="E547" s="70"/>
      <c r="F547" s="686"/>
      <c r="G547" s="686"/>
      <c r="H547" s="686"/>
      <c r="I547" s="686"/>
      <c r="J547" s="686"/>
      <c r="K547" s="686"/>
      <c r="L547" s="686"/>
      <c r="M547" s="686"/>
      <c r="N547" s="686"/>
      <c r="O547" s="686"/>
      <c r="P547" s="686"/>
      <c r="Q547" s="686"/>
      <c r="R547" s="70"/>
      <c r="S547" s="70"/>
      <c r="T547" s="70"/>
      <c r="U547" s="70"/>
      <c r="V547" s="70"/>
      <c r="W547" s="70"/>
      <c r="X547" s="70"/>
      <c r="Y547" s="70"/>
      <c r="Z547" s="70"/>
    </row>
    <row r="548" customFormat="false" ht="12.75" hidden="true" customHeight="false" outlineLevel="2" collapsed="false">
      <c r="A548" s="685"/>
      <c r="B548" s="70"/>
      <c r="C548" s="70"/>
      <c r="D548" s="70"/>
      <c r="E548" s="70"/>
      <c r="F548" s="686"/>
      <c r="G548" s="686"/>
      <c r="H548" s="686"/>
      <c r="I548" s="686"/>
      <c r="J548" s="686"/>
      <c r="K548" s="686"/>
      <c r="L548" s="686"/>
      <c r="M548" s="686"/>
      <c r="N548" s="686"/>
      <c r="O548" s="686"/>
      <c r="P548" s="686"/>
      <c r="Q548" s="686"/>
      <c r="R548" s="70"/>
      <c r="S548" s="70"/>
      <c r="T548" s="70"/>
      <c r="U548" s="70"/>
      <c r="V548" s="70"/>
      <c r="W548" s="70"/>
      <c r="X548" s="70"/>
      <c r="Y548" s="70"/>
      <c r="Z548" s="70"/>
    </row>
    <row r="549" customFormat="false" ht="12.75" hidden="true" customHeight="false" outlineLevel="2" collapsed="false">
      <c r="A549" s="70"/>
      <c r="B549" s="70"/>
      <c r="C549" s="70"/>
      <c r="D549" s="70"/>
      <c r="E549" s="70"/>
      <c r="F549" s="686"/>
      <c r="G549" s="686"/>
      <c r="H549" s="686"/>
      <c r="I549" s="686"/>
      <c r="J549" s="686"/>
      <c r="K549" s="686"/>
      <c r="L549" s="686"/>
      <c r="M549" s="686"/>
      <c r="N549" s="686"/>
      <c r="O549" s="686"/>
      <c r="P549" s="686"/>
      <c r="Q549" s="686"/>
      <c r="R549" s="70"/>
      <c r="S549" s="70"/>
      <c r="T549" s="70"/>
      <c r="U549" s="70"/>
      <c r="V549" s="70"/>
      <c r="W549" s="70"/>
      <c r="X549" s="70"/>
      <c r="Y549" s="70"/>
      <c r="Z549" s="70"/>
    </row>
    <row r="550" customFormat="false" ht="12.75" hidden="true" customHeight="false" outlineLevel="2" collapsed="false">
      <c r="A550" s="70"/>
      <c r="B550" s="70"/>
      <c r="C550" s="70"/>
      <c r="D550" s="70"/>
      <c r="E550" s="70"/>
      <c r="F550" s="686"/>
      <c r="G550" s="686"/>
      <c r="H550" s="686"/>
      <c r="I550" s="686"/>
      <c r="J550" s="686"/>
      <c r="K550" s="686"/>
      <c r="L550" s="686"/>
      <c r="M550" s="686"/>
      <c r="N550" s="686"/>
      <c r="O550" s="686"/>
      <c r="P550" s="686"/>
      <c r="Q550" s="686"/>
      <c r="R550" s="70"/>
      <c r="S550" s="70"/>
      <c r="T550" s="70"/>
      <c r="U550" s="70"/>
      <c r="V550" s="70"/>
      <c r="W550" s="70"/>
      <c r="X550" s="70"/>
      <c r="Y550" s="70"/>
      <c r="Z550" s="70"/>
    </row>
    <row r="551" customFormat="false" ht="12.75" hidden="true" customHeight="false" outlineLevel="2" collapsed="false">
      <c r="A551" s="70"/>
      <c r="B551" s="70"/>
      <c r="C551" s="70"/>
      <c r="D551" s="70"/>
      <c r="E551" s="70"/>
      <c r="F551" s="686"/>
      <c r="G551" s="686"/>
      <c r="H551" s="686"/>
      <c r="I551" s="686"/>
      <c r="J551" s="686"/>
      <c r="K551" s="686"/>
      <c r="L551" s="686"/>
      <c r="M551" s="686"/>
      <c r="N551" s="686"/>
      <c r="O551" s="686"/>
      <c r="P551" s="686"/>
      <c r="Q551" s="686"/>
      <c r="R551" s="70"/>
      <c r="S551" s="70"/>
      <c r="T551" s="70"/>
      <c r="U551" s="70"/>
      <c r="V551" s="70"/>
      <c r="W551" s="70"/>
      <c r="X551" s="70"/>
      <c r="Y551" s="70"/>
      <c r="Z551" s="70"/>
    </row>
    <row r="552" customFormat="false" ht="12.75" hidden="true" customHeight="false" outlineLevel="2" collapsed="false">
      <c r="A552" s="685"/>
      <c r="B552" s="70"/>
      <c r="C552" s="70"/>
      <c r="D552" s="70"/>
      <c r="E552" s="70"/>
      <c r="F552" s="686"/>
      <c r="G552" s="686"/>
      <c r="H552" s="686"/>
      <c r="I552" s="686"/>
      <c r="J552" s="686"/>
      <c r="K552" s="686"/>
      <c r="L552" s="686"/>
      <c r="M552" s="686"/>
      <c r="N552" s="686"/>
      <c r="O552" s="686"/>
      <c r="P552" s="686"/>
      <c r="Q552" s="686"/>
      <c r="R552" s="70"/>
      <c r="S552" s="70"/>
      <c r="T552" s="70"/>
      <c r="U552" s="70"/>
      <c r="V552" s="70"/>
      <c r="W552" s="70"/>
      <c r="X552" s="70"/>
      <c r="Y552" s="70"/>
      <c r="Z552" s="70"/>
    </row>
    <row r="553" customFormat="false" ht="12.75" hidden="true" customHeight="false" outlineLevel="2" collapsed="false">
      <c r="A553" s="70"/>
      <c r="B553" s="70"/>
      <c r="C553" s="70"/>
      <c r="D553" s="70"/>
      <c r="E553" s="70"/>
      <c r="F553" s="686"/>
      <c r="G553" s="686"/>
      <c r="H553" s="686"/>
      <c r="I553" s="686"/>
      <c r="J553" s="686"/>
      <c r="K553" s="686"/>
      <c r="L553" s="686"/>
      <c r="M553" s="686"/>
      <c r="N553" s="686"/>
      <c r="O553" s="686"/>
      <c r="P553" s="686"/>
      <c r="Q553" s="686"/>
      <c r="R553" s="70"/>
      <c r="S553" s="70"/>
      <c r="T553" s="70"/>
      <c r="U553" s="70"/>
      <c r="V553" s="70"/>
      <c r="W553" s="70"/>
      <c r="X553" s="70"/>
      <c r="Y553" s="70"/>
      <c r="Z553" s="70"/>
    </row>
    <row r="554" customFormat="false" ht="12.75" hidden="true" customHeight="false" outlineLevel="2" collapsed="false">
      <c r="A554" s="70"/>
      <c r="B554" s="70"/>
      <c r="C554" s="70"/>
      <c r="D554" s="70"/>
      <c r="E554" s="70"/>
      <c r="F554" s="686"/>
      <c r="G554" s="686"/>
      <c r="H554" s="686"/>
      <c r="I554" s="686"/>
      <c r="J554" s="686"/>
      <c r="K554" s="686"/>
      <c r="L554" s="686"/>
      <c r="M554" s="686"/>
      <c r="N554" s="686"/>
      <c r="O554" s="686"/>
      <c r="P554" s="686"/>
      <c r="Q554" s="686"/>
      <c r="R554" s="70"/>
      <c r="S554" s="70"/>
      <c r="T554" s="70"/>
      <c r="U554" s="70"/>
      <c r="V554" s="70"/>
      <c r="W554" s="70"/>
      <c r="X554" s="70"/>
      <c r="Y554" s="70"/>
      <c r="Z554" s="70"/>
    </row>
    <row r="555" customFormat="false" ht="12.75" hidden="true" customHeight="false" outlineLevel="2" collapsed="false">
      <c r="A555" s="395"/>
      <c r="B555" s="70"/>
      <c r="C555" s="70"/>
      <c r="D555" s="70"/>
      <c r="E555" s="70"/>
      <c r="F555" s="686"/>
      <c r="G555" s="686"/>
      <c r="H555" s="686"/>
      <c r="I555" s="686"/>
      <c r="J555" s="686"/>
      <c r="K555" s="686"/>
      <c r="L555" s="686"/>
      <c r="M555" s="686"/>
      <c r="N555" s="686"/>
      <c r="O555" s="686"/>
      <c r="P555" s="686"/>
      <c r="Q555" s="686"/>
      <c r="R555" s="70"/>
      <c r="S555" s="70"/>
      <c r="T555" s="70"/>
      <c r="U555" s="70"/>
      <c r="V555" s="70"/>
      <c r="W555" s="70"/>
      <c r="X555" s="70"/>
      <c r="Y555" s="70"/>
      <c r="Z555" s="70"/>
    </row>
    <row r="556" customFormat="false" ht="12.75" hidden="true" customHeight="false" outlineLevel="2" collapsed="false">
      <c r="A556" s="685"/>
      <c r="B556" s="70"/>
      <c r="C556" s="70"/>
      <c r="D556" s="70"/>
      <c r="E556" s="70"/>
      <c r="F556" s="686"/>
      <c r="G556" s="686"/>
      <c r="H556" s="686"/>
      <c r="I556" s="686"/>
      <c r="J556" s="686"/>
      <c r="K556" s="686"/>
      <c r="L556" s="686"/>
      <c r="M556" s="686"/>
      <c r="N556" s="686"/>
      <c r="O556" s="686"/>
      <c r="P556" s="686"/>
      <c r="Q556" s="686"/>
      <c r="R556" s="70"/>
      <c r="S556" s="70"/>
      <c r="T556" s="70"/>
      <c r="U556" s="70"/>
      <c r="V556" s="70"/>
      <c r="W556" s="70"/>
      <c r="X556" s="70"/>
      <c r="Y556" s="70"/>
      <c r="Z556" s="70"/>
    </row>
    <row r="557" customFormat="false" ht="12.75" hidden="false" customHeight="false" outlineLevel="1" collapsed="true">
      <c r="A557" s="395"/>
      <c r="B557" s="70"/>
      <c r="C557" s="70"/>
      <c r="D557" s="70"/>
      <c r="E557" s="70"/>
      <c r="F557" s="686"/>
      <c r="G557" s="686"/>
      <c r="H557" s="686"/>
      <c r="I557" s="686"/>
      <c r="J557" s="686"/>
      <c r="K557" s="686"/>
      <c r="L557" s="686"/>
      <c r="M557" s="686"/>
      <c r="N557" s="686"/>
      <c r="O557" s="686"/>
      <c r="P557" s="686"/>
      <c r="Q557" s="686"/>
      <c r="R557" s="70"/>
      <c r="S557" s="70"/>
      <c r="T557" s="70"/>
      <c r="U557" s="70"/>
      <c r="V557" s="70"/>
      <c r="W557" s="70"/>
      <c r="X557" s="70"/>
      <c r="Y557" s="70"/>
      <c r="Z557" s="70"/>
    </row>
    <row r="558" customFormat="false" ht="12.75" hidden="false" customHeight="false" outlineLevel="1" collapsed="false">
      <c r="A558" s="395"/>
      <c r="B558" s="70"/>
      <c r="C558" s="70"/>
      <c r="D558" s="70"/>
      <c r="E558" s="70"/>
      <c r="F558" s="686"/>
      <c r="G558" s="686"/>
      <c r="H558" s="686"/>
      <c r="I558" s="686"/>
      <c r="J558" s="686"/>
      <c r="K558" s="686"/>
      <c r="L558" s="686"/>
      <c r="M558" s="686"/>
      <c r="N558" s="686"/>
      <c r="O558" s="686"/>
      <c r="P558" s="686"/>
      <c r="Q558" s="686"/>
      <c r="R558" s="70"/>
      <c r="S558" s="70"/>
      <c r="T558" s="70"/>
      <c r="U558" s="70"/>
      <c r="V558" s="70"/>
      <c r="W558" s="70"/>
      <c r="X558" s="70"/>
      <c r="Y558" s="70"/>
      <c r="Z558" s="70"/>
    </row>
    <row r="559" customFormat="false" ht="12.75" hidden="false" customHeight="false" outlineLevel="1" collapsed="false">
      <c r="A559" s="395"/>
      <c r="B559" s="70"/>
      <c r="C559" s="70"/>
      <c r="D559" s="70"/>
      <c r="E559" s="70"/>
      <c r="F559" s="686"/>
      <c r="G559" s="686"/>
      <c r="H559" s="686"/>
      <c r="I559" s="686"/>
      <c r="J559" s="686"/>
      <c r="K559" s="686"/>
      <c r="L559" s="686"/>
      <c r="M559" s="686"/>
      <c r="N559" s="686"/>
      <c r="O559" s="686"/>
      <c r="P559" s="686"/>
      <c r="Q559" s="686"/>
      <c r="R559" s="70"/>
      <c r="S559" s="70"/>
      <c r="T559" s="70"/>
      <c r="U559" s="70"/>
      <c r="V559" s="70"/>
      <c r="W559" s="70"/>
      <c r="X559" s="70"/>
      <c r="Y559" s="70"/>
      <c r="Z559" s="70"/>
    </row>
    <row r="560" customFormat="false" ht="12.75" hidden="false" customHeight="false" outlineLevel="1" collapsed="false">
      <c r="A560" s="70"/>
      <c r="B560" s="70"/>
      <c r="C560" s="70"/>
      <c r="D560" s="70"/>
      <c r="E560" s="70"/>
      <c r="F560" s="686"/>
      <c r="G560" s="686"/>
      <c r="H560" s="686"/>
      <c r="I560" s="686"/>
      <c r="J560" s="686"/>
      <c r="K560" s="686"/>
      <c r="L560" s="686"/>
      <c r="M560" s="686"/>
      <c r="N560" s="686"/>
      <c r="O560" s="686"/>
      <c r="P560" s="686"/>
      <c r="Q560" s="686"/>
      <c r="R560" s="70"/>
      <c r="S560" s="70"/>
      <c r="T560" s="70"/>
      <c r="U560" s="70"/>
      <c r="V560" s="70"/>
      <c r="W560" s="70"/>
      <c r="X560" s="70"/>
      <c r="Y560" s="70"/>
      <c r="Z560" s="70"/>
    </row>
    <row r="561" customFormat="false" ht="12.75" hidden="false" customHeight="false" outlineLevel="1" collapsed="false">
      <c r="A561" s="70"/>
      <c r="B561" s="70"/>
      <c r="C561" s="70"/>
      <c r="D561" s="70"/>
      <c r="E561" s="70"/>
      <c r="F561" s="686"/>
      <c r="G561" s="686"/>
      <c r="H561" s="686"/>
      <c r="I561" s="686"/>
      <c r="J561" s="686"/>
      <c r="K561" s="686"/>
      <c r="L561" s="686"/>
      <c r="M561" s="686"/>
      <c r="N561" s="686"/>
      <c r="O561" s="686"/>
      <c r="P561" s="686"/>
      <c r="Q561" s="686"/>
      <c r="R561" s="70"/>
      <c r="S561" s="70"/>
      <c r="T561" s="70"/>
      <c r="U561" s="70"/>
      <c r="V561" s="70"/>
      <c r="W561" s="70"/>
      <c r="X561" s="70"/>
      <c r="Y561" s="70"/>
      <c r="Z561" s="70"/>
    </row>
    <row r="562" customFormat="false" ht="12.75" hidden="false" customHeight="false" outlineLevel="1" collapsed="false">
      <c r="A562" s="395"/>
      <c r="B562" s="70"/>
      <c r="C562" s="70"/>
      <c r="D562" s="70"/>
      <c r="E562" s="70"/>
      <c r="F562" s="686"/>
      <c r="G562" s="686"/>
      <c r="H562" s="686"/>
      <c r="I562" s="686"/>
      <c r="J562" s="686"/>
      <c r="K562" s="686"/>
      <c r="L562" s="686"/>
      <c r="M562" s="686"/>
      <c r="N562" s="686"/>
      <c r="O562" s="686"/>
      <c r="P562" s="686"/>
      <c r="Q562" s="686"/>
      <c r="R562" s="70"/>
      <c r="S562" s="70"/>
      <c r="T562" s="70"/>
      <c r="U562" s="70"/>
      <c r="V562" s="70"/>
      <c r="W562" s="70"/>
      <c r="X562" s="70"/>
      <c r="Y562" s="70"/>
      <c r="Z562" s="70"/>
    </row>
    <row r="563" customFormat="false" ht="12.75" hidden="false" customHeight="false" outlineLevel="1" collapsed="false">
      <c r="A563" s="395"/>
      <c r="B563" s="70"/>
      <c r="C563" s="70"/>
      <c r="D563" s="70"/>
      <c r="E563" s="70"/>
      <c r="F563" s="686"/>
      <c r="G563" s="686"/>
      <c r="H563" s="686"/>
      <c r="I563" s="686"/>
      <c r="J563" s="686"/>
      <c r="K563" s="686"/>
      <c r="L563" s="686"/>
      <c r="M563" s="686"/>
      <c r="N563" s="686"/>
      <c r="O563" s="686"/>
      <c r="P563" s="686"/>
      <c r="Q563" s="686"/>
      <c r="R563" s="70"/>
      <c r="S563" s="70"/>
      <c r="T563" s="70"/>
      <c r="U563" s="70"/>
      <c r="V563" s="70"/>
      <c r="W563" s="70"/>
      <c r="X563" s="70"/>
      <c r="Y563" s="70"/>
      <c r="Z563" s="70"/>
    </row>
    <row r="564" customFormat="false" ht="12.75" hidden="false" customHeight="false" outlineLevel="1" collapsed="false">
      <c r="A564" s="395"/>
      <c r="B564" s="70"/>
      <c r="C564" s="70"/>
      <c r="D564" s="70"/>
      <c r="E564" s="70"/>
      <c r="F564" s="686"/>
      <c r="G564" s="686"/>
      <c r="H564" s="686"/>
      <c r="I564" s="686"/>
      <c r="J564" s="686"/>
      <c r="K564" s="686"/>
      <c r="L564" s="686"/>
      <c r="M564" s="686"/>
      <c r="N564" s="686"/>
      <c r="O564" s="686"/>
      <c r="P564" s="686"/>
      <c r="Q564" s="686"/>
      <c r="R564" s="70"/>
      <c r="S564" s="70"/>
      <c r="T564" s="70"/>
      <c r="U564" s="70"/>
      <c r="V564" s="70"/>
      <c r="W564" s="70"/>
      <c r="X564" s="70"/>
      <c r="Y564" s="70"/>
      <c r="Z564" s="70"/>
    </row>
    <row r="565" customFormat="false" ht="12.75" hidden="false" customHeight="false" outlineLevel="1" collapsed="false">
      <c r="A565" s="395"/>
      <c r="B565" s="70"/>
      <c r="C565" s="70"/>
      <c r="D565" s="70"/>
      <c r="E565" s="70"/>
      <c r="F565" s="686"/>
      <c r="G565" s="686"/>
      <c r="H565" s="686"/>
      <c r="I565" s="686"/>
      <c r="J565" s="686"/>
      <c r="K565" s="686"/>
      <c r="L565" s="686"/>
      <c r="M565" s="686"/>
      <c r="N565" s="686"/>
      <c r="O565" s="686"/>
      <c r="P565" s="686"/>
      <c r="Q565" s="686"/>
      <c r="R565" s="70"/>
      <c r="S565" s="70"/>
      <c r="T565" s="70"/>
      <c r="U565" s="70"/>
      <c r="V565" s="70"/>
      <c r="W565" s="70"/>
      <c r="X565" s="70"/>
      <c r="Y565" s="70"/>
      <c r="Z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  <c r="F566" s="70"/>
      <c r="G566" s="70"/>
      <c r="H566" s="70"/>
      <c r="I566" s="686"/>
      <c r="J566" s="686"/>
      <c r="K566" s="686"/>
      <c r="L566" s="686"/>
      <c r="M566" s="686"/>
      <c r="N566" s="686"/>
      <c r="O566" s="686"/>
      <c r="P566" s="686"/>
      <c r="Q566" s="686"/>
      <c r="R566" s="70"/>
      <c r="S566" s="70"/>
      <c r="T566" s="70"/>
      <c r="U566" s="70"/>
      <c r="V566" s="70"/>
      <c r="W566" s="70"/>
      <c r="X566" s="70"/>
      <c r="Y566" s="70"/>
      <c r="Z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  <c r="F567" s="70"/>
      <c r="G567" s="70"/>
      <c r="H567" s="70"/>
      <c r="I567" s="686"/>
      <c r="J567" s="686"/>
      <c r="K567" s="686"/>
      <c r="L567" s="686"/>
      <c r="M567" s="686"/>
      <c r="N567" s="686"/>
      <c r="O567" s="686"/>
      <c r="P567" s="686"/>
      <c r="Q567" s="686"/>
      <c r="R567" s="70"/>
      <c r="S567" s="70"/>
      <c r="T567" s="70"/>
      <c r="U567" s="70"/>
      <c r="V567" s="70"/>
      <c r="W567" s="70"/>
      <c r="X567" s="70"/>
      <c r="Y567" s="70"/>
      <c r="Z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  <c r="F568" s="70"/>
      <c r="G568" s="70"/>
      <c r="H568" s="70"/>
      <c r="I568" s="686"/>
      <c r="J568" s="686"/>
      <c r="K568" s="686"/>
      <c r="L568" s="686"/>
      <c r="M568" s="686"/>
      <c r="N568" s="686"/>
      <c r="O568" s="686"/>
      <c r="P568" s="686"/>
      <c r="Q568" s="686"/>
      <c r="R568" s="70"/>
      <c r="S568" s="70"/>
      <c r="T568" s="70"/>
      <c r="U568" s="70"/>
      <c r="V568" s="70"/>
      <c r="W568" s="70"/>
      <c r="X568" s="70"/>
      <c r="Y568" s="70"/>
      <c r="Z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  <c r="F569" s="70"/>
      <c r="G569" s="70"/>
      <c r="H569" s="70"/>
      <c r="I569" s="686"/>
      <c r="J569" s="686"/>
      <c r="K569" s="686"/>
      <c r="L569" s="686"/>
      <c r="M569" s="686"/>
      <c r="N569" s="686"/>
      <c r="O569" s="686"/>
      <c r="P569" s="686"/>
      <c r="Q569" s="686"/>
      <c r="R569" s="70"/>
      <c r="S569" s="70"/>
      <c r="T569" s="70"/>
      <c r="U569" s="70"/>
      <c r="V569" s="70"/>
      <c r="W569" s="70"/>
      <c r="X569" s="70"/>
      <c r="Y569" s="70"/>
      <c r="Z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  <c r="F570" s="70"/>
      <c r="G570" s="70"/>
      <c r="H570" s="70"/>
      <c r="I570" s="686"/>
      <c r="J570" s="686"/>
      <c r="K570" s="686"/>
      <c r="L570" s="686"/>
      <c r="M570" s="686"/>
      <c r="N570" s="686"/>
      <c r="O570" s="686"/>
      <c r="P570" s="686"/>
      <c r="Q570" s="686"/>
      <c r="R570" s="70"/>
      <c r="S570" s="70"/>
      <c r="T570" s="70"/>
      <c r="U570" s="70"/>
      <c r="V570" s="70"/>
      <c r="W570" s="70"/>
      <c r="X570" s="70"/>
      <c r="Y570" s="70"/>
      <c r="Z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  <c r="F571" s="70"/>
      <c r="G571" s="70"/>
      <c r="H571" s="70"/>
      <c r="I571" s="70"/>
      <c r="J571" s="70"/>
      <c r="K571" s="70"/>
      <c r="L571" s="70"/>
      <c r="M571" s="70"/>
      <c r="N571" s="70"/>
      <c r="O571" s="70"/>
      <c r="P571" s="70"/>
      <c r="Q571" s="70"/>
      <c r="R571" s="70"/>
      <c r="S571" s="70"/>
      <c r="T571" s="70"/>
      <c r="U571" s="70"/>
      <c r="V571" s="70"/>
      <c r="W571" s="70"/>
      <c r="X571" s="70"/>
      <c r="Y571" s="70"/>
      <c r="Z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  <c r="F572" s="70"/>
      <c r="G572" s="70"/>
      <c r="H572" s="70"/>
      <c r="I572" s="70"/>
      <c r="J572" s="70"/>
      <c r="K572" s="70"/>
      <c r="L572" s="70"/>
      <c r="M572" s="70"/>
      <c r="N572" s="70"/>
      <c r="O572" s="70"/>
      <c r="P572" s="70"/>
      <c r="Q572" s="70"/>
      <c r="R572" s="70"/>
      <c r="S572" s="70"/>
      <c r="T572" s="70"/>
      <c r="U572" s="70"/>
      <c r="V572" s="70"/>
      <c r="W572" s="70"/>
      <c r="X572" s="70"/>
      <c r="Y572" s="70"/>
      <c r="Z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  <c r="F573" s="70"/>
      <c r="G573" s="70"/>
      <c r="H573" s="70"/>
      <c r="I573" s="70"/>
      <c r="J573" s="70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  <c r="Z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  <c r="F574" s="70"/>
      <c r="G574" s="70"/>
      <c r="H574" s="70"/>
      <c r="I574" s="70"/>
      <c r="J574" s="70"/>
      <c r="K574" s="70"/>
      <c r="L574" s="70"/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70"/>
      <c r="X574" s="70"/>
      <c r="Y574" s="70"/>
      <c r="Z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  <c r="F575" s="70"/>
      <c r="G575" s="70"/>
      <c r="H575" s="70"/>
      <c r="I575" s="70"/>
      <c r="J575" s="70"/>
      <c r="K575" s="70"/>
      <c r="L575" s="70"/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70"/>
      <c r="X575" s="70"/>
      <c r="Y575" s="70"/>
      <c r="Z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  <c r="F576" s="70"/>
      <c r="G576" s="70"/>
      <c r="H576" s="70"/>
      <c r="I576" s="70"/>
      <c r="J576" s="70"/>
      <c r="K576" s="70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  <c r="Y576" s="70"/>
      <c r="Z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  <c r="F577" s="70"/>
      <c r="G577" s="70"/>
      <c r="H577" s="70"/>
      <c r="I577" s="70"/>
      <c r="J577" s="70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  <c r="Y577" s="70"/>
      <c r="Z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  <c r="F578" s="70"/>
      <c r="G578" s="70"/>
      <c r="H578" s="70"/>
      <c r="I578" s="70"/>
      <c r="J578" s="70"/>
      <c r="K578" s="70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  <c r="Y578" s="70"/>
      <c r="Z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  <c r="F579" s="70"/>
      <c r="G579" s="70"/>
      <c r="H579" s="70"/>
      <c r="I579" s="70"/>
      <c r="J579" s="70"/>
      <c r="K579" s="70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  <c r="Y579" s="70"/>
      <c r="Z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  <c r="F580" s="70"/>
      <c r="G580" s="70"/>
      <c r="H580" s="70"/>
      <c r="I580" s="70"/>
      <c r="J580" s="70"/>
      <c r="K580" s="70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  <c r="Y580" s="70"/>
      <c r="Z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  <c r="F581" s="70"/>
      <c r="G581" s="70"/>
      <c r="H581" s="70"/>
      <c r="I581" s="70"/>
      <c r="J581" s="70"/>
      <c r="K581" s="70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  <c r="Y581" s="70"/>
      <c r="Z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  <c r="F582" s="70"/>
      <c r="G582" s="70"/>
      <c r="H582" s="70"/>
      <c r="I582" s="70"/>
      <c r="J582" s="70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  <c r="Z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  <c r="F583" s="70"/>
      <c r="G583" s="70"/>
      <c r="H583" s="70"/>
      <c r="I583" s="70"/>
      <c r="J583" s="70"/>
      <c r="K583" s="70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  <c r="Y583" s="70"/>
      <c r="Z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  <c r="F584" s="70"/>
      <c r="G584" s="70"/>
      <c r="H584" s="70"/>
      <c r="I584" s="70"/>
      <c r="J584" s="70"/>
      <c r="K584" s="70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  <c r="Y584" s="70"/>
      <c r="Z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  <c r="F585" s="70"/>
      <c r="G585" s="70"/>
      <c r="H585" s="70"/>
      <c r="I585" s="70"/>
      <c r="J585" s="70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  <c r="Y585" s="70"/>
      <c r="Z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  <c r="F586" s="70"/>
      <c r="G586" s="70"/>
      <c r="H586" s="70"/>
      <c r="I586" s="70"/>
      <c r="J586" s="70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  <c r="Y586" s="70"/>
      <c r="Z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  <c r="F587" s="70"/>
      <c r="G587" s="70"/>
      <c r="H587" s="70"/>
      <c r="I587" s="70"/>
      <c r="J587" s="70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  <c r="Y587" s="70"/>
      <c r="Z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  <c r="F588" s="70"/>
      <c r="G588" s="70"/>
      <c r="H588" s="70"/>
      <c r="I588" s="70"/>
      <c r="J588" s="70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  <c r="Z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  <c r="F589" s="70"/>
      <c r="G589" s="70"/>
      <c r="H589" s="70"/>
      <c r="I589" s="70"/>
      <c r="J589" s="70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  <c r="Z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  <c r="F590" s="70"/>
      <c r="G590" s="70"/>
      <c r="H590" s="70"/>
      <c r="I590" s="70"/>
      <c r="J590" s="70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  <c r="Z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  <c r="F591" s="70"/>
      <c r="G591" s="70"/>
      <c r="H591" s="70"/>
      <c r="I591" s="70"/>
      <c r="J591" s="70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  <c r="Z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  <c r="F592" s="70"/>
      <c r="G592" s="70"/>
      <c r="H592" s="70"/>
      <c r="I592" s="70"/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  <c r="Y592" s="70"/>
      <c r="Z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  <c r="F593" s="70"/>
      <c r="G593" s="70"/>
      <c r="H593" s="70"/>
      <c r="I593" s="70"/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70"/>
      <c r="Y593" s="70"/>
      <c r="Z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  <c r="F594" s="70"/>
      <c r="G594" s="70"/>
      <c r="H594" s="70"/>
      <c r="I594" s="70"/>
      <c r="J594" s="70"/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70"/>
      <c r="Y594" s="70"/>
      <c r="Z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  <c r="F595" s="70"/>
      <c r="G595" s="70"/>
      <c r="H595" s="70"/>
      <c r="I595" s="70"/>
      <c r="J595" s="70"/>
      <c r="K595" s="70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  <c r="Y595" s="70"/>
      <c r="Z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  <c r="F596" s="70"/>
      <c r="G596" s="70"/>
      <c r="H596" s="70"/>
      <c r="I596" s="70"/>
      <c r="J596" s="70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  <c r="Z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  <c r="F597" s="70"/>
      <c r="G597" s="70"/>
      <c r="H597" s="70"/>
      <c r="I597" s="70"/>
      <c r="J597" s="70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  <c r="Z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  <c r="F598" s="70"/>
      <c r="G598" s="70"/>
      <c r="H598" s="70"/>
      <c r="I598" s="70"/>
      <c r="J598" s="70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  <c r="Z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  <c r="F599" s="70"/>
      <c r="G599" s="70"/>
      <c r="H599" s="70"/>
      <c r="I599" s="70"/>
      <c r="J599" s="70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  <c r="Z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  <c r="F600" s="70"/>
      <c r="G600" s="70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  <c r="Z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  <c r="F601" s="70"/>
      <c r="G601" s="70"/>
      <c r="H601" s="70"/>
      <c r="I601" s="70"/>
      <c r="J601" s="70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  <c r="Z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  <c r="F602" s="70"/>
      <c r="G602" s="70"/>
      <c r="H602" s="70"/>
      <c r="I602" s="70"/>
      <c r="J602" s="70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  <c r="Z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  <c r="F603" s="70"/>
      <c r="G603" s="70"/>
      <c r="H603" s="70"/>
      <c r="I603" s="70"/>
      <c r="J603" s="70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  <c r="Z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  <c r="F604" s="70"/>
      <c r="G604" s="70"/>
      <c r="H604" s="70"/>
      <c r="I604" s="70"/>
      <c r="J604" s="70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  <c r="Z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  <c r="F605" s="70"/>
      <c r="G605" s="70"/>
      <c r="H605" s="70"/>
      <c r="I605" s="70"/>
      <c r="J605" s="70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  <c r="Z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  <c r="F606" s="70"/>
      <c r="G606" s="70"/>
      <c r="H606" s="70"/>
      <c r="I606" s="70"/>
      <c r="J606" s="70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  <c r="Z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  <c r="F607" s="70"/>
      <c r="G607" s="70"/>
      <c r="H607" s="70"/>
      <c r="I607" s="70"/>
      <c r="J607" s="70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  <c r="Z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  <c r="F608" s="70"/>
      <c r="G608" s="70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  <c r="Z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  <c r="F609" s="70"/>
      <c r="G609" s="70"/>
      <c r="H609" s="70"/>
      <c r="I609" s="70"/>
      <c r="J609" s="70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  <c r="Z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  <c r="F610" s="70"/>
      <c r="G610" s="70"/>
      <c r="H610" s="70"/>
      <c r="I610" s="70"/>
      <c r="J610" s="70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  <c r="Z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  <c r="F611" s="70"/>
      <c r="G611" s="70"/>
      <c r="H611" s="70"/>
      <c r="I611" s="70"/>
      <c r="J611" s="70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  <c r="Z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  <c r="F612" s="70"/>
      <c r="G612" s="70"/>
      <c r="H612" s="70"/>
      <c r="I612" s="70"/>
      <c r="J612" s="70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  <c r="Z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  <c r="F613" s="70"/>
      <c r="G613" s="70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  <c r="Z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  <c r="F614" s="70"/>
      <c r="G614" s="70"/>
      <c r="H614" s="70"/>
      <c r="I614" s="70"/>
      <c r="J614" s="70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  <c r="Z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  <c r="F615" s="70"/>
      <c r="G615" s="70"/>
      <c r="H615" s="70"/>
      <c r="I615" s="70"/>
      <c r="J615" s="70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  <c r="Z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  <c r="F616" s="70"/>
      <c r="G616" s="70"/>
      <c r="H616" s="70"/>
      <c r="I616" s="70"/>
      <c r="J616" s="70"/>
      <c r="K616" s="70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  <c r="Y616" s="70"/>
      <c r="Z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  <c r="F617" s="70"/>
      <c r="G617" s="70"/>
      <c r="H617" s="70"/>
      <c r="I617" s="70"/>
      <c r="J617" s="70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  <c r="Z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  <c r="F618" s="70"/>
      <c r="G618" s="70"/>
      <c r="H618" s="70"/>
      <c r="I618" s="70"/>
      <c r="J618" s="70"/>
      <c r="K618" s="70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  <c r="Y618" s="70"/>
      <c r="Z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  <c r="F619" s="70"/>
      <c r="G619" s="70"/>
      <c r="H619" s="70"/>
      <c r="I619" s="70"/>
      <c r="J619" s="70"/>
      <c r="K619" s="70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  <c r="Y619" s="70"/>
      <c r="Z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  <c r="F620" s="70"/>
      <c r="G620" s="70"/>
      <c r="H620" s="70"/>
      <c r="I620" s="70"/>
      <c r="J620" s="70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  <c r="Y620" s="70"/>
      <c r="Z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  <c r="F621" s="70"/>
      <c r="G621" s="70"/>
      <c r="H621" s="70"/>
      <c r="I621" s="70"/>
      <c r="J621" s="70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  <c r="Z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  <c r="F622" s="70"/>
      <c r="G622" s="70"/>
      <c r="H622" s="70"/>
      <c r="I622" s="70"/>
      <c r="J622" s="70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  <c r="Z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  <c r="F623" s="70"/>
      <c r="G623" s="70"/>
      <c r="H623" s="70"/>
      <c r="I623" s="70"/>
      <c r="J623" s="70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  <c r="Z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  <c r="F624" s="70"/>
      <c r="G624" s="70"/>
      <c r="H624" s="70"/>
      <c r="I624" s="70"/>
      <c r="J624" s="70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  <c r="Z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  <c r="F625" s="70"/>
      <c r="G625" s="70"/>
      <c r="H625" s="70"/>
      <c r="I625" s="70"/>
      <c r="J625" s="70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  <c r="Z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  <c r="F626" s="70"/>
      <c r="G626" s="70"/>
      <c r="H626" s="70"/>
      <c r="I626" s="70"/>
      <c r="J626" s="70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  <c r="Z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  <c r="F627" s="70"/>
      <c r="G627" s="70"/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  <c r="Z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  <c r="F628" s="70"/>
      <c r="G628" s="70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  <c r="Z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  <c r="F629" s="70"/>
      <c r="G629" s="70"/>
      <c r="H629" s="70"/>
      <c r="I629" s="70"/>
      <c r="J629" s="70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  <c r="Z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  <c r="F630" s="70"/>
      <c r="G630" s="70"/>
      <c r="H630" s="70"/>
      <c r="I630" s="70"/>
      <c r="J630" s="70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  <c r="Z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  <c r="F631" s="70"/>
      <c r="G631" s="70"/>
      <c r="H631" s="70"/>
      <c r="I631" s="70"/>
      <c r="J631" s="70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  <c r="Z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  <c r="F632" s="70"/>
      <c r="G632" s="70"/>
      <c r="H632" s="70"/>
      <c r="I632" s="70"/>
      <c r="J632" s="70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  <c r="Z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  <c r="F633" s="70"/>
      <c r="G633" s="70"/>
      <c r="H633" s="70"/>
      <c r="I633" s="70"/>
      <c r="J633" s="70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  <c r="Z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  <c r="F634" s="70"/>
      <c r="G634" s="70"/>
      <c r="H634" s="70"/>
      <c r="I634" s="70"/>
      <c r="J634" s="70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  <c r="Z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  <c r="F635" s="70"/>
      <c r="G635" s="70"/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  <c r="Z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  <c r="F636" s="70"/>
      <c r="G636" s="70"/>
      <c r="H636" s="70"/>
      <c r="I636" s="70"/>
      <c r="J636" s="70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  <c r="Z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  <c r="F637" s="70"/>
      <c r="G637" s="70"/>
      <c r="H637" s="70"/>
      <c r="I637" s="70"/>
      <c r="J637" s="70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  <c r="Z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  <c r="F638" s="70"/>
      <c r="G638" s="70"/>
      <c r="H638" s="70"/>
      <c r="I638" s="70"/>
      <c r="J638" s="70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  <c r="Z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  <c r="F639" s="70"/>
      <c r="G639" s="70"/>
      <c r="H639" s="70"/>
      <c r="I639" s="70"/>
      <c r="J639" s="70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  <c r="Z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  <c r="F640" s="70"/>
      <c r="G640" s="70"/>
      <c r="H640" s="70"/>
      <c r="I640" s="70"/>
      <c r="J640" s="70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  <c r="Z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  <c r="F641" s="70"/>
      <c r="G641" s="70"/>
      <c r="H641" s="70"/>
      <c r="I641" s="70"/>
      <c r="J641" s="70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  <c r="Y641" s="70"/>
      <c r="Z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  <c r="F642" s="70"/>
      <c r="G642" s="70"/>
      <c r="H642" s="70"/>
      <c r="I642" s="70"/>
      <c r="J642" s="70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  <c r="Y642" s="70"/>
      <c r="Z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  <c r="F643" s="70"/>
      <c r="G643" s="70"/>
      <c r="H643" s="70"/>
      <c r="I643" s="70"/>
      <c r="J643" s="70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  <c r="Y643" s="70"/>
      <c r="Z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  <c r="F644" s="70"/>
      <c r="G644" s="70"/>
      <c r="H644" s="70"/>
      <c r="I644" s="70"/>
      <c r="J644" s="70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  <c r="Y644" s="70"/>
      <c r="Z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  <c r="F645" s="70"/>
      <c r="G645" s="70"/>
      <c r="H645" s="70"/>
      <c r="I645" s="70"/>
      <c r="J645" s="70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  <c r="Y645" s="70"/>
      <c r="Z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  <c r="F646" s="70"/>
      <c r="G646" s="70"/>
      <c r="H646" s="70"/>
      <c r="I646" s="70"/>
      <c r="J646" s="70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  <c r="Y646" s="70"/>
      <c r="Z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  <c r="F647" s="70"/>
      <c r="G647" s="70"/>
      <c r="H647" s="70"/>
      <c r="I647" s="70"/>
      <c r="J647" s="70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  <c r="Y647" s="70"/>
      <c r="Z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  <c r="F648" s="70"/>
      <c r="G648" s="70"/>
      <c r="H648" s="70"/>
      <c r="I648" s="70"/>
      <c r="J648" s="70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  <c r="Y648" s="70"/>
      <c r="Z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  <c r="F649" s="70"/>
      <c r="G649" s="70"/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  <c r="Y649" s="70"/>
      <c r="Z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  <c r="F650" s="70"/>
      <c r="G650" s="70"/>
      <c r="H650" s="70"/>
      <c r="I650" s="70"/>
      <c r="J650" s="70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  <c r="Y650" s="70"/>
      <c r="Z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  <c r="F651" s="70"/>
      <c r="G651" s="70"/>
      <c r="H651" s="70"/>
      <c r="I651" s="70"/>
      <c r="J651" s="70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  <c r="Y651" s="70"/>
      <c r="Z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  <c r="Z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  <c r="Z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  <c r="Z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  <c r="F655" s="70"/>
      <c r="G655" s="70"/>
      <c r="H655" s="70"/>
      <c r="I655" s="70"/>
      <c r="J655" s="70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  <c r="Z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  <c r="Z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  <c r="Z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  <c r="Z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  <c r="Z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  <c r="F660" s="70"/>
      <c r="G660" s="70"/>
      <c r="H660" s="70"/>
      <c r="I660" s="70"/>
      <c r="J660" s="70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  <c r="Y660" s="70"/>
      <c r="Z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  <c r="F661" s="70"/>
      <c r="G661" s="70"/>
      <c r="H661" s="70"/>
      <c r="I661" s="70"/>
      <c r="J661" s="70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  <c r="Y661" s="70"/>
      <c r="Z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  <c r="F662" s="70"/>
      <c r="G662" s="70"/>
      <c r="H662" s="70"/>
      <c r="I662" s="70"/>
      <c r="J662" s="70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  <c r="Y662" s="70"/>
      <c r="Z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  <c r="F663" s="70"/>
      <c r="G663" s="70"/>
      <c r="H663" s="70"/>
      <c r="I663" s="70"/>
      <c r="J663" s="70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  <c r="Z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  <c r="F664" s="70"/>
      <c r="G664" s="70"/>
      <c r="H664" s="70"/>
      <c r="I664" s="70"/>
      <c r="J664" s="70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  <c r="Y664" s="70"/>
      <c r="Z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  <c r="F665" s="70"/>
      <c r="G665" s="70"/>
      <c r="H665" s="70"/>
      <c r="I665" s="70"/>
      <c r="J665" s="70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  <c r="Y665" s="70"/>
      <c r="Z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  <c r="F666" s="70"/>
      <c r="G666" s="70"/>
      <c r="H666" s="70"/>
      <c r="I666" s="70"/>
      <c r="J666" s="70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  <c r="Y666" s="70"/>
      <c r="Z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  <c r="F667" s="70"/>
      <c r="G667" s="70"/>
      <c r="H667" s="70"/>
      <c r="I667" s="70"/>
      <c r="J667" s="70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  <c r="Y667" s="70"/>
      <c r="Z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  <c r="F668" s="70"/>
      <c r="G668" s="70"/>
      <c r="H668" s="70"/>
      <c r="I668" s="70"/>
      <c r="J668" s="70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  <c r="Y668" s="70"/>
      <c r="Z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  <c r="F669" s="70"/>
      <c r="G669" s="70"/>
      <c r="H669" s="70"/>
      <c r="I669" s="70"/>
      <c r="J669" s="70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  <c r="Y669" s="70"/>
      <c r="Z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  <c r="F670" s="70"/>
      <c r="G670" s="70"/>
      <c r="H670" s="70"/>
      <c r="I670" s="70"/>
      <c r="J670" s="70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  <c r="Y670" s="70"/>
      <c r="Z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  <c r="F671" s="70"/>
      <c r="G671" s="70"/>
      <c r="H671" s="70"/>
      <c r="I671" s="70"/>
      <c r="J671" s="70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  <c r="Y671" s="70"/>
      <c r="Z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  <c r="F672" s="70"/>
      <c r="G672" s="70"/>
      <c r="H672" s="70"/>
      <c r="I672" s="70"/>
      <c r="J672" s="70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  <c r="Y672" s="70"/>
      <c r="Z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  <c r="F673" s="70"/>
      <c r="G673" s="70"/>
      <c r="H673" s="70"/>
      <c r="I673" s="70"/>
      <c r="J673" s="70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  <c r="Y673" s="70"/>
      <c r="Z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  <c r="F674" s="70"/>
      <c r="G674" s="70"/>
      <c r="H674" s="70"/>
      <c r="I674" s="70"/>
      <c r="J674" s="70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  <c r="Y674" s="70"/>
      <c r="Z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  <c r="F675" s="70"/>
      <c r="G675" s="70"/>
      <c r="H675" s="70"/>
      <c r="I675" s="70"/>
      <c r="J675" s="70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  <c r="Y675" s="70"/>
      <c r="Z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  <c r="F676" s="70"/>
      <c r="G676" s="70"/>
      <c r="H676" s="70"/>
      <c r="I676" s="70"/>
      <c r="J676" s="70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  <c r="Y676" s="70"/>
      <c r="Z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  <c r="F677" s="70"/>
      <c r="G677" s="70"/>
      <c r="H677" s="70"/>
      <c r="I677" s="70"/>
      <c r="J677" s="70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  <c r="Y677" s="70"/>
      <c r="Z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  <c r="F678" s="70"/>
      <c r="G678" s="70"/>
      <c r="H678" s="70"/>
      <c r="I678" s="70"/>
      <c r="J678" s="70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  <c r="Y678" s="70"/>
      <c r="Z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  <c r="F679" s="70"/>
      <c r="G679" s="70"/>
      <c r="H679" s="70"/>
      <c r="I679" s="70"/>
      <c r="J679" s="70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  <c r="Y679" s="70"/>
      <c r="Z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  <c r="F680" s="70"/>
      <c r="G680" s="70"/>
      <c r="H680" s="70"/>
      <c r="I680" s="70"/>
      <c r="J680" s="70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  <c r="Y680" s="70"/>
      <c r="Z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  <c r="F681" s="70"/>
      <c r="G681" s="70"/>
      <c r="H681" s="70"/>
      <c r="I681" s="70"/>
      <c r="J681" s="70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  <c r="Y681" s="70"/>
      <c r="Z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  <c r="F682" s="70"/>
      <c r="G682" s="70"/>
      <c r="H682" s="70"/>
      <c r="I682" s="70"/>
      <c r="J682" s="70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  <c r="Y682" s="70"/>
      <c r="Z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  <c r="F683" s="70"/>
      <c r="G683" s="70"/>
      <c r="H683" s="70"/>
      <c r="I683" s="70"/>
      <c r="J683" s="70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  <c r="Y683" s="70"/>
      <c r="Z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  <c r="F684" s="70"/>
      <c r="G684" s="70"/>
      <c r="H684" s="70"/>
      <c r="I684" s="70"/>
      <c r="J684" s="70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  <c r="Y684" s="70"/>
      <c r="Z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  <c r="F685" s="70"/>
      <c r="G685" s="70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  <c r="Z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  <c r="F686" s="70"/>
      <c r="G686" s="70"/>
      <c r="H686" s="70"/>
      <c r="I686" s="70"/>
      <c r="J686" s="70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  <c r="Y686" s="70"/>
      <c r="Z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  <c r="F687" s="70"/>
      <c r="G687" s="70"/>
      <c r="H687" s="70"/>
      <c r="I687" s="70"/>
      <c r="J687" s="70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  <c r="Y687" s="70"/>
      <c r="Z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  <c r="F688" s="70"/>
      <c r="G688" s="70"/>
      <c r="H688" s="70"/>
      <c r="I688" s="70"/>
      <c r="J688" s="70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  <c r="Y688" s="70"/>
      <c r="Z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  <c r="F689" s="70"/>
      <c r="G689" s="70"/>
      <c r="H689" s="70"/>
      <c r="I689" s="70"/>
      <c r="J689" s="70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  <c r="Y689" s="70"/>
      <c r="Z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  <c r="F690" s="70"/>
      <c r="G690" s="70"/>
      <c r="H690" s="70"/>
      <c r="I690" s="70"/>
      <c r="J690" s="70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  <c r="Y690" s="70"/>
      <c r="Z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  <c r="F691" s="70"/>
      <c r="G691" s="70"/>
      <c r="H691" s="70"/>
      <c r="I691" s="70"/>
      <c r="J691" s="70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  <c r="Y691" s="70"/>
      <c r="Z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  <c r="F692" s="70"/>
      <c r="G692" s="70"/>
      <c r="H692" s="70"/>
      <c r="I692" s="70"/>
      <c r="J692" s="70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  <c r="Y692" s="70"/>
      <c r="Z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  <c r="F693" s="70"/>
      <c r="G693" s="70"/>
      <c r="H693" s="70"/>
      <c r="I693" s="70"/>
      <c r="J693" s="70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  <c r="Y693" s="70"/>
      <c r="Z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  <c r="F694" s="70"/>
      <c r="G694" s="70"/>
      <c r="H694" s="70"/>
      <c r="I694" s="70"/>
      <c r="J694" s="70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  <c r="Y694" s="70"/>
      <c r="Z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  <c r="F695" s="70"/>
      <c r="G695" s="70"/>
      <c r="H695" s="70"/>
      <c r="I695" s="70"/>
      <c r="J695" s="70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  <c r="Y695" s="70"/>
      <c r="Z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  <c r="F696" s="70"/>
      <c r="G696" s="70"/>
      <c r="H696" s="70"/>
      <c r="I696" s="70"/>
      <c r="J696" s="70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  <c r="Y696" s="70"/>
      <c r="Z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  <c r="F697" s="70"/>
      <c r="G697" s="70"/>
      <c r="H697" s="70"/>
      <c r="I697" s="70"/>
      <c r="J697" s="70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  <c r="Y697" s="70"/>
      <c r="Z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  <c r="F698" s="70"/>
      <c r="G698" s="70"/>
      <c r="H698" s="70"/>
      <c r="I698" s="70"/>
      <c r="J698" s="70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  <c r="Y698" s="70"/>
      <c r="Z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  <c r="F699" s="70"/>
      <c r="G699" s="70"/>
      <c r="H699" s="70"/>
      <c r="I699" s="70"/>
      <c r="J699" s="70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  <c r="Y699" s="70"/>
      <c r="Z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  <c r="F700" s="70"/>
      <c r="G700" s="70"/>
      <c r="H700" s="70"/>
      <c r="I700" s="70"/>
      <c r="J700" s="70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  <c r="Y700" s="70"/>
      <c r="Z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  <c r="F701" s="70"/>
      <c r="G701" s="70"/>
      <c r="H701" s="70"/>
      <c r="I701" s="70"/>
      <c r="J701" s="70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  <c r="Y701" s="70"/>
      <c r="Z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  <c r="F702" s="70"/>
      <c r="G702" s="70"/>
      <c r="H702" s="70"/>
      <c r="I702" s="70"/>
      <c r="J702" s="70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  <c r="Y702" s="70"/>
      <c r="Z702" s="70"/>
    </row>
    <row r="703" customFormat="false" ht="12.75" hidden="false" customHeight="false" outlineLevel="0" collapsed="false">
      <c r="A703" s="70"/>
      <c r="B703" s="70"/>
      <c r="C703" s="70"/>
      <c r="D703" s="70"/>
      <c r="E703" s="70"/>
      <c r="F703" s="70"/>
      <c r="G703" s="70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  <c r="Y703" s="70"/>
      <c r="Z703" s="70"/>
    </row>
    <row r="704" customFormat="false" ht="12.75" hidden="false" customHeight="false" outlineLevel="0" collapsed="false">
      <c r="A704" s="70"/>
      <c r="B704" s="70"/>
      <c r="C704" s="70"/>
      <c r="D704" s="70"/>
      <c r="E704" s="70"/>
      <c r="F704" s="70"/>
      <c r="G704" s="70"/>
      <c r="H704" s="70"/>
      <c r="I704" s="70"/>
      <c r="J704" s="70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  <c r="Y704" s="70"/>
      <c r="Z704" s="70"/>
    </row>
    <row r="705" customFormat="false" ht="12.75" hidden="false" customHeight="false" outlineLevel="0" collapsed="false">
      <c r="A705" s="70"/>
      <c r="B705" s="70"/>
      <c r="C705" s="70"/>
      <c r="D705" s="70"/>
      <c r="E705" s="70"/>
      <c r="F705" s="70"/>
      <c r="G705" s="70"/>
      <c r="H705" s="70"/>
      <c r="I705" s="70"/>
      <c r="J705" s="70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  <c r="Y705" s="70"/>
      <c r="Z705" s="70"/>
    </row>
    <row r="706" customFormat="false" ht="12.75" hidden="false" customHeight="false" outlineLevel="0" collapsed="false">
      <c r="A706" s="70"/>
      <c r="B706" s="70"/>
      <c r="C706" s="70"/>
      <c r="D706" s="70"/>
      <c r="E706" s="70"/>
      <c r="F706" s="70"/>
      <c r="G706" s="70"/>
      <c r="H706" s="70"/>
      <c r="I706" s="70"/>
      <c r="J706" s="70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  <c r="Y706" s="70"/>
      <c r="Z706" s="70"/>
    </row>
    <row r="707" customFormat="false" ht="12.75" hidden="false" customHeight="false" outlineLevel="0" collapsed="false">
      <c r="A707" s="70"/>
      <c r="B707" s="70"/>
      <c r="C707" s="70"/>
      <c r="D707" s="70"/>
      <c r="E707" s="70"/>
      <c r="F707" s="70"/>
      <c r="G707" s="70"/>
      <c r="H707" s="70"/>
      <c r="I707" s="70"/>
      <c r="J707" s="70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  <c r="Z707" s="70"/>
    </row>
    <row r="708" customFormat="false" ht="12.75" hidden="false" customHeight="false" outlineLevel="0" collapsed="false">
      <c r="A708" s="70"/>
      <c r="B708" s="70"/>
      <c r="C708" s="70"/>
      <c r="D708" s="70"/>
      <c r="E708" s="70"/>
      <c r="F708" s="70"/>
      <c r="G708" s="70"/>
      <c r="H708" s="70"/>
      <c r="I708" s="70"/>
      <c r="J708" s="70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  <c r="Y708" s="70"/>
      <c r="Z708" s="70"/>
    </row>
    <row r="709" customFormat="false" ht="12.75" hidden="false" customHeight="false" outlineLevel="0" collapsed="false">
      <c r="A709" s="70"/>
      <c r="B709" s="70"/>
      <c r="C709" s="70"/>
      <c r="D709" s="70"/>
      <c r="E709" s="70"/>
      <c r="F709" s="70"/>
      <c r="G709" s="70"/>
      <c r="H709" s="70"/>
      <c r="I709" s="70"/>
      <c r="J709" s="70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  <c r="Y709" s="70"/>
      <c r="Z709" s="70"/>
    </row>
    <row r="710" customFormat="false" ht="12.75" hidden="false" customHeight="false" outlineLevel="0" collapsed="false">
      <c r="A710" s="70"/>
      <c r="B710" s="70"/>
      <c r="C710" s="70"/>
      <c r="D710" s="70"/>
      <c r="E710" s="70"/>
      <c r="F710" s="70"/>
      <c r="G710" s="70"/>
      <c r="H710" s="70"/>
      <c r="I710" s="70"/>
      <c r="J710" s="70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  <c r="Y710" s="70"/>
      <c r="Z710" s="70"/>
    </row>
    <row r="711" customFormat="false" ht="12.75" hidden="false" customHeight="false" outlineLevel="0" collapsed="false">
      <c r="A711" s="70"/>
      <c r="B711" s="70"/>
      <c r="C711" s="70"/>
      <c r="D711" s="70"/>
      <c r="E711" s="70"/>
      <c r="F711" s="70"/>
      <c r="G711" s="70"/>
      <c r="H711" s="70"/>
      <c r="I711" s="70"/>
      <c r="J711" s="70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  <c r="Y711" s="70"/>
      <c r="Z711" s="70"/>
    </row>
    <row r="712" customFormat="false" ht="12.75" hidden="false" customHeight="false" outlineLevel="0" collapsed="false">
      <c r="A712" s="70"/>
      <c r="B712" s="70"/>
      <c r="C712" s="70"/>
      <c r="D712" s="70"/>
      <c r="E712" s="70"/>
      <c r="F712" s="70"/>
      <c r="G712" s="70"/>
      <c r="H712" s="70"/>
      <c r="I712" s="70"/>
      <c r="J712" s="70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  <c r="Y712" s="70"/>
      <c r="Z712" s="70"/>
    </row>
    <row r="713" customFormat="false" ht="12.75" hidden="false" customHeight="false" outlineLevel="0" collapsed="false">
      <c r="A713" s="70"/>
      <c r="B713" s="70"/>
      <c r="C713" s="70"/>
      <c r="D713" s="70"/>
      <c r="E713" s="70"/>
      <c r="F713" s="70"/>
      <c r="G713" s="70"/>
      <c r="H713" s="70"/>
      <c r="I713" s="70"/>
      <c r="J713" s="70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  <c r="Y713" s="70"/>
      <c r="Z713" s="70"/>
    </row>
    <row r="714" customFormat="false" ht="12.75" hidden="false" customHeight="false" outlineLevel="0" collapsed="false">
      <c r="A714" s="70"/>
      <c r="B714" s="70"/>
      <c r="C714" s="70"/>
      <c r="D714" s="70"/>
      <c r="E714" s="70"/>
      <c r="F714" s="70"/>
      <c r="G714" s="70"/>
      <c r="H714" s="70"/>
      <c r="I714" s="70"/>
      <c r="J714" s="70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  <c r="Y714" s="70"/>
      <c r="Z714" s="70"/>
    </row>
    <row r="715" customFormat="false" ht="12.75" hidden="false" customHeight="false" outlineLevel="0" collapsed="false">
      <c r="A715" s="70"/>
      <c r="B715" s="70"/>
      <c r="C715" s="70"/>
      <c r="D715" s="70"/>
      <c r="E715" s="70"/>
      <c r="F715" s="70"/>
      <c r="G715" s="70"/>
      <c r="H715" s="70"/>
      <c r="I715" s="70"/>
      <c r="J715" s="70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  <c r="Y715" s="70"/>
      <c r="Z715" s="70"/>
    </row>
    <row r="716" customFormat="false" ht="12.75" hidden="false" customHeight="false" outlineLevel="0" collapsed="false">
      <c r="A716" s="70"/>
      <c r="B716" s="70"/>
      <c r="C716" s="70"/>
      <c r="D716" s="70"/>
      <c r="E716" s="70"/>
      <c r="F716" s="70"/>
      <c r="G716" s="70"/>
      <c r="H716" s="70"/>
      <c r="I716" s="70"/>
      <c r="J716" s="70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  <c r="Y716" s="70"/>
      <c r="Z716" s="70"/>
    </row>
    <row r="717" customFormat="false" ht="12.75" hidden="false" customHeight="false" outlineLevel="0" collapsed="false">
      <c r="A717" s="70"/>
      <c r="B717" s="70"/>
      <c r="C717" s="70"/>
      <c r="D717" s="70"/>
      <c r="E717" s="70"/>
      <c r="F717" s="70"/>
      <c r="G717" s="70"/>
      <c r="H717" s="70"/>
      <c r="I717" s="70"/>
      <c r="J717" s="70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  <c r="Y717" s="70"/>
      <c r="Z717" s="70"/>
    </row>
    <row r="718" customFormat="false" ht="12.75" hidden="false" customHeight="false" outlineLevel="0" collapsed="false">
      <c r="A718" s="70"/>
      <c r="B718" s="70"/>
      <c r="C718" s="70"/>
      <c r="D718" s="70"/>
      <c r="E718" s="70"/>
      <c r="F718" s="70"/>
      <c r="G718" s="70"/>
      <c r="H718" s="70"/>
      <c r="I718" s="70"/>
      <c r="J718" s="70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  <c r="Y718" s="70"/>
      <c r="Z718" s="70"/>
    </row>
    <row r="719" customFormat="false" ht="12.75" hidden="false" customHeight="false" outlineLevel="0" collapsed="false">
      <c r="A719" s="70"/>
      <c r="B719" s="70"/>
      <c r="C719" s="70"/>
      <c r="D719" s="70"/>
      <c r="E719" s="70"/>
      <c r="F719" s="70"/>
      <c r="G719" s="70"/>
      <c r="H719" s="70"/>
      <c r="I719" s="70"/>
      <c r="J719" s="70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  <c r="Y719" s="70"/>
      <c r="Z719" s="70"/>
    </row>
    <row r="720" customFormat="false" ht="12.75" hidden="false" customHeight="false" outlineLevel="0" collapsed="false">
      <c r="A720" s="70"/>
      <c r="B720" s="70"/>
      <c r="C720" s="70"/>
      <c r="D720" s="70"/>
      <c r="E720" s="70"/>
      <c r="F720" s="70"/>
      <c r="G720" s="70"/>
      <c r="H720" s="70"/>
      <c r="I720" s="70"/>
      <c r="J720" s="70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  <c r="Y720" s="70"/>
      <c r="Z720" s="70"/>
    </row>
    <row r="721" customFormat="false" ht="12.75" hidden="false" customHeight="false" outlineLevel="0" collapsed="false">
      <c r="A721" s="70"/>
      <c r="B721" s="70"/>
      <c r="C721" s="70"/>
      <c r="D721" s="70"/>
      <c r="E721" s="70"/>
      <c r="F721" s="70"/>
      <c r="G721" s="70"/>
      <c r="H721" s="70"/>
      <c r="I721" s="70"/>
      <c r="J721" s="70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  <c r="Y721" s="70"/>
      <c r="Z721" s="70"/>
    </row>
    <row r="722" customFormat="false" ht="12.75" hidden="false" customHeight="false" outlineLevel="0" collapsed="false">
      <c r="A722" s="70"/>
      <c r="B722" s="70"/>
      <c r="C722" s="70"/>
      <c r="D722" s="70"/>
      <c r="E722" s="70"/>
      <c r="F722" s="70"/>
      <c r="G722" s="70"/>
      <c r="H722" s="70"/>
      <c r="I722" s="70"/>
      <c r="J722" s="70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  <c r="Y722" s="70"/>
      <c r="Z722" s="70"/>
    </row>
    <row r="723" customFormat="false" ht="12.75" hidden="false" customHeight="false" outlineLevel="0" collapsed="false">
      <c r="A723" s="70"/>
      <c r="B723" s="70"/>
      <c r="C723" s="70"/>
      <c r="D723" s="70"/>
      <c r="E723" s="70"/>
      <c r="F723" s="70"/>
      <c r="G723" s="70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  <c r="Y723" s="70"/>
      <c r="Z723" s="70"/>
    </row>
    <row r="724" customFormat="false" ht="12.75" hidden="false" customHeight="false" outlineLevel="0" collapsed="false">
      <c r="A724" s="70"/>
      <c r="B724" s="70"/>
      <c r="C724" s="70"/>
      <c r="D724" s="70"/>
      <c r="E724" s="70"/>
      <c r="F724" s="70"/>
      <c r="G724" s="70"/>
      <c r="H724" s="70"/>
      <c r="I724" s="70"/>
      <c r="J724" s="70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  <c r="Y724" s="70"/>
      <c r="Z724" s="70"/>
    </row>
    <row r="725" customFormat="false" ht="12.75" hidden="false" customHeight="false" outlineLevel="0" collapsed="false">
      <c r="A725" s="70"/>
      <c r="B725" s="70"/>
      <c r="C725" s="70"/>
      <c r="D725" s="70"/>
      <c r="E725" s="70"/>
      <c r="F725" s="70"/>
      <c r="G725" s="70"/>
      <c r="H725" s="70"/>
      <c r="I725" s="70"/>
      <c r="J725" s="70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  <c r="Y725" s="70"/>
      <c r="Z725" s="70"/>
    </row>
    <row r="726" customFormat="false" ht="12.75" hidden="false" customHeight="false" outlineLevel="0" collapsed="false">
      <c r="A726" s="70"/>
      <c r="B726" s="70"/>
      <c r="C726" s="70"/>
      <c r="D726" s="70"/>
      <c r="E726" s="70"/>
      <c r="F726" s="70"/>
      <c r="G726" s="70"/>
      <c r="H726" s="70"/>
      <c r="I726" s="70"/>
      <c r="J726" s="70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  <c r="Y726" s="70"/>
      <c r="Z726" s="70"/>
    </row>
    <row r="727" customFormat="false" ht="12.75" hidden="false" customHeight="false" outlineLevel="0" collapsed="false">
      <c r="A727" s="70"/>
      <c r="B727" s="70"/>
      <c r="C727" s="70"/>
      <c r="D727" s="70"/>
      <c r="E727" s="70"/>
      <c r="F727" s="70"/>
      <c r="G727" s="70"/>
      <c r="H727" s="70"/>
      <c r="I727" s="70"/>
      <c r="J727" s="70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  <c r="Y727" s="70"/>
      <c r="Z727" s="70"/>
    </row>
    <row r="728" customFormat="false" ht="12.75" hidden="false" customHeight="false" outlineLevel="0" collapsed="false">
      <c r="A728" s="70"/>
      <c r="B728" s="70"/>
      <c r="C728" s="70"/>
      <c r="D728" s="70"/>
      <c r="E728" s="70"/>
      <c r="F728" s="70"/>
      <c r="G728" s="70"/>
      <c r="H728" s="70"/>
      <c r="I728" s="70"/>
      <c r="J728" s="70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  <c r="Y728" s="70"/>
      <c r="Z728" s="70"/>
    </row>
    <row r="729" customFormat="false" ht="12.75" hidden="false" customHeight="false" outlineLevel="0" collapsed="false">
      <c r="A729" s="70"/>
      <c r="B729" s="70"/>
      <c r="C729" s="70"/>
      <c r="D729" s="70"/>
      <c r="E729" s="70"/>
      <c r="F729" s="70"/>
      <c r="G729" s="70"/>
      <c r="H729" s="70"/>
      <c r="I729" s="70"/>
      <c r="J729" s="70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  <c r="Z729" s="70"/>
    </row>
    <row r="730" customFormat="false" ht="12.75" hidden="false" customHeight="false" outlineLevel="0" collapsed="false">
      <c r="A730" s="70"/>
      <c r="B730" s="70"/>
      <c r="C730" s="70"/>
      <c r="D730" s="70"/>
      <c r="E730" s="70"/>
      <c r="F730" s="70"/>
      <c r="G730" s="70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  <c r="Y730" s="70"/>
      <c r="Z730" s="70"/>
    </row>
    <row r="731" customFormat="false" ht="12.75" hidden="false" customHeight="false" outlineLevel="0" collapsed="false">
      <c r="A731" s="70"/>
      <c r="B731" s="70"/>
      <c r="C731" s="70"/>
      <c r="D731" s="70"/>
      <c r="E731" s="70"/>
      <c r="F731" s="70"/>
      <c r="G731" s="70"/>
      <c r="H731" s="70"/>
      <c r="I731" s="70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  <c r="Z731" s="70"/>
    </row>
    <row r="732" customFormat="false" ht="12.75" hidden="false" customHeight="false" outlineLevel="0" collapsed="false">
      <c r="A732" s="70"/>
      <c r="B732" s="70"/>
      <c r="C732" s="70"/>
      <c r="D732" s="70"/>
      <c r="E732" s="70"/>
      <c r="F732" s="70"/>
      <c r="G732" s="70"/>
      <c r="H732" s="70"/>
      <c r="I732" s="70"/>
      <c r="J732" s="70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  <c r="Y732" s="70"/>
      <c r="Z732" s="70"/>
    </row>
    <row r="733" customFormat="false" ht="12.75" hidden="false" customHeight="false" outlineLevel="0" collapsed="false">
      <c r="A733" s="70"/>
      <c r="B733" s="70"/>
      <c r="C733" s="70"/>
      <c r="D733" s="70"/>
      <c r="E733" s="70"/>
      <c r="F733" s="70"/>
      <c r="G733" s="70"/>
      <c r="H733" s="70"/>
      <c r="I733" s="70"/>
      <c r="J733" s="70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  <c r="Y733" s="70"/>
      <c r="Z733" s="70"/>
    </row>
    <row r="734" customFormat="false" ht="12.75" hidden="false" customHeight="false" outlineLevel="0" collapsed="false">
      <c r="A734" s="70"/>
      <c r="B734" s="70"/>
      <c r="C734" s="70"/>
      <c r="D734" s="70"/>
      <c r="E734" s="70"/>
      <c r="F734" s="70"/>
      <c r="G734" s="70"/>
      <c r="H734" s="70"/>
      <c r="I734" s="70"/>
      <c r="J734" s="70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  <c r="Y734" s="70"/>
      <c r="Z734" s="70"/>
    </row>
    <row r="735" customFormat="false" ht="12.75" hidden="false" customHeight="false" outlineLevel="0" collapsed="false">
      <c r="A735" s="70"/>
      <c r="B735" s="70"/>
      <c r="C735" s="70"/>
      <c r="D735" s="70"/>
      <c r="E735" s="70"/>
      <c r="F735" s="70"/>
      <c r="G735" s="70"/>
      <c r="H735" s="70"/>
      <c r="I735" s="70"/>
      <c r="J735" s="70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  <c r="Y735" s="70"/>
      <c r="Z735" s="70"/>
    </row>
    <row r="736" customFormat="false" ht="12.75" hidden="false" customHeight="false" outlineLevel="0" collapsed="false">
      <c r="A736" s="70"/>
      <c r="B736" s="70"/>
      <c r="C736" s="70"/>
      <c r="D736" s="70"/>
      <c r="E736" s="70"/>
      <c r="F736" s="70"/>
      <c r="G736" s="70"/>
      <c r="H736" s="70"/>
      <c r="I736" s="70"/>
      <c r="J736" s="70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  <c r="Y736" s="70"/>
      <c r="Z736" s="70"/>
    </row>
    <row r="737" customFormat="false" ht="12.75" hidden="false" customHeight="false" outlineLevel="0" collapsed="false">
      <c r="A737" s="70"/>
      <c r="B737" s="70"/>
      <c r="C737" s="70"/>
      <c r="D737" s="70"/>
      <c r="E737" s="70"/>
      <c r="F737" s="70"/>
      <c r="G737" s="70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  <c r="Y737" s="70"/>
      <c r="Z737" s="70"/>
    </row>
    <row r="738" customFormat="false" ht="12.75" hidden="false" customHeight="false" outlineLevel="0" collapsed="false">
      <c r="A738" s="70"/>
      <c r="B738" s="70"/>
      <c r="C738" s="70"/>
      <c r="D738" s="70"/>
      <c r="E738" s="70"/>
      <c r="F738" s="70"/>
      <c r="G738" s="70"/>
      <c r="H738" s="70"/>
      <c r="I738" s="70"/>
      <c r="J738" s="70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  <c r="Y738" s="70"/>
      <c r="Z738" s="70"/>
    </row>
    <row r="739" customFormat="false" ht="12.75" hidden="false" customHeight="false" outlineLevel="0" collapsed="false">
      <c r="A739" s="70"/>
      <c r="B739" s="70"/>
      <c r="C739" s="70"/>
      <c r="D739" s="70"/>
      <c r="E739" s="70"/>
      <c r="F739" s="70"/>
      <c r="G739" s="70"/>
      <c r="H739" s="70"/>
      <c r="I739" s="70"/>
      <c r="J739" s="70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  <c r="Y739" s="70"/>
      <c r="Z739" s="70"/>
    </row>
    <row r="740" customFormat="false" ht="12.75" hidden="false" customHeight="false" outlineLevel="0" collapsed="false">
      <c r="A740" s="70"/>
      <c r="B740" s="70"/>
      <c r="C740" s="70"/>
      <c r="D740" s="70"/>
      <c r="E740" s="70"/>
      <c r="F740" s="70"/>
      <c r="G740" s="70"/>
      <c r="H740" s="70"/>
      <c r="I740" s="70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  <c r="Z740" s="70"/>
    </row>
    <row r="741" customFormat="false" ht="12.75" hidden="false" customHeight="false" outlineLevel="0" collapsed="false">
      <c r="A741" s="70"/>
      <c r="B741" s="70"/>
      <c r="C741" s="70"/>
      <c r="D741" s="70"/>
      <c r="E741" s="70"/>
      <c r="F741" s="70"/>
      <c r="G741" s="70"/>
      <c r="H741" s="70"/>
      <c r="I741" s="70"/>
      <c r="J741" s="70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  <c r="Y741" s="70"/>
      <c r="Z741" s="70"/>
    </row>
    <row r="742" customFormat="false" ht="12.75" hidden="false" customHeight="false" outlineLevel="0" collapsed="false">
      <c r="A742" s="70"/>
      <c r="B742" s="70"/>
      <c r="C742" s="70"/>
      <c r="D742" s="70"/>
      <c r="E742" s="70"/>
      <c r="F742" s="70"/>
      <c r="G742" s="70"/>
      <c r="H742" s="70"/>
      <c r="I742" s="70"/>
      <c r="J742" s="70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  <c r="Y742" s="70"/>
      <c r="Z742" s="70"/>
    </row>
    <row r="743" customFormat="false" ht="12.75" hidden="false" customHeight="false" outlineLevel="0" collapsed="false">
      <c r="A743" s="70"/>
      <c r="B743" s="70"/>
      <c r="C743" s="70"/>
      <c r="D743" s="70"/>
      <c r="E743" s="70"/>
      <c r="F743" s="70"/>
      <c r="G743" s="70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  <c r="Y743" s="70"/>
      <c r="Z743" s="70"/>
    </row>
    <row r="744" customFormat="false" ht="12.75" hidden="false" customHeight="false" outlineLevel="0" collapsed="false">
      <c r="A744" s="70"/>
      <c r="B744" s="70"/>
      <c r="C744" s="70"/>
      <c r="D744" s="70"/>
      <c r="E744" s="70"/>
      <c r="F744" s="70"/>
      <c r="G744" s="70"/>
      <c r="H744" s="70"/>
      <c r="I744" s="70"/>
      <c r="J744" s="70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  <c r="Y744" s="70"/>
      <c r="Z744" s="70"/>
    </row>
    <row r="745" customFormat="false" ht="12.75" hidden="false" customHeight="false" outlineLevel="0" collapsed="false">
      <c r="A745" s="70"/>
      <c r="B745" s="70"/>
      <c r="C745" s="70"/>
      <c r="D745" s="70"/>
      <c r="E745" s="70"/>
      <c r="F745" s="70"/>
      <c r="G745" s="70"/>
      <c r="H745" s="70"/>
      <c r="I745" s="70"/>
      <c r="J745" s="70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  <c r="Y745" s="70"/>
      <c r="Z745" s="70"/>
    </row>
    <row r="746" customFormat="false" ht="12.75" hidden="false" customHeight="false" outlineLevel="0" collapsed="false">
      <c r="A746" s="70"/>
      <c r="B746" s="70"/>
      <c r="C746" s="70"/>
      <c r="D746" s="70"/>
      <c r="E746" s="70"/>
      <c r="F746" s="70"/>
      <c r="G746" s="70"/>
      <c r="H746" s="70"/>
      <c r="I746" s="70"/>
      <c r="J746" s="70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  <c r="Y746" s="70"/>
      <c r="Z746" s="70"/>
    </row>
    <row r="747" customFormat="false" ht="12.75" hidden="false" customHeight="false" outlineLevel="0" collapsed="false">
      <c r="A747" s="70"/>
      <c r="B747" s="70"/>
      <c r="C747" s="70"/>
      <c r="D747" s="70"/>
      <c r="E747" s="70"/>
      <c r="F747" s="70"/>
      <c r="G747" s="70"/>
      <c r="H747" s="70"/>
      <c r="I747" s="70"/>
      <c r="J747" s="70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  <c r="Y747" s="70"/>
      <c r="Z747" s="70"/>
    </row>
    <row r="748" customFormat="false" ht="12.75" hidden="false" customHeight="false" outlineLevel="0" collapsed="false">
      <c r="A748" s="70"/>
      <c r="B748" s="70"/>
      <c r="C748" s="70"/>
      <c r="D748" s="70"/>
      <c r="E748" s="70"/>
      <c r="F748" s="70"/>
      <c r="G748" s="70"/>
      <c r="H748" s="70"/>
      <c r="I748" s="70"/>
      <c r="J748" s="70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  <c r="Y748" s="70"/>
      <c r="Z748" s="70"/>
    </row>
    <row r="749" customFormat="false" ht="12.75" hidden="false" customHeight="false" outlineLevel="0" collapsed="false">
      <c r="A749" s="70"/>
      <c r="B749" s="70"/>
      <c r="C749" s="70"/>
      <c r="D749" s="70"/>
      <c r="E749" s="70"/>
      <c r="F749" s="70"/>
      <c r="G749" s="70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  <c r="Y749" s="70"/>
      <c r="Z749" s="70"/>
    </row>
    <row r="750" customFormat="false" ht="12.75" hidden="false" customHeight="false" outlineLevel="0" collapsed="false">
      <c r="A750" s="70"/>
      <c r="B750" s="70"/>
      <c r="C750" s="70"/>
      <c r="D750" s="70"/>
      <c r="E750" s="70"/>
      <c r="F750" s="70"/>
      <c r="G750" s="70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  <c r="Y750" s="70"/>
      <c r="Z750" s="70"/>
    </row>
    <row r="751" customFormat="false" ht="12.75" hidden="false" customHeight="false" outlineLevel="0" collapsed="false">
      <c r="A751" s="70"/>
      <c r="B751" s="70"/>
      <c r="C751" s="70"/>
      <c r="D751" s="70"/>
      <c r="E751" s="70"/>
      <c r="F751" s="70"/>
      <c r="G751" s="70"/>
      <c r="H751" s="70"/>
      <c r="I751" s="70"/>
      <c r="J751" s="70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  <c r="Z751" s="70"/>
    </row>
    <row r="752" customFormat="false" ht="12.75" hidden="false" customHeight="false" outlineLevel="0" collapsed="false">
      <c r="A752" s="70"/>
      <c r="B752" s="70"/>
      <c r="C752" s="70"/>
      <c r="D752" s="70"/>
      <c r="E752" s="70"/>
      <c r="F752" s="70"/>
      <c r="G752" s="70"/>
      <c r="H752" s="70"/>
      <c r="I752" s="70"/>
      <c r="J752" s="70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  <c r="Y752" s="70"/>
      <c r="Z752" s="70"/>
    </row>
    <row r="753" customFormat="false" ht="12.75" hidden="false" customHeight="false" outlineLevel="0" collapsed="false">
      <c r="A753" s="70"/>
      <c r="B753" s="70"/>
      <c r="C753" s="70"/>
      <c r="D753" s="70"/>
      <c r="E753" s="70"/>
      <c r="F753" s="70"/>
      <c r="G753" s="70"/>
      <c r="H753" s="70"/>
      <c r="I753" s="70"/>
      <c r="J753" s="70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  <c r="Y753" s="70"/>
      <c r="Z753" s="70"/>
    </row>
    <row r="754" customFormat="false" ht="12.75" hidden="false" customHeight="false" outlineLevel="0" collapsed="false">
      <c r="A754" s="70"/>
      <c r="B754" s="70"/>
      <c r="C754" s="70"/>
      <c r="D754" s="70"/>
      <c r="E754" s="70"/>
      <c r="F754" s="70"/>
      <c r="G754" s="70"/>
      <c r="H754" s="70"/>
      <c r="I754" s="70"/>
      <c r="J754" s="70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  <c r="Y754" s="70"/>
      <c r="Z754" s="70"/>
    </row>
    <row r="755" customFormat="false" ht="12.75" hidden="false" customHeight="false" outlineLevel="0" collapsed="false">
      <c r="A755" s="70"/>
      <c r="B755" s="70"/>
      <c r="C755" s="70"/>
      <c r="D755" s="70"/>
      <c r="E755" s="70"/>
      <c r="F755" s="70"/>
      <c r="G755" s="70"/>
      <c r="H755" s="70"/>
      <c r="I755" s="70"/>
      <c r="J755" s="70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  <c r="Y755" s="70"/>
      <c r="Z755" s="70"/>
    </row>
    <row r="756" customFormat="false" ht="12.75" hidden="false" customHeight="false" outlineLevel="0" collapsed="false">
      <c r="A756" s="70"/>
      <c r="B756" s="70"/>
      <c r="C756" s="70"/>
      <c r="D756" s="70"/>
      <c r="E756" s="70"/>
      <c r="F756" s="70"/>
      <c r="G756" s="70"/>
      <c r="H756" s="70"/>
      <c r="I756" s="70"/>
      <c r="J756" s="70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  <c r="Y756" s="70"/>
      <c r="Z756" s="70"/>
    </row>
    <row r="757" customFormat="false" ht="12.75" hidden="false" customHeight="false" outlineLevel="0" collapsed="false">
      <c r="A757" s="70"/>
      <c r="B757" s="70"/>
      <c r="C757" s="70"/>
      <c r="D757" s="70"/>
      <c r="E757" s="70"/>
      <c r="F757" s="70"/>
      <c r="G757" s="70"/>
      <c r="H757" s="70"/>
      <c r="I757" s="70"/>
      <c r="J757" s="70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  <c r="Y757" s="70"/>
      <c r="Z757" s="70"/>
    </row>
    <row r="758" customFormat="false" ht="12.75" hidden="false" customHeight="false" outlineLevel="0" collapsed="false">
      <c r="A758" s="70"/>
      <c r="B758" s="70"/>
      <c r="C758" s="70"/>
      <c r="D758" s="70"/>
      <c r="E758" s="70"/>
      <c r="F758" s="70"/>
      <c r="G758" s="70"/>
      <c r="H758" s="70"/>
      <c r="I758" s="70"/>
      <c r="J758" s="70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  <c r="Y758" s="70"/>
      <c r="Z758" s="70"/>
    </row>
    <row r="759" customFormat="false" ht="12.75" hidden="false" customHeight="false" outlineLevel="0" collapsed="false">
      <c r="A759" s="70"/>
      <c r="B759" s="70"/>
      <c r="C759" s="70"/>
      <c r="D759" s="70"/>
      <c r="E759" s="70"/>
      <c r="F759" s="70"/>
      <c r="G759" s="70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  <c r="Y759" s="70"/>
      <c r="Z759" s="70"/>
    </row>
    <row r="760" customFormat="false" ht="12.75" hidden="false" customHeight="false" outlineLevel="0" collapsed="false">
      <c r="A760" s="70"/>
      <c r="B760" s="70"/>
      <c r="C760" s="70"/>
      <c r="D760" s="70"/>
      <c r="E760" s="70"/>
      <c r="F760" s="70"/>
      <c r="G760" s="70"/>
      <c r="H760" s="70"/>
      <c r="I760" s="70"/>
      <c r="J760" s="70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  <c r="Y760" s="70"/>
      <c r="Z760" s="70"/>
    </row>
    <row r="761" customFormat="false" ht="12.75" hidden="false" customHeight="false" outlineLevel="0" collapsed="false">
      <c r="A761" s="70"/>
      <c r="B761" s="70"/>
      <c r="C761" s="70"/>
      <c r="D761" s="70"/>
      <c r="E761" s="70"/>
      <c r="F761" s="70"/>
      <c r="G761" s="70"/>
      <c r="H761" s="70"/>
      <c r="I761" s="70"/>
      <c r="J761" s="70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  <c r="Y761" s="70"/>
      <c r="Z761" s="70"/>
    </row>
    <row r="762" customFormat="false" ht="12.75" hidden="false" customHeight="false" outlineLevel="0" collapsed="false">
      <c r="A762" s="70"/>
      <c r="B762" s="70"/>
      <c r="C762" s="70"/>
      <c r="D762" s="70"/>
      <c r="E762" s="70"/>
      <c r="F762" s="70"/>
      <c r="G762" s="70"/>
      <c r="H762" s="70"/>
      <c r="I762" s="70"/>
      <c r="J762" s="70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  <c r="Y762" s="70"/>
      <c r="Z762" s="70"/>
    </row>
    <row r="763" customFormat="false" ht="12.75" hidden="false" customHeight="false" outlineLevel="0" collapsed="false">
      <c r="A763" s="70"/>
      <c r="B763" s="70"/>
      <c r="C763" s="70"/>
      <c r="D763" s="70"/>
      <c r="E763" s="70"/>
      <c r="F763" s="70"/>
      <c r="G763" s="70"/>
      <c r="H763" s="70"/>
      <c r="I763" s="70"/>
      <c r="J763" s="70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  <c r="Y763" s="70"/>
      <c r="Z763" s="70"/>
    </row>
    <row r="764" customFormat="false" ht="12.75" hidden="false" customHeight="false" outlineLevel="0" collapsed="false">
      <c r="A764" s="70"/>
      <c r="B764" s="70"/>
      <c r="C764" s="70"/>
      <c r="D764" s="70"/>
      <c r="E764" s="70"/>
      <c r="F764" s="70"/>
      <c r="G764" s="70"/>
      <c r="H764" s="70"/>
      <c r="I764" s="70"/>
      <c r="J764" s="70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  <c r="Y764" s="70"/>
      <c r="Z764" s="70"/>
    </row>
    <row r="765" customFormat="false" ht="12.75" hidden="false" customHeight="false" outlineLevel="0" collapsed="false">
      <c r="A765" s="70"/>
      <c r="B765" s="70"/>
      <c r="C765" s="70"/>
      <c r="D765" s="70"/>
      <c r="E765" s="70"/>
      <c r="F765" s="70"/>
      <c r="G765" s="70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  <c r="Y765" s="70"/>
      <c r="Z765" s="70"/>
    </row>
    <row r="766" customFormat="false" ht="12.75" hidden="false" customHeight="false" outlineLevel="0" collapsed="false">
      <c r="A766" s="70"/>
      <c r="B766" s="70"/>
      <c r="C766" s="70"/>
      <c r="D766" s="70"/>
      <c r="E766" s="70"/>
      <c r="F766" s="70"/>
      <c r="G766" s="70"/>
      <c r="H766" s="70"/>
      <c r="I766" s="70"/>
      <c r="J766" s="70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  <c r="Y766" s="70"/>
      <c r="Z766" s="70"/>
    </row>
    <row r="767" customFormat="false" ht="12.75" hidden="false" customHeight="false" outlineLevel="0" collapsed="false">
      <c r="A767" s="70"/>
      <c r="B767" s="70"/>
      <c r="C767" s="70"/>
      <c r="D767" s="70"/>
      <c r="E767" s="70"/>
      <c r="F767" s="70"/>
      <c r="G767" s="70"/>
      <c r="H767" s="70"/>
      <c r="I767" s="70"/>
      <c r="J767" s="70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  <c r="Y767" s="70"/>
      <c r="Z767" s="70"/>
    </row>
    <row r="768" customFormat="false" ht="12.75" hidden="false" customHeight="false" outlineLevel="0" collapsed="false">
      <c r="A768" s="70"/>
      <c r="B768" s="70"/>
      <c r="C768" s="70"/>
      <c r="D768" s="70"/>
      <c r="E768" s="70"/>
      <c r="F768" s="70"/>
      <c r="G768" s="70"/>
      <c r="H768" s="70"/>
      <c r="I768" s="70"/>
      <c r="J768" s="70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  <c r="Y768" s="70"/>
      <c r="Z768" s="70"/>
    </row>
    <row r="769" customFormat="false" ht="12.75" hidden="false" customHeight="false" outlineLevel="0" collapsed="false">
      <c r="A769" s="70"/>
      <c r="B769" s="70"/>
      <c r="C769" s="70"/>
      <c r="D769" s="70"/>
      <c r="E769" s="70"/>
      <c r="F769" s="70"/>
      <c r="G769" s="70"/>
      <c r="H769" s="70"/>
      <c r="I769" s="70"/>
      <c r="J769" s="70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  <c r="Y769" s="70"/>
      <c r="Z769" s="70"/>
    </row>
    <row r="770" customFormat="false" ht="12.75" hidden="false" customHeight="false" outlineLevel="0" collapsed="false">
      <c r="A770" s="70"/>
      <c r="B770" s="70"/>
      <c r="C770" s="70"/>
      <c r="D770" s="70"/>
      <c r="E770" s="70"/>
      <c r="F770" s="70"/>
      <c r="G770" s="70"/>
      <c r="H770" s="70"/>
      <c r="I770" s="70"/>
      <c r="J770" s="70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  <c r="Y770" s="70"/>
      <c r="Z770" s="70"/>
    </row>
    <row r="771" customFormat="false" ht="12.75" hidden="false" customHeight="false" outlineLevel="0" collapsed="false">
      <c r="A771" s="70"/>
      <c r="B771" s="70"/>
      <c r="C771" s="70"/>
      <c r="D771" s="70"/>
      <c r="E771" s="70"/>
      <c r="F771" s="70"/>
      <c r="G771" s="70"/>
      <c r="H771" s="70"/>
      <c r="I771" s="70"/>
      <c r="J771" s="70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  <c r="Y771" s="70"/>
      <c r="Z771" s="70"/>
    </row>
    <row r="772" customFormat="false" ht="12.75" hidden="false" customHeight="false" outlineLevel="0" collapsed="false">
      <c r="A772" s="70"/>
      <c r="B772" s="70"/>
      <c r="C772" s="70"/>
      <c r="D772" s="70"/>
      <c r="E772" s="70"/>
      <c r="F772" s="70"/>
      <c r="G772" s="70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  <c r="Y772" s="70"/>
      <c r="Z772" s="70"/>
    </row>
    <row r="773" customFormat="false" ht="12.75" hidden="false" customHeight="false" outlineLevel="0" collapsed="false">
      <c r="A773" s="70"/>
      <c r="B773" s="70"/>
      <c r="C773" s="70"/>
      <c r="D773" s="70"/>
      <c r="E773" s="70"/>
      <c r="F773" s="70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  <c r="Z773" s="70"/>
    </row>
    <row r="774" customFormat="false" ht="12.75" hidden="false" customHeight="false" outlineLevel="0" collapsed="false">
      <c r="A774" s="70"/>
      <c r="B774" s="70"/>
      <c r="C774" s="70"/>
      <c r="D774" s="70"/>
      <c r="E774" s="70"/>
      <c r="F774" s="70"/>
      <c r="G774" s="70"/>
      <c r="H774" s="70"/>
      <c r="I774" s="70"/>
      <c r="J774" s="70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  <c r="Y774" s="70"/>
      <c r="Z774" s="70"/>
    </row>
    <row r="775" customFormat="false" ht="12.75" hidden="false" customHeight="false" outlineLevel="0" collapsed="false">
      <c r="A775" s="70"/>
      <c r="B775" s="70"/>
      <c r="C775" s="70"/>
      <c r="D775" s="70"/>
      <c r="E775" s="70"/>
      <c r="F775" s="70"/>
      <c r="G775" s="70"/>
      <c r="H775" s="70"/>
      <c r="I775" s="70"/>
      <c r="J775" s="70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  <c r="Y775" s="70"/>
      <c r="Z775" s="70"/>
    </row>
    <row r="776" customFormat="false" ht="12.75" hidden="false" customHeight="false" outlineLevel="0" collapsed="false">
      <c r="A776" s="70"/>
      <c r="B776" s="70"/>
      <c r="C776" s="70"/>
      <c r="D776" s="70"/>
      <c r="E776" s="70"/>
      <c r="F776" s="70"/>
      <c r="G776" s="70"/>
      <c r="H776" s="70"/>
      <c r="I776" s="70"/>
      <c r="J776" s="70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  <c r="Y776" s="70"/>
      <c r="Z776" s="70"/>
    </row>
    <row r="777" customFormat="false" ht="12.75" hidden="false" customHeight="false" outlineLevel="0" collapsed="false">
      <c r="A777" s="70"/>
      <c r="B777" s="70"/>
      <c r="C777" s="70"/>
      <c r="D777" s="70"/>
      <c r="E777" s="70"/>
      <c r="F777" s="70"/>
      <c r="G777" s="70"/>
      <c r="H777" s="70"/>
      <c r="I777" s="70"/>
      <c r="J777" s="70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  <c r="Y777" s="70"/>
      <c r="Z777" s="70"/>
    </row>
    <row r="778" customFormat="false" ht="12.75" hidden="false" customHeight="false" outlineLevel="0" collapsed="false">
      <c r="A778" s="70"/>
      <c r="B778" s="70"/>
      <c r="C778" s="70"/>
      <c r="D778" s="70"/>
      <c r="E778" s="70"/>
      <c r="F778" s="70"/>
      <c r="G778" s="70"/>
      <c r="H778" s="70"/>
      <c r="I778" s="70"/>
      <c r="J778" s="70"/>
      <c r="K778" s="70"/>
      <c r="L778" s="70"/>
      <c r="M778" s="70"/>
      <c r="N778" s="70"/>
      <c r="O778" s="70"/>
      <c r="P778" s="70"/>
      <c r="Q778" s="70"/>
      <c r="R778" s="70"/>
      <c r="S778" s="70"/>
      <c r="T778" s="70"/>
      <c r="U778" s="70"/>
      <c r="V778" s="70"/>
      <c r="W778" s="70"/>
      <c r="X778" s="70"/>
      <c r="Y778" s="70"/>
      <c r="Z778" s="70"/>
    </row>
    <row r="779" customFormat="false" ht="12.75" hidden="false" customHeight="false" outlineLevel="0" collapsed="false">
      <c r="A779" s="70"/>
      <c r="B779" s="70"/>
      <c r="C779" s="70"/>
      <c r="D779" s="70"/>
      <c r="E779" s="70"/>
      <c r="F779" s="70"/>
      <c r="G779" s="70"/>
      <c r="H779" s="70"/>
      <c r="I779" s="70"/>
      <c r="J779" s="70"/>
      <c r="K779" s="70"/>
      <c r="L779" s="70"/>
      <c r="M779" s="70"/>
      <c r="N779" s="70"/>
      <c r="O779" s="70"/>
      <c r="P779" s="70"/>
      <c r="Q779" s="70"/>
      <c r="R779" s="70"/>
      <c r="S779" s="70"/>
      <c r="T779" s="70"/>
      <c r="U779" s="70"/>
      <c r="V779" s="70"/>
      <c r="W779" s="70"/>
      <c r="X779" s="70"/>
      <c r="Y779" s="70"/>
      <c r="Z779" s="70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38" fitToWidth="1" fitToHeight="1" pageOrder="downThenOver" orientation="landscape" blackAndWhite="false" draft="false" cellComments="none" horizontalDpi="300" verticalDpi="300" copies="1"/>
  <headerFooter differentFirst="false" differentOddEven="false">
    <oddHeader>&amp;LEnron Generation Company</oddHeader>
    <oddFooter>&amp;L&amp;T, &amp;D&amp;C&amp;F&amp;RPage &amp;P</oddFooter>
  </headerFooter>
  <rowBreaks count="9" manualBreakCount="9">
    <brk id="205" man="true" max="16383" min="0"/>
    <brk id="296" man="true" max="16383" min="0"/>
    <brk id="347" man="true" max="16383" min="0"/>
    <brk id="400" man="true" max="16383" min="0"/>
    <brk id="455" man="true" max="16383" min="0"/>
    <brk id="476" man="true" max="16383" min="0"/>
    <brk id="526" man="true" max="16383" min="0"/>
    <brk id="589" man="true" max="16383" min="0"/>
    <brk id="610" man="true" max="16383" min="0"/>
  </rowBreak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77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21" activeCellId="0" sqref="I2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78" width="53.41"/>
    <col collapsed="false" customWidth="true" hidden="false" outlineLevel="0" max="2" min="2" style="78" width="8.41"/>
    <col collapsed="false" customWidth="true" hidden="false" outlineLevel="0" max="4" min="3" style="78" width="9.85"/>
    <col collapsed="false" customWidth="true" hidden="false" outlineLevel="1" max="5" min="5" style="78" width="9.28"/>
    <col collapsed="false" customWidth="true" hidden="false" outlineLevel="1" max="6" min="6" style="78" width="10.13"/>
    <col collapsed="false" customWidth="true" hidden="false" outlineLevel="1" max="8" min="7" style="78" width="10.71"/>
    <col collapsed="false" customWidth="true" hidden="false" outlineLevel="0" max="26" min="9" style="78" width="10.71"/>
    <col collapsed="false" customWidth="false" hidden="false" outlineLevel="0" max="257" min="27" style="70" width="9.14"/>
  </cols>
  <sheetData>
    <row r="2" customFormat="false" ht="18.75" hidden="false" customHeight="false" outlineLevel="0" collapsed="false">
      <c r="A2" s="317" t="s">
        <v>489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</row>
    <row r="3" customFormat="false" ht="12.75" hidden="false" customHeight="false" outlineLevel="0" collapsed="false">
      <c r="A3" s="323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</row>
    <row r="4" customFormat="false" ht="12.75" hidden="false" customHeight="false" outlineLevel="0" collapsed="false">
      <c r="A4" s="323"/>
    </row>
    <row r="5" customFormat="false" ht="13.5" hidden="false" customHeight="false" outlineLevel="0" collapsed="false">
      <c r="A5" s="319" t="s">
        <v>269</v>
      </c>
      <c r="B5" s="320"/>
      <c r="C5" s="320"/>
      <c r="D5" s="320"/>
      <c r="E5" s="320" t="n">
        <v>1999</v>
      </c>
      <c r="F5" s="320" t="n">
        <f aca="false">E5+1</f>
        <v>2000</v>
      </c>
      <c r="G5" s="320" t="n">
        <f aca="false">F5+1</f>
        <v>2001</v>
      </c>
      <c r="H5" s="320" t="n">
        <f aca="false">G5+1</f>
        <v>2002</v>
      </c>
      <c r="I5" s="320" t="n">
        <f aca="false">H5+1</f>
        <v>2003</v>
      </c>
      <c r="J5" s="320" t="n">
        <f aca="false">I5+1</f>
        <v>2004</v>
      </c>
      <c r="K5" s="320" t="n">
        <f aca="false">J5+1</f>
        <v>2005</v>
      </c>
      <c r="L5" s="320" t="n">
        <f aca="false">K5+1</f>
        <v>2006</v>
      </c>
      <c r="M5" s="320" t="n">
        <f aca="false">L5+1</f>
        <v>2007</v>
      </c>
      <c r="N5" s="320" t="n">
        <f aca="false">M5+1</f>
        <v>2008</v>
      </c>
      <c r="O5" s="320" t="n">
        <f aca="false">N5+1</f>
        <v>2009</v>
      </c>
      <c r="P5" s="320" t="n">
        <f aca="false">O5+1</f>
        <v>2010</v>
      </c>
      <c r="Q5" s="320" t="n">
        <f aca="false">P5+1</f>
        <v>2011</v>
      </c>
      <c r="R5" s="320" t="n">
        <f aca="false">Q5+1</f>
        <v>2012</v>
      </c>
      <c r="S5" s="320" t="n">
        <f aca="false">R5+1</f>
        <v>2013</v>
      </c>
      <c r="T5" s="320" t="n">
        <f aca="false">S5+1</f>
        <v>2014</v>
      </c>
      <c r="U5" s="320" t="n">
        <f aca="false">T5+1</f>
        <v>2015</v>
      </c>
      <c r="V5" s="320" t="n">
        <f aca="false">U5+1</f>
        <v>2016</v>
      </c>
      <c r="W5" s="320" t="n">
        <f aca="false">V5+1</f>
        <v>2017</v>
      </c>
      <c r="X5" s="320" t="n">
        <f aca="false">W5+1</f>
        <v>2018</v>
      </c>
      <c r="Y5" s="320" t="n">
        <f aca="false">X5+1</f>
        <v>2019</v>
      </c>
      <c r="Z5" s="320" t="n">
        <f aca="false">Y5+1</f>
        <v>2020</v>
      </c>
    </row>
    <row r="6" customFormat="false" ht="12.75" hidden="false" customHeight="false" outlineLevel="0" collapsed="false">
      <c r="A6" s="322"/>
      <c r="B6" s="318"/>
      <c r="C6" s="318"/>
      <c r="D6" s="318"/>
      <c r="E6" s="318"/>
      <c r="F6" s="318"/>
      <c r="G6" s="321"/>
      <c r="H6" s="321"/>
      <c r="I6" s="321"/>
      <c r="J6" s="474"/>
      <c r="K6" s="474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</row>
    <row r="7" customFormat="false" ht="12.75" hidden="false" customHeight="false" outlineLevel="0" collapsed="false">
      <c r="A7" s="322"/>
      <c r="B7" s="318"/>
      <c r="C7" s="318"/>
      <c r="D7" s="318"/>
      <c r="E7" s="318"/>
      <c r="F7" s="318"/>
      <c r="G7" s="321"/>
      <c r="H7" s="321"/>
      <c r="I7" s="321"/>
      <c r="J7" s="321"/>
      <c r="K7" s="321"/>
      <c r="L7" s="321"/>
      <c r="M7" s="321"/>
      <c r="N7" s="321"/>
      <c r="O7" s="321"/>
      <c r="P7" s="321"/>
      <c r="Q7" s="321"/>
      <c r="R7" s="321"/>
      <c r="S7" s="321"/>
      <c r="T7" s="321"/>
      <c r="U7" s="321"/>
      <c r="V7" s="321"/>
      <c r="W7" s="321"/>
      <c r="X7" s="321"/>
      <c r="Y7" s="321"/>
      <c r="Z7" s="321"/>
    </row>
    <row r="8" customFormat="false" ht="12.75" hidden="false" customHeight="false" outlineLevel="0" collapsed="false">
      <c r="A8" s="323" t="s">
        <v>270</v>
      </c>
      <c r="B8" s="321"/>
      <c r="C8" s="321"/>
      <c r="D8" s="321"/>
      <c r="E8" s="650"/>
      <c r="F8" s="650"/>
      <c r="G8" s="650"/>
      <c r="H8" s="650"/>
      <c r="I8" s="650"/>
      <c r="J8" s="650"/>
      <c r="K8" s="650"/>
      <c r="L8" s="650"/>
      <c r="M8" s="650"/>
      <c r="N8" s="650"/>
      <c r="O8" s="650"/>
      <c r="P8" s="650"/>
      <c r="Q8" s="650"/>
      <c r="R8" s="650"/>
      <c r="S8" s="650"/>
      <c r="T8" s="650"/>
      <c r="U8" s="650"/>
      <c r="V8" s="650"/>
      <c r="W8" s="650"/>
      <c r="X8" s="650"/>
      <c r="Y8" s="650"/>
      <c r="Z8" s="650"/>
      <c r="AA8" s="651"/>
      <c r="AB8" s="651"/>
      <c r="AC8" s="651"/>
    </row>
    <row r="9" customFormat="false" ht="12.75" hidden="false" customHeight="false" outlineLevel="0" collapsed="false">
      <c r="A9" s="326" t="s">
        <v>271</v>
      </c>
      <c r="B9" s="321"/>
      <c r="C9" s="321"/>
      <c r="D9" s="321"/>
      <c r="E9" s="321"/>
      <c r="F9" s="321"/>
      <c r="H9" s="70"/>
      <c r="AA9" s="651"/>
      <c r="AB9" s="651"/>
      <c r="AC9" s="651"/>
    </row>
    <row r="10" customFormat="false" ht="12.75" hidden="false" customHeight="false" outlineLevel="0" collapsed="false">
      <c r="A10" s="327" t="s">
        <v>272</v>
      </c>
      <c r="B10" s="321"/>
      <c r="C10" s="321"/>
      <c r="D10" s="321"/>
      <c r="E10" s="115" t="n">
        <v>0</v>
      </c>
      <c r="F10" s="115" t="n">
        <f aca="false">Assumptions!$R$30*Assumptions!$R$53*'Power Price Assumption'!F42</f>
        <v>17024</v>
      </c>
      <c r="G10" s="115" t="n">
        <f aca="false">Assumptions!$R$30*'Power Price Assumption'!G42*12</f>
        <v>29184</v>
      </c>
      <c r="H10" s="115" t="n">
        <f aca="false">Assumptions!$R$30*'Power Price Assumption'!H42*12</f>
        <v>29184</v>
      </c>
      <c r="I10" s="115" t="n">
        <v>0</v>
      </c>
      <c r="J10" s="115" t="n">
        <v>0</v>
      </c>
      <c r="K10" s="115" t="n">
        <v>0</v>
      </c>
      <c r="L10" s="115" t="n">
        <v>0</v>
      </c>
      <c r="M10" s="115" t="n">
        <v>0</v>
      </c>
      <c r="N10" s="115" t="n">
        <v>0</v>
      </c>
      <c r="O10" s="115" t="n">
        <v>0</v>
      </c>
      <c r="P10" s="115" t="n">
        <v>0</v>
      </c>
      <c r="Q10" s="115" t="n">
        <v>0</v>
      </c>
      <c r="R10" s="115" t="n">
        <v>0</v>
      </c>
      <c r="S10" s="115" t="n">
        <v>0</v>
      </c>
      <c r="T10" s="115" t="n">
        <v>0</v>
      </c>
      <c r="U10" s="115" t="n">
        <v>0</v>
      </c>
      <c r="V10" s="115" t="n">
        <v>0</v>
      </c>
      <c r="W10" s="115" t="n">
        <v>0</v>
      </c>
      <c r="X10" s="115" t="n">
        <v>0</v>
      </c>
      <c r="Y10" s="115" t="n">
        <v>0</v>
      </c>
      <c r="Z10" s="115" t="n">
        <v>0</v>
      </c>
      <c r="AA10" s="651"/>
      <c r="AB10" s="651"/>
      <c r="AC10" s="651"/>
    </row>
    <row r="11" customFormat="false" ht="12.75" hidden="false" customHeight="false" outlineLevel="0" collapsed="false">
      <c r="A11" s="327" t="s">
        <v>273</v>
      </c>
      <c r="B11" s="321"/>
      <c r="C11" s="321"/>
      <c r="D11" s="321"/>
      <c r="E11" s="115" t="n">
        <v>0</v>
      </c>
      <c r="F11" s="115" t="n">
        <f aca="false">Assumptions!R$26*Assumptions!R$30*Assumptions!R$14/1000*(1+Assumptions!$R$39)</f>
        <v>648.3644</v>
      </c>
      <c r="G11" s="115" t="n">
        <f aca="false">F11*(1+Assumptions!$R$39)</f>
        <v>667.815332</v>
      </c>
      <c r="H11" s="417" t="n">
        <f aca="false">G11*(1+Assumptions!$R$39)</f>
        <v>687.84979196</v>
      </c>
      <c r="I11" s="115" t="n">
        <v>0</v>
      </c>
      <c r="J11" s="115" t="n">
        <v>0</v>
      </c>
      <c r="K11" s="115" t="n">
        <v>0</v>
      </c>
      <c r="L11" s="115" t="n">
        <v>0</v>
      </c>
      <c r="M11" s="115" t="n">
        <v>0</v>
      </c>
      <c r="N11" s="115" t="n">
        <v>0</v>
      </c>
      <c r="O11" s="115" t="n">
        <v>0</v>
      </c>
      <c r="P11" s="115" t="n">
        <v>0</v>
      </c>
      <c r="Q11" s="115" t="n">
        <v>0</v>
      </c>
      <c r="R11" s="115" t="n">
        <v>0</v>
      </c>
      <c r="S11" s="115" t="n">
        <v>0</v>
      </c>
      <c r="T11" s="115" t="n">
        <v>0</v>
      </c>
      <c r="U11" s="115" t="n">
        <v>0</v>
      </c>
      <c r="V11" s="115" t="n">
        <v>0</v>
      </c>
      <c r="W11" s="115" t="n">
        <v>0</v>
      </c>
      <c r="X11" s="115" t="n">
        <v>0</v>
      </c>
      <c r="Y11" s="115" t="n">
        <v>0</v>
      </c>
      <c r="Z11" s="115" t="n">
        <v>0</v>
      </c>
      <c r="AA11" s="651"/>
      <c r="AB11" s="651"/>
      <c r="AC11" s="651"/>
    </row>
    <row r="12" customFormat="false" ht="12.75" hidden="false" customHeight="false" outlineLevel="0" collapsed="false">
      <c r="A12" s="327" t="s">
        <v>274</v>
      </c>
      <c r="B12" s="321"/>
      <c r="C12" s="321"/>
      <c r="D12" s="321"/>
      <c r="E12" s="115" t="n">
        <v>0</v>
      </c>
      <c r="F12" s="115" t="n">
        <f aca="false">VLOOKUP(Assumptions!$R$19,'EGC Start Charge Matrix'!$A$10:$S$35,19)*(1+Assumptions!$R$39)</f>
        <v>1853.0112</v>
      </c>
      <c r="G12" s="115" t="n">
        <f aca="false">F12*(1+Assumptions!$R$39)</f>
        <v>1908.601536</v>
      </c>
      <c r="H12" s="115" t="n">
        <f aca="false">G12*(1+Assumptions!$R$39)</f>
        <v>1965.85958208</v>
      </c>
      <c r="I12" s="115" t="n">
        <v>0</v>
      </c>
      <c r="J12" s="115" t="n">
        <v>0</v>
      </c>
      <c r="K12" s="115" t="n">
        <v>0</v>
      </c>
      <c r="L12" s="115" t="n">
        <v>0</v>
      </c>
      <c r="M12" s="115" t="n">
        <v>0</v>
      </c>
      <c r="N12" s="115" t="n">
        <v>0</v>
      </c>
      <c r="O12" s="115" t="n">
        <v>0</v>
      </c>
      <c r="P12" s="115" t="n">
        <v>0</v>
      </c>
      <c r="Q12" s="115" t="n">
        <v>0</v>
      </c>
      <c r="R12" s="115" t="n">
        <v>0</v>
      </c>
      <c r="S12" s="115" t="n">
        <v>0</v>
      </c>
      <c r="T12" s="115" t="n">
        <v>0</v>
      </c>
      <c r="U12" s="115" t="n">
        <v>0</v>
      </c>
      <c r="V12" s="115" t="n">
        <v>0</v>
      </c>
      <c r="W12" s="115" t="n">
        <v>0</v>
      </c>
      <c r="X12" s="115" t="n">
        <v>0</v>
      </c>
      <c r="Y12" s="115" t="n">
        <v>0</v>
      </c>
      <c r="Z12" s="115" t="n">
        <v>0</v>
      </c>
      <c r="AA12" s="651"/>
      <c r="AB12" s="651"/>
      <c r="AC12" s="651"/>
    </row>
    <row r="13" customFormat="false" ht="12.75" hidden="false" customHeight="false" outlineLevel="0" collapsed="false">
      <c r="A13" s="70"/>
      <c r="B13" s="321"/>
      <c r="C13" s="321"/>
      <c r="D13" s="321"/>
      <c r="E13" s="321"/>
      <c r="F13" s="321"/>
      <c r="H13" s="70"/>
      <c r="AA13" s="651"/>
      <c r="AB13" s="651"/>
      <c r="AC13" s="651"/>
    </row>
    <row r="14" customFormat="false" ht="12.75" hidden="false" customHeight="false" outlineLevel="0" collapsed="false">
      <c r="A14" s="326" t="s">
        <v>275</v>
      </c>
      <c r="B14" s="321"/>
      <c r="C14" s="321"/>
      <c r="D14" s="321"/>
      <c r="E14" s="321"/>
      <c r="F14" s="321"/>
      <c r="H14" s="70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651"/>
      <c r="AB14" s="651"/>
      <c r="AC14" s="651"/>
    </row>
    <row r="15" customFormat="false" ht="12.75" hidden="false" customHeight="false" outlineLevel="0" collapsed="false">
      <c r="A15" s="327" t="s">
        <v>272</v>
      </c>
      <c r="B15" s="321"/>
      <c r="C15" s="321"/>
      <c r="D15" s="321"/>
      <c r="E15" s="115" t="n">
        <v>0</v>
      </c>
      <c r="F15" s="115" t="n">
        <v>0</v>
      </c>
      <c r="G15" s="115" t="n">
        <v>0</v>
      </c>
      <c r="H15" s="115" t="n">
        <v>0</v>
      </c>
      <c r="I15" s="115" t="n">
        <f aca="false">IF(Assumptions!$R$19=120,Assumptions!$R$33*(1-Assumptions!$R$35)*'Power Price Assumption'!I44*(12),Assumptions!$R$33*(1-Assumptions!$R$35)*'Power Price Assumption'!I44*(12)-2/3*VLOOKUP(120,'EGC Start Charge Matrix'!$U$10:$AM$35,19)*(1+Assumptions!$R$52)^(I5-Brownsville!$E$5))</f>
        <v>48190.4127949235</v>
      </c>
      <c r="J15" s="115" t="n">
        <f aca="false">IF(Assumptions!$R$19=120,Assumptions!$R$33*(1-Assumptions!$R$35)*'Power Price Assumption'!J44*(12),Assumptions!$R$33*(1-Assumptions!$R$35)*'Power Price Assumption'!J44*(12)-2/3*VLOOKUP(120,'EGC Start Charge Matrix'!$U$10:$AM$35,19)*(1+Assumptions!$R$52)^(J5-Brownsville!$E$5))</f>
        <v>48872.4924837132</v>
      </c>
      <c r="K15" s="115" t="n">
        <f aca="false">IF(Assumptions!$R$19=120,Assumptions!$R$33*(1-Assumptions!$R$35)*'Power Price Assumption'!K44*(12),Assumptions!$R$33*(1-Assumptions!$R$35)*'Power Price Assumption'!K44*(12)-2/3*VLOOKUP(120,'EGC Start Charge Matrix'!$U$10:$AM$35,19)*(1+Assumptions!$R$52)^(K5-Brownsville!$E$5))</f>
        <v>50338.6672582246</v>
      </c>
      <c r="L15" s="115" t="n">
        <f aca="false">IF(Assumptions!$R$19=120,Assumptions!$R$33*(1-Assumptions!$R$35)*'Power Price Assumption'!L44*(12),Assumptions!$R$33*(1-Assumptions!$R$35)*'Power Price Assumption'!L44*(12)-2/3*VLOOKUP(120,'EGC Start Charge Matrix'!$U$10:$AM$35,19)*(1+Assumptions!$R$52)^(L5-Brownsville!$E$5))</f>
        <v>50228.5514235972</v>
      </c>
      <c r="M15" s="115" t="n">
        <f aca="false">IF(Assumptions!$R$19=120,Assumptions!$R$33*(1-Assumptions!$R$35)*'Power Price Assumption'!M44*(12),Assumptions!$R$33*(1-Assumptions!$R$35)*'Power Price Assumption'!M44*(12)-2/3*VLOOKUP(120,'EGC Start Charge Matrix'!$U$10:$AM$35,19)*(1+Assumptions!$R$52)^(M5-Brownsville!$E$5))</f>
        <v>50900.9659023325</v>
      </c>
      <c r="N15" s="115" t="n">
        <f aca="false">IF(Assumptions!$R$19=120,Assumptions!$R$33*(1-Assumptions!$R$35)*'Power Price Assumption'!N44*(12),Assumptions!$R$33*(1-Assumptions!$R$35)*'Power Price Assumption'!N44*(12)-2/3*VLOOKUP(120,'EGC Start Charge Matrix'!$U$10:$AM$35,19)*(1+Assumptions!$R$52)^(N5-Brownsville!$E$5))</f>
        <v>51568.5195535106</v>
      </c>
      <c r="O15" s="115" t="n">
        <f aca="false">IF(Assumptions!$R$19=120,Assumptions!$R$33*(1-Assumptions!$R$35)*'Power Price Assumption'!O44*(12),Assumptions!$R$33*(1-Assumptions!$R$35)*'Power Price Assumption'!O44*(12)-2/3*VLOOKUP(120,'EGC Start Charge Matrix'!$U$10:$AM$35,19)*(1+Assumptions!$R$52)^(O5-Brownsville!$E$5))</f>
        <v>52230.3155544473</v>
      </c>
      <c r="P15" s="115" t="n">
        <f aca="false">IF(Assumptions!$R$19=120,Assumptions!$R$33*(1-Assumptions!$R$35)*'Power Price Assumption'!P44*(12),Assumptions!$R$33*(1-Assumptions!$R$35)*'Power Price Assumption'!P44*(12)-2/3*VLOOKUP(120,'EGC Start Charge Matrix'!$U$10:$AM$35,19)*(1+Assumptions!$R$52)^(P5-Brownsville!$E$5))</f>
        <v>52885.4076478421</v>
      </c>
      <c r="Q15" s="115" t="n">
        <f aca="false">IF(Assumptions!$R$19=120,Assumptions!$R$33*(1-Assumptions!$R$35)*'Power Price Assumption'!Q44*(12),Assumptions!$R$33*(1-Assumptions!$R$35)*'Power Price Assumption'!Q44*(12)-2/3*VLOOKUP(120,'EGC Start Charge Matrix'!$U$10:$AM$35,19)*(1+Assumptions!$R$52)^(Q5-Brownsville!$E$5))</f>
        <v>53532.7979828415</v>
      </c>
      <c r="R15" s="115" t="n">
        <f aca="false">IF(Assumptions!$R$19=120,Assumptions!$R$33*(1-Assumptions!$R$35)*'Power Price Assumption'!R44*(12),Assumptions!$R$33*(1-Assumptions!$R$35)*'Power Price Assumption'!R44*(12)-2/3*VLOOKUP(120,'EGC Start Charge Matrix'!$U$10:$AM$35,19)*(1+Assumptions!$R$52)^(R5-Brownsville!$E$5))</f>
        <v>54171.4348710579</v>
      </c>
      <c r="S15" s="115" t="n">
        <f aca="false">IF(Assumptions!$R$19=120,Assumptions!$R$33*(1-Assumptions!$R$35)*'Power Price Assumption'!S44*(12),Assumptions!$R$33*(1-Assumptions!$R$35)*'Power Price Assumption'!S44*(12)-2/3*VLOOKUP(120,'EGC Start Charge Matrix'!$U$10:$AM$35,19)*(1+Assumptions!$R$52)^(S5-Brownsville!$E$5))</f>
        <v>54800.2104543826</v>
      </c>
      <c r="T15" s="115" t="n">
        <f aca="false">IF(Assumptions!$R$19=120,Assumptions!$R$33*(1-Assumptions!$R$35)*'Power Price Assumption'!T44*(12),Assumptions!$R$33*(1-Assumptions!$R$35)*'Power Price Assumption'!T44*(12)-2/3*VLOOKUP(120,'EGC Start Charge Matrix'!$U$10:$AM$35,19)*(1+Assumptions!$R$52)^(T5-Brownsville!$E$5))</f>
        <v>55417.958281323</v>
      </c>
      <c r="U15" s="115" t="n">
        <f aca="false">IF(Assumptions!$R$19=120,Assumptions!$R$33*(1-Assumptions!$R$35)*'Power Price Assumption'!U44*(12),Assumptions!$R$33*(1-Assumptions!$R$35)*'Power Price Assumption'!U44*(12)-2/3*VLOOKUP(120,'EGC Start Charge Matrix'!$U$10:$AM$35,19)*(1+Assumptions!$R$52)^(U5-Brownsville!$E$5))</f>
        <v>56023.4507884708</v>
      </c>
      <c r="V15" s="115" t="n">
        <f aca="false">IF(Assumptions!$R$19=120,Assumptions!$R$33*(1-Assumptions!$R$35)*'Power Price Assumption'!V44*(12),Assumptions!$R$33*(1-Assumptions!$R$35)*'Power Price Assumption'!V44*(12)-2/3*VLOOKUP(120,'EGC Start Charge Matrix'!$U$10:$AM$35,19)*(1+Assumptions!$R$52)^(V5-Brownsville!$E$5))</f>
        <v>56615.3966835942</v>
      </c>
      <c r="W15" s="115" t="n">
        <f aca="false">IF(Assumptions!$R$19=120,Assumptions!$R$33*(1-Assumptions!$R$35)*'Power Price Assumption'!W44*(12),Assumptions!$R$33*(1-Assumptions!$R$35)*'Power Price Assumption'!W44*(12)-2/3*VLOOKUP(120,'EGC Start Charge Matrix'!$U$10:$AM$35,19)*(1+Assumptions!$R$52)^(W5-Brownsville!$E$5))</f>
        <v>57192.4382267155</v>
      </c>
      <c r="X15" s="115" t="n">
        <f aca="false">IF(Assumptions!$R$19=120,Assumptions!$R$33*(1-Assumptions!$R$35)*'Power Price Assumption'!X44*(12),Assumptions!$R$33*(1-Assumptions!$R$35)*'Power Price Assumption'!X44*(12)-2/3*VLOOKUP(120,'EGC Start Charge Matrix'!$U$10:$AM$35,19)*(1+Assumptions!$R$52)^(X5-Brownsville!$E$5))</f>
        <v>57753.1484054088</v>
      </c>
      <c r="Y15" s="115" t="n">
        <f aca="false">IF(Assumptions!$R$19=120,Assumptions!$R$33*(1-Assumptions!$R$35)*'Power Price Assumption'!Y44*(12),Assumptions!$R$33*(1-Assumptions!$R$35)*'Power Price Assumption'!Y44*(12)-2/3*VLOOKUP(120,'EGC Start Charge Matrix'!$U$10:$AM$35,19)*(1+Assumptions!$R$52)^(Y5-Brownsville!$E$5))</f>
        <v>57106.3131432682</v>
      </c>
      <c r="Z15" s="115" t="n">
        <f aca="false">IF(Assumptions!$R$19=120,Assumptions!$R$33*(1-Assumptions!$R$35)*'Power Price Assumption'!Z44*(12),Assumptions!$R$33*(1-Assumptions!$R$35)*'Power Price Assumption'!Z44*(12)-2/3*VLOOKUP(120,'EGC Start Charge Matrix'!$U$10:$AM$35,19)*(1+Assumptions!$R$52)^(Z5-Brownsville!$E$5))</f>
        <v>57594.0962347003</v>
      </c>
      <c r="AA15" s="651"/>
      <c r="AB15" s="651"/>
      <c r="AC15" s="651"/>
    </row>
    <row r="16" customFormat="false" ht="12.75" hidden="false" customHeight="false" outlineLevel="0" collapsed="false">
      <c r="A16" s="327" t="s">
        <v>276</v>
      </c>
      <c r="B16" s="321"/>
      <c r="C16" s="321"/>
      <c r="D16" s="321"/>
      <c r="E16" s="115" t="n">
        <v>0</v>
      </c>
      <c r="F16" s="115" t="n">
        <v>0</v>
      </c>
      <c r="G16" s="115" t="n">
        <v>0</v>
      </c>
      <c r="H16" s="115" t="n">
        <v>0</v>
      </c>
      <c r="I16" s="115" t="n">
        <f aca="false">(Assumptions!$R$26*Assumptions!$R$34/1000)*(1+Assumptions!$R$39)^(I5-$E$5)+$F$12*(1+Assumptions!$Q$39)^(I5-Caledonia!$F$5)*1/3</f>
        <v>1435.38055858367</v>
      </c>
      <c r="J16" s="115" t="n">
        <f aca="false">(Assumptions!$R$26*Assumptions!$R$34/1000)*(1+Assumptions!$R$39)^(J5-$E$5)+$F$12*(1+Assumptions!$Q$39)^(J5-Caledonia!$F$5)*1/3</f>
        <v>1478.44197534118</v>
      </c>
      <c r="K16" s="115" t="n">
        <f aca="false">J16*(1+Assumptions!$R$39)</f>
        <v>1522.79523460142</v>
      </c>
      <c r="L16" s="115" t="n">
        <f aca="false">K16*(1+Assumptions!$R$39)</f>
        <v>1568.47909163946</v>
      </c>
      <c r="M16" s="115" t="n">
        <f aca="false">L16*(1+Assumptions!$R$39)</f>
        <v>1615.53346438864</v>
      </c>
      <c r="N16" s="115" t="n">
        <f aca="false">M16*(1+Assumptions!$R$39)</f>
        <v>1663.9994683203</v>
      </c>
      <c r="O16" s="115" t="n">
        <f aca="false">N16*(1+Assumptions!$R$39)</f>
        <v>1713.91945236991</v>
      </c>
      <c r="P16" s="115" t="n">
        <f aca="false">O16*(1+Assumptions!$R$39)</f>
        <v>1765.33703594101</v>
      </c>
      <c r="Q16" s="115" t="n">
        <f aca="false">P16*(1+Assumptions!$R$39)</f>
        <v>1818.29714701924</v>
      </c>
      <c r="R16" s="115" t="n">
        <f aca="false">Q16*(1+Assumptions!$R$39)</f>
        <v>1872.84606142982</v>
      </c>
      <c r="S16" s="115" t="n">
        <f aca="false">R16*(1+Assumptions!$R$39)</f>
        <v>1929.03144327271</v>
      </c>
      <c r="T16" s="115" t="n">
        <f aca="false">S16*(1+Assumptions!$R$39)</f>
        <v>1986.90238657089</v>
      </c>
      <c r="U16" s="115" t="n">
        <f aca="false">T16*(1+Assumptions!$R$39)</f>
        <v>2046.50945816802</v>
      </c>
      <c r="V16" s="115" t="n">
        <f aca="false">U16*(1+Assumptions!$R$39)</f>
        <v>2107.90474191306</v>
      </c>
      <c r="W16" s="115" t="n">
        <f aca="false">V16*(1+Assumptions!$R$39)</f>
        <v>2171.14188417045</v>
      </c>
      <c r="X16" s="115" t="n">
        <f aca="false">W16*(1+Assumptions!$R$39)</f>
        <v>2236.27614069557</v>
      </c>
      <c r="Y16" s="115" t="n">
        <f aca="false">X16*(1+Assumptions!$R$39)</f>
        <v>2303.36442491643</v>
      </c>
      <c r="Z16" s="115" t="n">
        <f aca="false">Y16*(1+Assumptions!$R$39)</f>
        <v>2372.46535766393</v>
      </c>
      <c r="AA16" s="651"/>
      <c r="AB16" s="651"/>
      <c r="AC16" s="651"/>
    </row>
    <row r="17" customFormat="false" ht="12.75" hidden="false" customHeight="false" outlineLevel="0" collapsed="false">
      <c r="A17" s="327" t="s">
        <v>277</v>
      </c>
      <c r="B17" s="321"/>
      <c r="C17" s="321"/>
      <c r="D17" s="321"/>
      <c r="E17" s="115" t="n">
        <v>0</v>
      </c>
      <c r="F17" s="115" t="n">
        <v>0</v>
      </c>
      <c r="G17" s="115" t="n">
        <v>0</v>
      </c>
      <c r="H17" s="115" t="n">
        <v>0</v>
      </c>
      <c r="I17" s="115" t="n">
        <f aca="false">Assumptions!$R$33*Assumptions!$R$35*Assumptions!$R$36*Assumptions!$R$14/1000</f>
        <v>15.661968</v>
      </c>
      <c r="J17" s="115" t="n">
        <f aca="false">Assumptions!$R$33*Assumptions!$R$35*Assumptions!$R$36*Assumptions!$R$14/1000</f>
        <v>15.661968</v>
      </c>
      <c r="K17" s="115" t="n">
        <f aca="false">Assumptions!$R$33*Assumptions!$R$35*Assumptions!$R$36*Assumptions!$R$14/1000</f>
        <v>15.661968</v>
      </c>
      <c r="L17" s="115" t="n">
        <f aca="false">Assumptions!$R$33*Assumptions!$R$35*Assumptions!$R$36*Assumptions!$R$14/1000</f>
        <v>15.661968</v>
      </c>
      <c r="M17" s="115" t="n">
        <f aca="false">Assumptions!$R$33*Assumptions!$R$35*Assumptions!$R$36*Assumptions!$R$14/1000</f>
        <v>15.661968</v>
      </c>
      <c r="N17" s="115" t="n">
        <f aca="false">Assumptions!$R$33*Assumptions!$R$35*Assumptions!$R$36*Assumptions!$R$14/1000</f>
        <v>15.661968</v>
      </c>
      <c r="O17" s="115" t="n">
        <f aca="false">Assumptions!$R$33*Assumptions!$R$35*Assumptions!$R$36*Assumptions!$R$14/1000</f>
        <v>15.661968</v>
      </c>
      <c r="P17" s="115" t="n">
        <f aca="false">Assumptions!$R$33*Assumptions!$R$35*Assumptions!$R$36*Assumptions!$R$14/1000</f>
        <v>15.661968</v>
      </c>
      <c r="Q17" s="115" t="n">
        <f aca="false">Assumptions!$R$33*Assumptions!$R$35*Assumptions!$R$36*Assumptions!$R$14/1000</f>
        <v>15.661968</v>
      </c>
      <c r="R17" s="115" t="n">
        <f aca="false">Assumptions!$R$33*Assumptions!$R$35*Assumptions!$R$36*Assumptions!$R$14/1000</f>
        <v>15.661968</v>
      </c>
      <c r="S17" s="115" t="n">
        <f aca="false">Assumptions!$R$33*Assumptions!$R$35*Assumptions!$R$36*Assumptions!$R$14/1000</f>
        <v>15.661968</v>
      </c>
      <c r="T17" s="115" t="n">
        <f aca="false">Assumptions!$R$33*Assumptions!$R$35*Assumptions!$R$36*Assumptions!$R$14/1000</f>
        <v>15.661968</v>
      </c>
      <c r="U17" s="115" t="n">
        <f aca="false">Assumptions!$R$33*Assumptions!$R$35*Assumptions!$R$36*Assumptions!$R$14/1000</f>
        <v>15.661968</v>
      </c>
      <c r="V17" s="115" t="n">
        <f aca="false">Assumptions!$R$33*Assumptions!$R$35*Assumptions!$R$36*Assumptions!$R$14/1000</f>
        <v>15.661968</v>
      </c>
      <c r="W17" s="115" t="n">
        <f aca="false">Assumptions!$R$33*Assumptions!$R$35*Assumptions!$R$36*Assumptions!$R$14/1000</f>
        <v>15.661968</v>
      </c>
      <c r="X17" s="115" t="n">
        <f aca="false">Assumptions!$R$33*Assumptions!$R$35*Assumptions!$R$36*Assumptions!$R$14/1000</f>
        <v>15.661968</v>
      </c>
      <c r="Y17" s="115" t="n">
        <f aca="false">Assumptions!$R$33*Assumptions!$R$35*Assumptions!$R$36*Assumptions!$R$14/1000</f>
        <v>15.661968</v>
      </c>
      <c r="Z17" s="115" t="n">
        <f aca="false">Assumptions!$R$33*Assumptions!$R$35*Assumptions!$R$36*Assumptions!$R$14/1000</f>
        <v>15.661968</v>
      </c>
      <c r="AA17" s="651"/>
      <c r="AB17" s="651"/>
      <c r="AC17" s="651"/>
    </row>
    <row r="18" customFormat="false" ht="12.75" hidden="false" customHeight="false" outlineLevel="0" collapsed="false">
      <c r="A18" s="70"/>
      <c r="B18" s="321"/>
      <c r="C18" s="321"/>
      <c r="D18" s="321"/>
      <c r="E18" s="321"/>
      <c r="F18" s="321"/>
      <c r="H18" s="70"/>
      <c r="AA18" s="651"/>
      <c r="AB18" s="651"/>
      <c r="AC18" s="651"/>
    </row>
    <row r="19" customFormat="false" ht="12.75" hidden="false" customHeight="false" outlineLevel="0" collapsed="false">
      <c r="A19" s="327" t="s">
        <v>453</v>
      </c>
      <c r="B19" s="321"/>
      <c r="C19" s="321"/>
      <c r="D19" s="321"/>
      <c r="E19" s="375" t="n">
        <f aca="false">(SUM(E10:E17)-SUM(E25:E35))*Assumptions!$B$34/4</f>
        <v>0</v>
      </c>
      <c r="F19" s="375" t="n">
        <f aca="false">(SUM(F10:F17)-SUM(F25:F35))*Assumptions!$B$34/4</f>
        <v>191.945271402097</v>
      </c>
      <c r="G19" s="375" t="n">
        <f aca="false">(SUM(G10:G17)-SUM(G25:G35))*Assumptions!$B$34/4</f>
        <v>324.01944363238</v>
      </c>
      <c r="H19" s="375" t="n">
        <f aca="false">(SUM(H10:H17)-SUM(H25:H35))*Assumptions!$B$34/4</f>
        <v>323.133780100637</v>
      </c>
      <c r="I19" s="375" t="n">
        <f aca="false">(SUM(I10:I17)-SUM(I25:I35))*Assumptions!$B$34/4</f>
        <v>536.373852900464</v>
      </c>
      <c r="J19" s="375" t="n">
        <f aca="false">(SUM(J10:J17)-SUM(J25:J35))*Assumptions!$B$34/4</f>
        <v>543.215729817708</v>
      </c>
      <c r="K19" s="375" t="n">
        <f aca="false">(SUM(K10:K17)-SUM(K25:K35))*Assumptions!$B$34/4</f>
        <v>560.333454387759</v>
      </c>
      <c r="L19" s="375" t="n">
        <f aca="false">(SUM(L10:L17)-SUM(L25:L35))*Assumptions!$B$34/4</f>
        <v>557.170324403459</v>
      </c>
      <c r="M19" s="375" t="n">
        <f aca="false">(SUM(M10:M17)-SUM(M25:M35))*Assumptions!$B$34/4</f>
        <v>563.735222874648</v>
      </c>
      <c r="N19" s="375" t="n">
        <f aca="false">(SUM(N10:N17)-SUM(N25:N35))*Assumptions!$B$34/4</f>
        <v>570.184152525982</v>
      </c>
      <c r="O19" s="375" t="n">
        <f aca="false">(SUM(O10:O17)-SUM(O25:O35))*Assumptions!$B$34/4</f>
        <v>577.029429476713</v>
      </c>
      <c r="P19" s="375" t="n">
        <f aca="false">(SUM(P10:P17)-SUM(P25:P35))*Assumptions!$B$34/4</f>
        <v>583.852522142819</v>
      </c>
      <c r="Q19" s="375" t="n">
        <f aca="false">(SUM(Q10:Q17)-SUM(Q25:Q35))*Assumptions!$B$34/4</f>
        <v>590.069555827666</v>
      </c>
      <c r="R19" s="375" t="n">
        <f aca="false">(SUM(R10:R17)-SUM(R25:R35))*Assumptions!$B$34/4</f>
        <v>595.929782467911</v>
      </c>
      <c r="S19" s="375" t="n">
        <f aca="false">(SUM(S10:S17)-SUM(S25:S35))*Assumptions!$B$34/4</f>
        <v>602.204156560347</v>
      </c>
      <c r="T19" s="375" t="n">
        <f aca="false">(SUM(T10:T17)-SUM(T25:T35))*Assumptions!$B$34/4</f>
        <v>607.75023978527</v>
      </c>
      <c r="U19" s="375" t="n">
        <f aca="false">(SUM(U10:U17)-SUM(U25:U35))*Assumptions!$B$34/4</f>
        <v>613.029769431914</v>
      </c>
      <c r="V19" s="375" t="n">
        <f aca="false">(SUM(V10:V17)-SUM(V25:V35))*Assumptions!$B$34/4</f>
        <v>618.259984178311</v>
      </c>
      <c r="W19" s="375" t="n">
        <f aca="false">(SUM(W10:W17)-SUM(W25:W35))*Assumptions!$B$34/4</f>
        <v>623.876935966652</v>
      </c>
      <c r="X19" s="375" t="n">
        <f aca="false">(SUM(X10:X17)-SUM(X25:X35))*Assumptions!$B$34/4</f>
        <v>628.933128898108</v>
      </c>
      <c r="Y19" s="375" t="n">
        <f aca="false">(SUM(Y10:Y17)-SUM(Y25:Y35))*Assumptions!$B$34/4</f>
        <v>618.803107031971</v>
      </c>
      <c r="Z19" s="375" t="n">
        <f aca="false">(SUM(Z10:Z17)-SUM(Z25:Z35))*Assumptions!$B$34/4</f>
        <v>621.35694237747</v>
      </c>
      <c r="AA19" s="651"/>
      <c r="AB19" s="651"/>
      <c r="AC19" s="651"/>
    </row>
    <row r="20" customFormat="false" ht="12.75" hidden="false" customHeight="false" outlineLevel="0" collapsed="false">
      <c r="A20" s="327" t="s">
        <v>280</v>
      </c>
      <c r="B20" s="321"/>
      <c r="C20" s="321"/>
      <c r="D20" s="321"/>
      <c r="E20" s="115" t="n">
        <f aca="false">SUM(E10:E19)</f>
        <v>0</v>
      </c>
      <c r="F20" s="115" t="n">
        <f aca="false">SUM(F10:F19)</f>
        <v>19717.3208714021</v>
      </c>
      <c r="G20" s="115" t="n">
        <f aca="false">SUM(G10:G19)</f>
        <v>32084.4363116324</v>
      </c>
      <c r="H20" s="115" t="n">
        <f aca="false">SUM(H10:H19)</f>
        <v>32160.8431541406</v>
      </c>
      <c r="I20" s="115" t="n">
        <f aca="false">SUM(I10:I19)</f>
        <v>50177.8291744076</v>
      </c>
      <c r="J20" s="115" t="n">
        <f aca="false">SUM(J10:J19)</f>
        <v>50909.8121568721</v>
      </c>
      <c r="K20" s="115" t="n">
        <f aca="false">SUM(K10:K19)</f>
        <v>52437.4579152137</v>
      </c>
      <c r="L20" s="115" t="n">
        <f aca="false">SUM(L10:L19)</f>
        <v>52369.8628076401</v>
      </c>
      <c r="M20" s="115" t="n">
        <f aca="false">SUM(M10:M19)</f>
        <v>53095.8965575957</v>
      </c>
      <c r="N20" s="115" t="n">
        <f aca="false">SUM(N10:N19)</f>
        <v>53818.3651423569</v>
      </c>
      <c r="O20" s="115" t="n">
        <f aca="false">SUM(O10:O19)</f>
        <v>54536.9264042939</v>
      </c>
      <c r="P20" s="115" t="n">
        <f aca="false">SUM(P10:P19)</f>
        <v>55250.2591739259</v>
      </c>
      <c r="Q20" s="115" t="n">
        <f aca="false">SUM(Q10:Q19)</f>
        <v>55956.8266536884</v>
      </c>
      <c r="R20" s="115" t="n">
        <f aca="false">SUM(R10:R19)</f>
        <v>56655.8726829556</v>
      </c>
      <c r="S20" s="115" t="n">
        <f aca="false">SUM(S10:S19)</f>
        <v>57347.1080222157</v>
      </c>
      <c r="T20" s="115" t="n">
        <f aca="false">SUM(T10:T19)</f>
        <v>58028.2728756791</v>
      </c>
      <c r="U20" s="115" t="n">
        <f aca="false">SUM(U10:U19)</f>
        <v>58698.6519840707</v>
      </c>
      <c r="V20" s="115" t="n">
        <f aca="false">SUM(V10:V19)</f>
        <v>59357.2233776856</v>
      </c>
      <c r="W20" s="115" t="n">
        <f aca="false">SUM(W10:W19)</f>
        <v>60003.1190148526</v>
      </c>
      <c r="X20" s="115" t="n">
        <f aca="false">SUM(X10:X19)</f>
        <v>60634.0196430024</v>
      </c>
      <c r="Y20" s="115" t="n">
        <f aca="false">SUM(Y10:Y19)</f>
        <v>60044.1426432166</v>
      </c>
      <c r="Z20" s="115" t="n">
        <f aca="false">SUM(Z10:Z19)</f>
        <v>60603.5805027417</v>
      </c>
      <c r="AA20" s="651"/>
      <c r="AB20" s="651"/>
      <c r="AC20" s="651"/>
    </row>
    <row r="21" customFormat="false" ht="12.75" hidden="false" customHeight="false" outlineLevel="0" collapsed="false">
      <c r="A21" s="323"/>
      <c r="B21" s="321"/>
      <c r="C21" s="321"/>
      <c r="D21" s="321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651"/>
      <c r="AB21" s="651"/>
      <c r="AC21" s="651"/>
    </row>
    <row r="22" customFormat="false" ht="12" hidden="false" customHeight="true" outlineLevel="0" collapsed="false">
      <c r="A22" s="331"/>
      <c r="B22" s="331"/>
      <c r="C22" s="331"/>
      <c r="D22" s="331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653"/>
      <c r="AB22" s="653"/>
      <c r="AC22" s="653"/>
      <c r="AD22" s="653"/>
      <c r="AE22" s="653"/>
      <c r="AF22" s="653"/>
      <c r="AG22" s="653"/>
      <c r="AH22" s="653"/>
      <c r="AI22" s="653"/>
      <c r="AJ22" s="653"/>
      <c r="AK22" s="653"/>
      <c r="AL22" s="653"/>
      <c r="AM22" s="653"/>
      <c r="AN22" s="653"/>
      <c r="AO22" s="653"/>
      <c r="AP22" s="653"/>
      <c r="AQ22" s="653"/>
      <c r="AR22" s="653"/>
      <c r="AS22" s="653"/>
      <c r="AT22" s="653"/>
      <c r="AU22" s="653"/>
      <c r="AV22" s="653"/>
      <c r="AW22" s="653"/>
      <c r="AX22" s="653"/>
      <c r="AY22" s="653"/>
      <c r="AZ22" s="653"/>
      <c r="BA22" s="653"/>
      <c r="BB22" s="653"/>
      <c r="BC22" s="653"/>
      <c r="BD22" s="653"/>
      <c r="BE22" s="653"/>
      <c r="BF22" s="653"/>
      <c r="BG22" s="653"/>
      <c r="BH22" s="653"/>
      <c r="BI22" s="653"/>
      <c r="BJ22" s="653"/>
      <c r="BK22" s="653"/>
      <c r="BL22" s="653"/>
      <c r="BM22" s="653"/>
      <c r="BN22" s="653"/>
      <c r="BO22" s="653"/>
      <c r="BP22" s="653"/>
      <c r="BQ22" s="653"/>
      <c r="BR22" s="653"/>
      <c r="BS22" s="653"/>
      <c r="BT22" s="653"/>
      <c r="BU22" s="653"/>
      <c r="BV22" s="653"/>
      <c r="BW22" s="653"/>
      <c r="BX22" s="653"/>
      <c r="BY22" s="653"/>
      <c r="BZ22" s="653"/>
      <c r="CA22" s="653"/>
      <c r="CB22" s="653"/>
      <c r="CC22" s="653"/>
      <c r="CD22" s="653"/>
      <c r="CE22" s="653"/>
      <c r="CF22" s="653"/>
      <c r="CG22" s="653"/>
      <c r="CH22" s="653"/>
      <c r="CI22" s="653"/>
      <c r="CJ22" s="653"/>
      <c r="CK22" s="653"/>
      <c r="CL22" s="653"/>
      <c r="CM22" s="653"/>
      <c r="CN22" s="653"/>
      <c r="CO22" s="653"/>
      <c r="CP22" s="653"/>
      <c r="CQ22" s="653"/>
      <c r="CR22" s="653"/>
      <c r="CS22" s="653"/>
      <c r="CT22" s="653"/>
      <c r="CU22" s="653"/>
      <c r="CV22" s="653"/>
      <c r="CW22" s="653"/>
      <c r="CX22" s="653"/>
      <c r="CY22" s="653"/>
      <c r="CZ22" s="653"/>
      <c r="DA22" s="653"/>
      <c r="DB22" s="653"/>
      <c r="DC22" s="653"/>
      <c r="DD22" s="653"/>
      <c r="DE22" s="653"/>
      <c r="DF22" s="653"/>
      <c r="DG22" s="653"/>
      <c r="DH22" s="653"/>
      <c r="DI22" s="653"/>
      <c r="DJ22" s="653"/>
      <c r="DK22" s="653"/>
      <c r="DL22" s="653"/>
      <c r="DM22" s="653"/>
      <c r="DN22" s="653"/>
      <c r="DO22" s="653"/>
      <c r="DP22" s="653"/>
      <c r="DQ22" s="653"/>
      <c r="DR22" s="653"/>
      <c r="DS22" s="653"/>
      <c r="DT22" s="653"/>
      <c r="DU22" s="653"/>
      <c r="DV22" s="653"/>
      <c r="DW22" s="653"/>
      <c r="DX22" s="653"/>
      <c r="DY22" s="653"/>
      <c r="DZ22" s="653"/>
      <c r="EA22" s="653"/>
      <c r="EB22" s="653"/>
      <c r="EC22" s="653"/>
      <c r="ED22" s="653"/>
      <c r="EE22" s="653"/>
      <c r="EF22" s="653"/>
      <c r="EG22" s="653"/>
      <c r="EH22" s="653"/>
      <c r="EI22" s="653"/>
      <c r="EJ22" s="653"/>
      <c r="EK22" s="653"/>
      <c r="EL22" s="653"/>
      <c r="EM22" s="653"/>
      <c r="EN22" s="653"/>
      <c r="EO22" s="653"/>
      <c r="EP22" s="653"/>
      <c r="EQ22" s="653"/>
      <c r="ER22" s="653"/>
      <c r="ES22" s="653"/>
      <c r="ET22" s="653"/>
      <c r="EU22" s="653"/>
      <c r="EV22" s="653"/>
      <c r="EW22" s="653"/>
      <c r="EX22" s="653"/>
      <c r="EY22" s="653"/>
      <c r="EZ22" s="653"/>
      <c r="FA22" s="653"/>
      <c r="FB22" s="653"/>
      <c r="FC22" s="653"/>
      <c r="FD22" s="653"/>
      <c r="FE22" s="653"/>
      <c r="FF22" s="653"/>
      <c r="FG22" s="653"/>
      <c r="FH22" s="653"/>
      <c r="FI22" s="653"/>
      <c r="FJ22" s="653"/>
      <c r="FK22" s="653"/>
      <c r="FL22" s="653"/>
      <c r="FM22" s="653"/>
      <c r="FN22" s="653"/>
      <c r="FO22" s="653"/>
      <c r="FP22" s="653"/>
      <c r="FQ22" s="653"/>
      <c r="FR22" s="653"/>
      <c r="FS22" s="653"/>
      <c r="FT22" s="653"/>
      <c r="FU22" s="653"/>
      <c r="FV22" s="653"/>
      <c r="FW22" s="653"/>
      <c r="FX22" s="653"/>
      <c r="FY22" s="653"/>
      <c r="FZ22" s="653"/>
      <c r="GA22" s="653"/>
      <c r="GB22" s="653"/>
      <c r="GC22" s="653"/>
      <c r="GD22" s="653"/>
      <c r="GE22" s="653"/>
      <c r="GF22" s="653"/>
      <c r="GG22" s="653"/>
      <c r="GH22" s="653"/>
      <c r="GI22" s="653"/>
      <c r="GJ22" s="653"/>
      <c r="GK22" s="653"/>
      <c r="GL22" s="653"/>
      <c r="GM22" s="653"/>
      <c r="GN22" s="653"/>
      <c r="GO22" s="653"/>
      <c r="GP22" s="653"/>
      <c r="GQ22" s="653"/>
      <c r="GR22" s="653"/>
      <c r="GS22" s="653"/>
      <c r="GT22" s="653"/>
      <c r="GU22" s="653"/>
      <c r="GV22" s="653"/>
      <c r="GW22" s="653"/>
      <c r="GX22" s="653"/>
      <c r="GY22" s="653"/>
      <c r="GZ22" s="653"/>
      <c r="HA22" s="653"/>
      <c r="HB22" s="653"/>
      <c r="HC22" s="653"/>
      <c r="HD22" s="653"/>
      <c r="HE22" s="653"/>
      <c r="HF22" s="653"/>
      <c r="HG22" s="653"/>
      <c r="HH22" s="653"/>
      <c r="HI22" s="653"/>
      <c r="HJ22" s="653"/>
      <c r="HK22" s="653"/>
      <c r="HL22" s="653"/>
      <c r="HM22" s="653"/>
      <c r="HN22" s="653"/>
      <c r="HO22" s="653"/>
      <c r="HP22" s="653"/>
      <c r="HQ22" s="653"/>
      <c r="HR22" s="653"/>
      <c r="HS22" s="653"/>
      <c r="HT22" s="653"/>
      <c r="HU22" s="653"/>
      <c r="HV22" s="653"/>
      <c r="HW22" s="653"/>
      <c r="HX22" s="653"/>
      <c r="HY22" s="653"/>
      <c r="HZ22" s="653"/>
      <c r="IA22" s="653"/>
      <c r="IB22" s="653"/>
      <c r="IC22" s="653"/>
      <c r="ID22" s="653"/>
      <c r="IE22" s="653"/>
      <c r="IF22" s="653"/>
      <c r="IG22" s="653"/>
      <c r="IH22" s="653"/>
      <c r="II22" s="653"/>
      <c r="IJ22" s="653"/>
      <c r="IK22" s="653"/>
      <c r="IL22" s="653"/>
      <c r="IM22" s="653"/>
      <c r="IN22" s="653"/>
      <c r="IO22" s="653"/>
      <c r="IP22" s="653"/>
      <c r="IQ22" s="653"/>
      <c r="IR22" s="653"/>
      <c r="IS22" s="653"/>
      <c r="IT22" s="653"/>
      <c r="IU22" s="653"/>
      <c r="IV22" s="653"/>
      <c r="IW22" s="653"/>
    </row>
    <row r="23" customFormat="false" ht="12.75" hidden="false" customHeight="false" outlineLevel="0" collapsed="false">
      <c r="A23" s="323" t="s">
        <v>281</v>
      </c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</row>
    <row r="24" customFormat="false" ht="12.75" hidden="false" customHeight="false" outlineLevel="0" collapsed="false">
      <c r="A24" s="327" t="s">
        <v>282</v>
      </c>
      <c r="E24" s="115" t="n">
        <v>0</v>
      </c>
      <c r="F24" s="115" t="n">
        <v>0</v>
      </c>
      <c r="G24" s="115" t="n">
        <v>0</v>
      </c>
      <c r="H24" s="417" t="n">
        <v>0</v>
      </c>
      <c r="I24" s="115" t="n">
        <v>0</v>
      </c>
      <c r="J24" s="115" t="n">
        <v>0</v>
      </c>
      <c r="K24" s="115" t="n">
        <v>0</v>
      </c>
      <c r="L24" s="115" t="n">
        <v>0</v>
      </c>
      <c r="M24" s="115" t="n">
        <v>0</v>
      </c>
      <c r="N24" s="115" t="n">
        <v>0</v>
      </c>
      <c r="O24" s="115" t="n">
        <v>0</v>
      </c>
      <c r="P24" s="115" t="n">
        <v>0</v>
      </c>
      <c r="Q24" s="115" t="n">
        <v>0</v>
      </c>
      <c r="R24" s="115" t="n">
        <v>0</v>
      </c>
      <c r="S24" s="115" t="n">
        <v>0</v>
      </c>
      <c r="T24" s="115" t="n">
        <v>0</v>
      </c>
      <c r="U24" s="115" t="n">
        <v>0</v>
      </c>
      <c r="V24" s="115" t="n">
        <v>0</v>
      </c>
      <c r="W24" s="115" t="n">
        <v>0</v>
      </c>
      <c r="X24" s="115" t="n">
        <v>0</v>
      </c>
      <c r="Y24" s="115" t="n">
        <v>0</v>
      </c>
      <c r="Z24" s="115" t="n">
        <v>0</v>
      </c>
    </row>
    <row r="25" customFormat="false" ht="12.75" hidden="false" customHeight="false" outlineLevel="0" collapsed="false">
      <c r="A25" s="327" t="s">
        <v>217</v>
      </c>
      <c r="E25" s="115" t="n">
        <v>0</v>
      </c>
      <c r="F25" s="115" t="n">
        <f aca="false">Assumptions!$R56*Assumptions!R53/12*(1+Assumptions!$R$52)</f>
        <v>599.030833333333</v>
      </c>
      <c r="G25" s="115" t="n">
        <f aca="false">Assumptions!$R56*(1+Assumptions!$R$52)^2</f>
        <v>1057.7173</v>
      </c>
      <c r="H25" s="417" t="n">
        <f aca="false">G25*(1+Assumptions!$R$52)</f>
        <v>1089.448819</v>
      </c>
      <c r="I25" s="417" t="n">
        <f aca="false">H25*(1+Assumptions!$R$52)</f>
        <v>1122.13228357</v>
      </c>
      <c r="J25" s="417" t="n">
        <f aca="false">I25*(1+Assumptions!$R$52)</f>
        <v>1155.7962520771</v>
      </c>
      <c r="K25" s="417" t="n">
        <f aca="false">J25*(1+Assumptions!$R$52)</f>
        <v>1190.47013963941</v>
      </c>
      <c r="L25" s="417" t="n">
        <f aca="false">K25*(1+Assumptions!$R$52)</f>
        <v>1226.1842438286</v>
      </c>
      <c r="M25" s="417" t="n">
        <f aca="false">L25*(1+Assumptions!$R$52)</f>
        <v>1262.96977114345</v>
      </c>
      <c r="N25" s="417" t="n">
        <f aca="false">M25*(1+Assumptions!$R$52)</f>
        <v>1300.85886427776</v>
      </c>
      <c r="O25" s="417" t="n">
        <f aca="false">N25*(1+Assumptions!$R$52)</f>
        <v>1339.88463020609</v>
      </c>
      <c r="P25" s="417" t="n">
        <f aca="false">O25*(1+Assumptions!$R$52)</f>
        <v>1380.08116911227</v>
      </c>
      <c r="Q25" s="417" t="n">
        <f aca="false">P25*(1+Assumptions!$R$52)</f>
        <v>1421.48360418564</v>
      </c>
      <c r="R25" s="417" t="n">
        <f aca="false">Q25*(1+Assumptions!$R$52)</f>
        <v>1464.12811231121</v>
      </c>
      <c r="S25" s="417" t="n">
        <f aca="false">R25*(1+Assumptions!$R$52)</f>
        <v>1508.05195568055</v>
      </c>
      <c r="T25" s="417" t="n">
        <f aca="false">S25*(1+Assumptions!$R$52)</f>
        <v>1553.29351435096</v>
      </c>
      <c r="U25" s="417" t="n">
        <f aca="false">T25*(1+Assumptions!$R$52)</f>
        <v>1599.89231978149</v>
      </c>
      <c r="V25" s="417" t="n">
        <f aca="false">U25*(1+Assumptions!$R$52)</f>
        <v>1647.88908937494</v>
      </c>
      <c r="W25" s="417" t="n">
        <f aca="false">V25*(1+Assumptions!$R$52)</f>
        <v>1697.32576205618</v>
      </c>
      <c r="X25" s="417" t="n">
        <f aca="false">W25*(1+Assumptions!$R$52)</f>
        <v>1748.24553491787</v>
      </c>
      <c r="Y25" s="417" t="n">
        <f aca="false">X25*(1+Assumptions!$R$52)</f>
        <v>1800.69290096541</v>
      </c>
      <c r="Z25" s="417" t="n">
        <f aca="false">Y25*(1+Assumptions!$R$52)</f>
        <v>1854.71368799437</v>
      </c>
    </row>
    <row r="26" customFormat="false" ht="12.75" hidden="false" customHeight="false" outlineLevel="0" collapsed="false">
      <c r="A26" s="327" t="s">
        <v>283</v>
      </c>
      <c r="E26" s="115" t="n">
        <v>0</v>
      </c>
      <c r="F26" s="115" t="n">
        <f aca="false">Assumptions!$R59*(1+Assumptions!$R$52)</f>
        <v>648.3644</v>
      </c>
      <c r="G26" s="115" t="n">
        <f aca="false">F26*(1+Assumptions!$R$52)</f>
        <v>667.815332</v>
      </c>
      <c r="H26" s="417" t="n">
        <f aca="false">G26*(1+Assumptions!$R$52)</f>
        <v>687.84979196</v>
      </c>
      <c r="I26" s="115" t="n">
        <f aca="false">Assumptions!$R$60*(1+Assumptions!$R$52)^(I5-$E$5)</f>
        <v>760.435435402872</v>
      </c>
      <c r="J26" s="115" t="n">
        <f aca="false">Assumptions!$R$60*(1+Assumptions!$R$52)^(J5-$E$5)</f>
        <v>783.248498464958</v>
      </c>
      <c r="K26" s="417" t="n">
        <f aca="false">J26*(1+Assumptions!$R$52)</f>
        <v>806.745953418907</v>
      </c>
      <c r="L26" s="417" t="n">
        <f aca="false">K26*(1+Assumptions!$R$52)</f>
        <v>830.948332021474</v>
      </c>
      <c r="M26" s="417" t="n">
        <f aca="false">L26*(1+Assumptions!$R$52)</f>
        <v>855.876781982118</v>
      </c>
      <c r="N26" s="417" t="n">
        <f aca="false">M26*(1+Assumptions!$R$52)</f>
        <v>881.553085441582</v>
      </c>
      <c r="O26" s="417" t="n">
        <f aca="false">N26*(1+Assumptions!$R$52)</f>
        <v>907.999678004829</v>
      </c>
      <c r="P26" s="417" t="n">
        <f aca="false">O26*(1+Assumptions!$R$52)</f>
        <v>935.239668344974</v>
      </c>
      <c r="Q26" s="417" t="n">
        <f aca="false">P26*(1+Assumptions!$R$52)</f>
        <v>963.296858395323</v>
      </c>
      <c r="R26" s="417" t="n">
        <f aca="false">Q26*(1+Assumptions!$R$52)</f>
        <v>992.195764147183</v>
      </c>
      <c r="S26" s="417" t="n">
        <f aca="false">R26*(1+Assumptions!$R$52)</f>
        <v>1021.9616370716</v>
      </c>
      <c r="T26" s="417" t="n">
        <f aca="false">S26*(1+Assumptions!$R$52)</f>
        <v>1052.62048618375</v>
      </c>
      <c r="U26" s="417" t="n">
        <f aca="false">T26*(1+Assumptions!$R$52)</f>
        <v>1084.19910076926</v>
      </c>
      <c r="V26" s="417" t="n">
        <f aca="false">U26*(1+Assumptions!$R$52)</f>
        <v>1116.72507379234</v>
      </c>
      <c r="W26" s="417" t="n">
        <f aca="false">V26*(1+Assumptions!$R$52)</f>
        <v>1150.22682600611</v>
      </c>
      <c r="X26" s="417" t="n">
        <f aca="false">W26*(1+Assumptions!$R$52)</f>
        <v>1184.73363078629</v>
      </c>
      <c r="Y26" s="417" t="n">
        <f aca="false">X26*(1+Assumptions!$R$52)</f>
        <v>1220.27563970988</v>
      </c>
      <c r="Z26" s="417" t="n">
        <f aca="false">Y26*(1+Assumptions!$R$52)</f>
        <v>1256.88390890118</v>
      </c>
    </row>
    <row r="27" customFormat="false" ht="12.75" hidden="false" customHeight="false" outlineLevel="0" collapsed="false">
      <c r="A27" s="327" t="s">
        <v>222</v>
      </c>
      <c r="E27" s="115" t="n">
        <v>0</v>
      </c>
      <c r="F27" s="115" t="n">
        <f aca="false">VLOOKUP(Assumptions!R19,'EGC Start Charge Matrix'!$U$10:$AM$35,19)*(1+Assumptions!$R$52)</f>
        <v>1853.0112</v>
      </c>
      <c r="G27" s="115" t="n">
        <f aca="false">F27*(1+Assumptions!$R$52)</f>
        <v>1908.601536</v>
      </c>
      <c r="H27" s="115" t="n">
        <f aca="false">G27*(1+Assumptions!$R$52)</f>
        <v>1965.85958208</v>
      </c>
      <c r="I27" s="115" t="n">
        <f aca="false">H27*(1+Assumptions!$R$52)</f>
        <v>2024.8353695424</v>
      </c>
      <c r="J27" s="115" t="n">
        <f aca="false">I27*(1+Assumptions!$R$52)</f>
        <v>2085.58043062867</v>
      </c>
      <c r="K27" s="115" t="n">
        <f aca="false">J27*(1+Assumptions!$R$52)</f>
        <v>2148.14784354753</v>
      </c>
      <c r="L27" s="115" t="n">
        <f aca="false">K27*(1+Assumptions!$R$52)</f>
        <v>2212.59227885396</v>
      </c>
      <c r="M27" s="115" t="n">
        <f aca="false">L27*(1+Assumptions!$R$52)</f>
        <v>2278.97004721958</v>
      </c>
      <c r="N27" s="115" t="n">
        <f aca="false">M27*(1+Assumptions!$R$52)</f>
        <v>2347.33914863616</v>
      </c>
      <c r="O27" s="115" t="n">
        <f aca="false">N27*(1+Assumptions!$R$52)</f>
        <v>2417.75932309525</v>
      </c>
      <c r="P27" s="115" t="n">
        <f aca="false">O27*(1+Assumptions!$R$52)</f>
        <v>2490.29210278811</v>
      </c>
      <c r="Q27" s="115" t="n">
        <f aca="false">P27*(1+Assumptions!$R$52)</f>
        <v>2565.00086587175</v>
      </c>
      <c r="R27" s="115" t="n">
        <f aca="false">Q27*(1+Assumptions!$R$52)</f>
        <v>2641.9508918479</v>
      </c>
      <c r="S27" s="115" t="n">
        <f aca="false">R27*(1+Assumptions!$R$52)</f>
        <v>2721.20941860334</v>
      </c>
      <c r="T27" s="115" t="n">
        <f aca="false">S27*(1+Assumptions!$R$52)</f>
        <v>2802.84570116144</v>
      </c>
      <c r="U27" s="115" t="n">
        <f aca="false">T27*(1+Assumptions!$R$52)</f>
        <v>2886.93107219628</v>
      </c>
      <c r="V27" s="115" t="n">
        <f aca="false">U27*(1+Assumptions!$R$52)</f>
        <v>2973.53900436217</v>
      </c>
      <c r="W27" s="115" t="n">
        <f aca="false">V27*(1+Assumptions!$R$52)</f>
        <v>3062.74517449304</v>
      </c>
      <c r="X27" s="115" t="n">
        <f aca="false">W27*(1+Assumptions!$R$52)</f>
        <v>3154.62752972783</v>
      </c>
      <c r="Y27" s="115" t="n">
        <f aca="false">X27*(1+Assumptions!$R$52)</f>
        <v>3249.26635561966</v>
      </c>
      <c r="Z27" s="115" t="n">
        <f aca="false">Y27*(1+Assumptions!$R$52)</f>
        <v>3346.74434628825</v>
      </c>
    </row>
    <row r="28" customFormat="false" ht="12.75" hidden="false" customHeight="false" outlineLevel="0" collapsed="false">
      <c r="A28" s="327" t="s">
        <v>224</v>
      </c>
      <c r="E28" s="115" t="n">
        <v>0</v>
      </c>
      <c r="F28" s="115" t="n">
        <f aca="false">Assumptions!$R62*Assumptions!$Q$53*(1+Assumptions!$R$52)/12</f>
        <v>149.865</v>
      </c>
      <c r="G28" s="115" t="n">
        <f aca="false">Assumptions!$R62*(1+Assumptions!$R$52)^2</f>
        <v>308.7219</v>
      </c>
      <c r="H28" s="417" t="n">
        <f aca="false">G28*(1+Assumptions!$R$52)</f>
        <v>317.983557</v>
      </c>
      <c r="I28" s="417" t="n">
        <f aca="false">H28*(1+Assumptions!$R$52)</f>
        <v>327.52306371</v>
      </c>
      <c r="J28" s="417" t="n">
        <f aca="false">I28*(1+Assumptions!$R$52)</f>
        <v>337.3487556213</v>
      </c>
      <c r="K28" s="417" t="n">
        <f aca="false">J28*(1+Assumptions!$R$52)</f>
        <v>347.469218289939</v>
      </c>
      <c r="L28" s="417" t="n">
        <f aca="false">K28*(1+Assumptions!$R$52)</f>
        <v>357.893294838637</v>
      </c>
      <c r="M28" s="417" t="n">
        <f aca="false">L28*(1+Assumptions!$R$52)</f>
        <v>368.630093683796</v>
      </c>
      <c r="N28" s="417" t="n">
        <f aca="false">M28*(1+Assumptions!$R$52)</f>
        <v>379.68899649431</v>
      </c>
      <c r="O28" s="417" t="n">
        <f aca="false">N28*(1+Assumptions!$R$52)</f>
        <v>391.07966638914</v>
      </c>
      <c r="P28" s="417" t="n">
        <f aca="false">O28*(1+Assumptions!$R$52)</f>
        <v>402.812056380814</v>
      </c>
      <c r="Q28" s="417" t="n">
        <f aca="false">P28*(1+Assumptions!$R$52)</f>
        <v>414.896418072238</v>
      </c>
      <c r="R28" s="417" t="n">
        <f aca="false">Q28*(1+Assumptions!$R$52)</f>
        <v>427.343310614405</v>
      </c>
      <c r="S28" s="417" t="n">
        <f aca="false">R28*(1+Assumptions!$R$52)</f>
        <v>440.163609932837</v>
      </c>
      <c r="T28" s="417" t="n">
        <f aca="false">S28*(1+Assumptions!$R$52)</f>
        <v>453.368518230823</v>
      </c>
      <c r="U28" s="417" t="n">
        <f aca="false">T28*(1+Assumptions!$R$52)</f>
        <v>466.969573777747</v>
      </c>
      <c r="V28" s="417" t="n">
        <f aca="false">U28*(1+Assumptions!$R$52)</f>
        <v>480.97866099108</v>
      </c>
      <c r="W28" s="417" t="n">
        <f aca="false">V28*(1+Assumptions!$R$52)</f>
        <v>495.408020820812</v>
      </c>
      <c r="X28" s="417" t="n">
        <f aca="false">W28*(1+Assumptions!$R$52)</f>
        <v>510.270261445436</v>
      </c>
      <c r="Y28" s="417" t="n">
        <f aca="false">X28*(1+Assumptions!$R$52)</f>
        <v>525.5783692888</v>
      </c>
      <c r="Z28" s="417" t="n">
        <f aca="false">Y28*(1+Assumptions!$R$52)</f>
        <v>541.345720367464</v>
      </c>
    </row>
    <row r="29" customFormat="false" ht="12.75" hidden="false" customHeight="false" outlineLevel="0" collapsed="false">
      <c r="A29" s="327" t="s">
        <v>226</v>
      </c>
      <c r="E29" s="115" t="n">
        <v>0</v>
      </c>
      <c r="F29" s="115" t="n">
        <f aca="false">Assumptions!$R63*Assumptions!R53/12*(1+Assumptions!$R$52)</f>
        <v>295.009166666667</v>
      </c>
      <c r="G29" s="115" t="n">
        <f aca="false">(Assumptions!$R63)*(1+Assumptions!$R$52)^2</f>
        <v>520.9019</v>
      </c>
      <c r="H29" s="417" t="n">
        <f aca="false">G29*(1+Assumptions!$R$52)</f>
        <v>536.528957</v>
      </c>
      <c r="I29" s="417" t="n">
        <f aca="false">H29*(1+Assumptions!$R$52)</f>
        <v>552.62482571</v>
      </c>
      <c r="J29" s="417" t="n">
        <f aca="false">I29*(1+Assumptions!$R$52)</f>
        <v>569.2035704813</v>
      </c>
      <c r="K29" s="417" t="n">
        <f aca="false">J29*(1+Assumptions!$R$52)</f>
        <v>586.279677595739</v>
      </c>
      <c r="L29" s="417" t="n">
        <f aca="false">K29*(1+Assumptions!$R$52)</f>
        <v>603.868067923611</v>
      </c>
      <c r="M29" s="417" t="n">
        <f aca="false">L29*(1+Assumptions!$R$52)</f>
        <v>621.984109961319</v>
      </c>
      <c r="N29" s="417" t="n">
        <f aca="false">M29*(1+Assumptions!$R$52)</f>
        <v>640.643633260159</v>
      </c>
      <c r="O29" s="417" t="n">
        <f aca="false">N29*(1+Assumptions!$R$52)</f>
        <v>659.862942257964</v>
      </c>
      <c r="P29" s="417" t="n">
        <f aca="false">O29*(1+Assumptions!$R$52)</f>
        <v>679.658830525703</v>
      </c>
      <c r="Q29" s="417" t="n">
        <f aca="false">P29*(1+Assumptions!$R$52)</f>
        <v>700.048595441474</v>
      </c>
      <c r="R29" s="417" t="n">
        <f aca="false">Q29*(1+Assumptions!$R$52)</f>
        <v>721.050053304718</v>
      </c>
      <c r="S29" s="417" t="n">
        <f aca="false">R29*(1+Assumptions!$R$52)</f>
        <v>742.68155490386</v>
      </c>
      <c r="T29" s="417" t="n">
        <f aca="false">S29*(1+Assumptions!$R$52)</f>
        <v>764.962001550976</v>
      </c>
      <c r="U29" s="417" t="n">
        <f aca="false">T29*(1+Assumptions!$R$52)</f>
        <v>787.910861597505</v>
      </c>
      <c r="V29" s="417" t="n">
        <f aca="false">U29*(1+Assumptions!$R$52)</f>
        <v>811.54818744543</v>
      </c>
      <c r="W29" s="417" t="n">
        <f aca="false">V29*(1+Assumptions!$R$52)</f>
        <v>835.894633068793</v>
      </c>
      <c r="X29" s="417" t="n">
        <f aca="false">W29*(1+Assumptions!$R$52)</f>
        <v>860.971472060857</v>
      </c>
      <c r="Y29" s="417" t="n">
        <f aca="false">X29*(1+Assumptions!$R$52)</f>
        <v>886.800616222682</v>
      </c>
      <c r="Z29" s="417" t="n">
        <f aca="false">Y29*(1+Assumptions!$R$52)</f>
        <v>913.404634709363</v>
      </c>
    </row>
    <row r="30" customFormat="false" ht="12.75" hidden="false" customHeight="false" outlineLevel="0" collapsed="false">
      <c r="A30" s="327" t="s">
        <v>454</v>
      </c>
      <c r="E30" s="115" t="n">
        <v>0</v>
      </c>
      <c r="F30" s="115" t="n">
        <f aca="false">+Assumptions!R64*(1+Assumptions!$R$52)</f>
        <v>66.332</v>
      </c>
      <c r="G30" s="115" t="n">
        <f aca="false">(Assumptions!$R64)*(1+Assumptions!$R$52)^2</f>
        <v>68.32196</v>
      </c>
      <c r="H30" s="115" t="n">
        <f aca="false">G30*(1+Assumptions!$R$52)</f>
        <v>70.3716188</v>
      </c>
      <c r="I30" s="115" t="n">
        <f aca="false">H30*(1+Assumptions!$R$52)</f>
        <v>72.482767364</v>
      </c>
      <c r="J30" s="115" t="n">
        <f aca="false">I30*(1+Assumptions!$R$52)</f>
        <v>74.65725038492</v>
      </c>
      <c r="K30" s="115" t="n">
        <f aca="false">J30*(1+Assumptions!$R$52)</f>
        <v>76.8969678964676</v>
      </c>
      <c r="L30" s="115" t="n">
        <f aca="false">K30*(1+Assumptions!$R$52)</f>
        <v>79.2038769333616</v>
      </c>
      <c r="M30" s="115" t="n">
        <f aca="false">L30*(1+Assumptions!$R$52)</f>
        <v>81.5799932413625</v>
      </c>
      <c r="N30" s="115" t="n">
        <f aca="false">M30*(1+Assumptions!$R$52)</f>
        <v>84.0273930386034</v>
      </c>
      <c r="O30" s="115" t="n">
        <f aca="false">N30*(1+Assumptions!$R$52)</f>
        <v>86.5482148297615</v>
      </c>
      <c r="P30" s="115" t="n">
        <f aca="false">O30*(1+Assumptions!$R$52)</f>
        <v>89.1446612746543</v>
      </c>
      <c r="Q30" s="115" t="n">
        <f aca="false">P30*(1+Assumptions!$R$52)</f>
        <v>91.8190011128939</v>
      </c>
      <c r="R30" s="115" t="n">
        <f aca="false">Q30*(1+Assumptions!$R$52)</f>
        <v>94.5735711462808</v>
      </c>
      <c r="S30" s="115" t="n">
        <f aca="false">R30*(1+Assumptions!$R$52)</f>
        <v>97.4107782806692</v>
      </c>
      <c r="T30" s="115" t="n">
        <f aca="false">S30*(1+Assumptions!$R$52)</f>
        <v>100.333101629089</v>
      </c>
      <c r="U30" s="115" t="n">
        <f aca="false">T30*(1+Assumptions!$R$52)</f>
        <v>103.343094677962</v>
      </c>
      <c r="V30" s="115" t="n">
        <f aca="false">U30*(1+Assumptions!$R$52)</f>
        <v>106.443387518301</v>
      </c>
      <c r="W30" s="115" t="n">
        <f aca="false">V30*(1+Assumptions!$R$52)</f>
        <v>109.63668914385</v>
      </c>
      <c r="X30" s="115" t="n">
        <f aca="false">W30*(1+Assumptions!$R$52)</f>
        <v>112.925789818165</v>
      </c>
      <c r="Y30" s="115" t="n">
        <f aca="false">X30*(1+Assumptions!$R$52)</f>
        <v>116.31356351271</v>
      </c>
      <c r="Z30" s="115" t="n">
        <f aca="false">Y30*(1+Assumptions!$R$52)</f>
        <v>119.802970418092</v>
      </c>
    </row>
    <row r="31" customFormat="false" ht="12.75" hidden="false" customHeight="false" outlineLevel="0" collapsed="false">
      <c r="A31" s="327" t="s">
        <v>455</v>
      </c>
      <c r="E31" s="115" t="n">
        <v>0</v>
      </c>
      <c r="F31" s="115" t="n">
        <v>78.388647</v>
      </c>
      <c r="G31" s="115" t="n">
        <v>402.380869376825</v>
      </c>
      <c r="H31" s="417" t="n">
        <v>402.380869376825</v>
      </c>
      <c r="I31" s="115" t="n">
        <v>402.380869376825</v>
      </c>
      <c r="J31" s="115" t="n">
        <v>402.380869376825</v>
      </c>
      <c r="K31" s="115" t="n">
        <v>360.366256811606</v>
      </c>
      <c r="L31" s="115" t="n">
        <v>360.366256811606</v>
      </c>
      <c r="M31" s="115" t="n">
        <v>360.366256811606</v>
      </c>
      <c r="N31" s="115" t="n">
        <v>360.366256811606</v>
      </c>
      <c r="O31" s="115" t="n">
        <v>318.351644246387</v>
      </c>
      <c r="P31" s="115" t="n">
        <v>318.351644246387</v>
      </c>
      <c r="Q31" s="115" t="n">
        <v>318.351644246387</v>
      </c>
      <c r="R31" s="115" t="n">
        <v>318.351644246387</v>
      </c>
      <c r="S31" s="115" t="n">
        <v>276.337031681168</v>
      </c>
      <c r="T31" s="115" t="n">
        <v>276.337031681168</v>
      </c>
      <c r="U31" s="115" t="n">
        <v>276.337031681168</v>
      </c>
      <c r="V31" s="115" t="n">
        <v>276.337031681168</v>
      </c>
      <c r="W31" s="115" t="n">
        <v>234.322419115949</v>
      </c>
      <c r="X31" s="115" t="n">
        <v>234.322419115949</v>
      </c>
      <c r="Y31" s="115" t="n">
        <v>234.322419115949</v>
      </c>
      <c r="Z31" s="115" t="n">
        <v>301.597329898636</v>
      </c>
    </row>
    <row r="32" customFormat="false" ht="12.75" hidden="false" customHeight="false" outlineLevel="0" collapsed="false">
      <c r="A32" s="327" t="s">
        <v>456</v>
      </c>
      <c r="E32" s="115" t="n">
        <v>0</v>
      </c>
      <c r="F32" s="115" t="n">
        <f aca="false">Allocation!$I$13*IS!E31*7/12</f>
        <v>242.656620071022</v>
      </c>
      <c r="G32" s="115" t="n">
        <f aca="false">Allocation!$I$13*IS!F31</f>
        <v>415.982777264609</v>
      </c>
      <c r="H32" s="115" t="n">
        <f aca="false">Allocation!$I$13*IS!G31</f>
        <v>413.513433921029</v>
      </c>
      <c r="I32" s="115" t="n">
        <f aca="false">Allocation!$I$13*IS!H31</f>
        <v>402.801147837232</v>
      </c>
      <c r="J32" s="115" t="n">
        <f aca="false">Allocation!$I$13*IS!I31</f>
        <v>402.801147837232</v>
      </c>
      <c r="K32" s="115" t="n">
        <f aca="false">Allocation!$I$13*IS!J31</f>
        <v>402.801147837232</v>
      </c>
      <c r="L32" s="115" t="n">
        <f aca="false">Allocation!$I$13*IS!K31</f>
        <v>402.801147837232</v>
      </c>
      <c r="M32" s="115" t="n">
        <f aca="false">Allocation!$I$13*IS!L31</f>
        <v>402.801147837232</v>
      </c>
      <c r="N32" s="115" t="n">
        <f aca="false">Allocation!$I$13*IS!M31</f>
        <v>402.801147837232</v>
      </c>
      <c r="O32" s="115" t="n">
        <f aca="false">Allocation!$I$13*IS!N31</f>
        <v>402.801147837232</v>
      </c>
      <c r="P32" s="115" t="n">
        <f aca="false">Allocation!$I$13*IS!O31</f>
        <v>351.171716776742</v>
      </c>
      <c r="Q32" s="115" t="n">
        <f aca="false">Allocation!$I$13*IS!P31</f>
        <v>335.499022486633</v>
      </c>
      <c r="R32" s="115" t="n">
        <f aca="false">Allocation!$I$13*IS!Q31</f>
        <v>334.646434946471</v>
      </c>
      <c r="S32" s="115" t="n">
        <f aca="false">Allocation!$I$13*IS!R31</f>
        <v>327.695218568648</v>
      </c>
      <c r="T32" s="115" t="n">
        <f aca="false">Allocation!$I$13*IS!S31</f>
        <v>320.691158096014</v>
      </c>
      <c r="U32" s="115" t="n">
        <f aca="false">Allocation!$I$13*IS!T31</f>
        <v>317.324107210511</v>
      </c>
      <c r="V32" s="115" t="n">
        <f aca="false">Allocation!$I$13*IS!U31</f>
        <v>298.760720731435</v>
      </c>
      <c r="W32" s="115" t="n">
        <f aca="false">Allocation!$I$13*IS!V31</f>
        <v>270.605868403135</v>
      </c>
      <c r="X32" s="115" t="n">
        <f aca="false">Allocation!$I$13*IS!W31</f>
        <v>223.030101684073</v>
      </c>
      <c r="Y32" s="115" t="n">
        <f aca="false">Allocation!$I$13*IS!X31</f>
        <v>176.69236261157</v>
      </c>
      <c r="Z32" s="115" t="n">
        <f aca="false">Allocation!$I$13*IS!Y31</f>
        <v>176.69236261157</v>
      </c>
    </row>
    <row r="33" customFormat="false" ht="12.75" hidden="false" customHeight="false" outlineLevel="0" collapsed="false">
      <c r="A33" s="327" t="s">
        <v>114</v>
      </c>
      <c r="E33" s="115" t="n">
        <v>0</v>
      </c>
      <c r="F33" s="115" t="n">
        <v>0</v>
      </c>
      <c r="G33" s="115" t="n">
        <v>0</v>
      </c>
      <c r="H33" s="115" t="n">
        <v>0</v>
      </c>
      <c r="I33" s="102" t="n">
        <f aca="false">Assumptions!$R$50*Assumptions!$R$33*12</f>
        <v>548.16888</v>
      </c>
      <c r="J33" s="102" t="n">
        <f aca="false">Assumptions!$R$50*Assumptions!$R$33*12*(1+Assumptions!R52)</f>
        <v>564.6139464</v>
      </c>
      <c r="K33" s="102" t="n">
        <f aca="false">J33*(1+Assumptions!$R$39)</f>
        <v>581.552364792</v>
      </c>
      <c r="L33" s="102" t="n">
        <f aca="false">K33*(1+Assumptions!$R$39)</f>
        <v>598.99893573576</v>
      </c>
      <c r="M33" s="102" t="n">
        <f aca="false">L33*(1+Assumptions!$R$39)</f>
        <v>616.968903807833</v>
      </c>
      <c r="N33" s="102" t="n">
        <f aca="false">M33*(1+Assumptions!$R$39)</f>
        <v>635.477970922068</v>
      </c>
      <c r="O33" s="102" t="n">
        <f aca="false">N33*(1+Assumptions!$R$39)</f>
        <v>654.54231004973</v>
      </c>
      <c r="P33" s="102" t="n">
        <f aca="false">O33*(1+Assumptions!$R$39)</f>
        <v>674.178579351222</v>
      </c>
      <c r="Q33" s="102" t="n">
        <f aca="false">P33*(1+Assumptions!$R$39)</f>
        <v>694.403936731758</v>
      </c>
      <c r="R33" s="102" t="n">
        <f aca="false">Q33*(1+Assumptions!$R$39)</f>
        <v>715.236054833711</v>
      </c>
      <c r="S33" s="102" t="n">
        <f aca="false">R33*(1+Assumptions!$R$39)</f>
        <v>736.693136478723</v>
      </c>
      <c r="T33" s="102" t="n">
        <f aca="false">S33*(1+Assumptions!$R$39)</f>
        <v>758.793930573084</v>
      </c>
      <c r="U33" s="102" t="n">
        <f aca="false">T33*(1+Assumptions!$R$39)</f>
        <v>781.557748490277</v>
      </c>
      <c r="V33" s="102" t="n">
        <f aca="false">U33*(1+Assumptions!$R$39)</f>
        <v>805.004480944985</v>
      </c>
      <c r="W33" s="102" t="n">
        <f aca="false">V33*(1+Assumptions!$R$39)</f>
        <v>829.154615373335</v>
      </c>
      <c r="X33" s="102" t="n">
        <f aca="false">W33*(1+Assumptions!$R$39)</f>
        <v>854.029253834535</v>
      </c>
      <c r="Y33" s="102" t="n">
        <f aca="false">X33*(1+Assumptions!$R$39)</f>
        <v>879.650131449571</v>
      </c>
      <c r="Z33" s="102" t="n">
        <f aca="false">Y33*(1+Assumptions!$R$39)</f>
        <v>906.039635393058</v>
      </c>
    </row>
    <row r="34" customFormat="false" ht="12.75" hidden="false" customHeight="false" outlineLevel="0" collapsed="false">
      <c r="A34" s="327" t="s">
        <v>286</v>
      </c>
      <c r="E34" s="115"/>
      <c r="F34" s="115" t="n">
        <f aca="false">Assumptions!$R65*(1+Assumptions!$R$52)*Assumptions!$Q$53/12</f>
        <v>108.346020761246</v>
      </c>
      <c r="G34" s="115" t="n">
        <f aca="false">Assumptions!$R65*(1+Assumptions!$R$52)^2</f>
        <v>223.192802768166</v>
      </c>
      <c r="H34" s="115" t="n">
        <f aca="false">G34*(1+Assumptions!$R$52)</f>
        <v>229.888586851211</v>
      </c>
      <c r="I34" s="115" t="n">
        <f aca="false">H34*(1+Assumptions!$R$52)</f>
        <v>236.785244456747</v>
      </c>
      <c r="J34" s="115" t="n">
        <f aca="false">I34*(1+Assumptions!$R$52)</f>
        <v>243.88880179045</v>
      </c>
      <c r="K34" s="115" t="n">
        <f aca="false">J34*(1+Assumptions!$R$52)</f>
        <v>251.205465844163</v>
      </c>
      <c r="L34" s="115" t="n">
        <f aca="false">K34*(1+Assumptions!$R$52)</f>
        <v>258.741629819488</v>
      </c>
      <c r="M34" s="115" t="n">
        <f aca="false">L34*(1+Assumptions!$R$52)</f>
        <v>266.503878714073</v>
      </c>
      <c r="N34" s="115" t="n">
        <f aca="false">M34*(1+Assumptions!$R$52)</f>
        <v>274.498995075495</v>
      </c>
      <c r="O34" s="115" t="n">
        <f aca="false">N34*(1+Assumptions!$R$52)</f>
        <v>282.73396492776</v>
      </c>
      <c r="P34" s="115" t="n">
        <f aca="false">O34*(1+Assumptions!$R$52)</f>
        <v>291.215983875593</v>
      </c>
      <c r="Q34" s="115" t="n">
        <f aca="false">P34*(1+Assumptions!$R$52)</f>
        <v>299.952463391861</v>
      </c>
      <c r="R34" s="115" t="n">
        <f aca="false">Q34*(1+Assumptions!$R$52)</f>
        <v>308.951037293617</v>
      </c>
      <c r="S34" s="115" t="n">
        <f aca="false">R34*(1+Assumptions!$R$52)</f>
        <v>318.219568412425</v>
      </c>
      <c r="T34" s="115" t="n">
        <f aca="false">S34*(1+Assumptions!$R$52)</f>
        <v>327.766155464798</v>
      </c>
      <c r="U34" s="115" t="n">
        <f aca="false">T34*(1+Assumptions!$R$52)</f>
        <v>337.599140128742</v>
      </c>
      <c r="V34" s="115" t="n">
        <f aca="false">U34*(1+Assumptions!$R$52)</f>
        <v>347.727114332604</v>
      </c>
      <c r="W34" s="115" t="n">
        <f aca="false">V34*(1+Assumptions!$R$52)</f>
        <v>358.158927762582</v>
      </c>
      <c r="X34" s="115" t="n">
        <f aca="false">W34*(1+Assumptions!$R$52)</f>
        <v>368.90369559546</v>
      </c>
      <c r="Y34" s="115" t="n">
        <f aca="false">X34*(1+Assumptions!$R$52)</f>
        <v>379.970806463323</v>
      </c>
      <c r="Z34" s="115" t="n">
        <f aca="false">Y34*(1+Assumptions!$R$52)</f>
        <v>391.369930657223</v>
      </c>
    </row>
    <row r="35" customFormat="false" ht="12.75" hidden="false" customHeight="false" outlineLevel="0" collapsed="false">
      <c r="A35" s="327" t="s">
        <v>287</v>
      </c>
      <c r="B35" s="70"/>
      <c r="C35" s="70"/>
      <c r="D35" s="70"/>
      <c r="E35" s="375" t="n">
        <v>0</v>
      </c>
      <c r="F35" s="375" t="n">
        <f aca="false">Assumptions!$R66*Assumptions!$Q$53*(1+Assumptions!$R$52)/12</f>
        <v>128.75</v>
      </c>
      <c r="G35" s="375" t="n">
        <f aca="false">Assumptions!$R66*(1+Assumptions!$R$52)^2</f>
        <v>265.225</v>
      </c>
      <c r="H35" s="375" t="n">
        <f aca="false">G35*(1+Assumptions!$R$52)</f>
        <v>273.18175</v>
      </c>
      <c r="I35" s="375" t="n">
        <f aca="false">H35*(1+Assumptions!$R$52)</f>
        <v>281.3772025</v>
      </c>
      <c r="J35" s="375" t="n">
        <f aca="false">I35*(1+Assumptions!$R$52)</f>
        <v>289.818518575</v>
      </c>
      <c r="K35" s="375" t="n">
        <f aca="false">J35*(1+Assumptions!$R$52)</f>
        <v>298.51307413225</v>
      </c>
      <c r="L35" s="375" t="n">
        <f aca="false">K35*(1+Assumptions!$R$52)</f>
        <v>307.468466356218</v>
      </c>
      <c r="M35" s="375" t="n">
        <f aca="false">L35*(1+Assumptions!$R$52)</f>
        <v>316.692520346904</v>
      </c>
      <c r="N35" s="375" t="n">
        <f aca="false">M35*(1+Assumptions!$R$52)</f>
        <v>326.193295957311</v>
      </c>
      <c r="O35" s="375" t="n">
        <f aca="false">N35*(1+Assumptions!$R$52)</f>
        <v>335.97909483603</v>
      </c>
      <c r="P35" s="375" t="n">
        <f aca="false">O35*(1+Assumptions!$R$52)</f>
        <v>346.058467681111</v>
      </c>
      <c r="Q35" s="375" t="n">
        <f aca="false">P35*(1+Assumptions!$R$52)</f>
        <v>356.440221711545</v>
      </c>
      <c r="R35" s="375" t="n">
        <f aca="false">Q35*(1+Assumptions!$R$52)</f>
        <v>367.133428362891</v>
      </c>
      <c r="S35" s="375" t="n">
        <f aca="false">R35*(1+Assumptions!$R$52)</f>
        <v>378.147431213778</v>
      </c>
      <c r="T35" s="375" t="n">
        <f aca="false">S35*(1+Assumptions!$R$52)</f>
        <v>389.491854150191</v>
      </c>
      <c r="U35" s="375" t="n">
        <f aca="false">T35*(1+Assumptions!$R$52)</f>
        <v>401.176609774697</v>
      </c>
      <c r="V35" s="375" t="n">
        <f aca="false">U35*(1+Assumptions!$R$52)</f>
        <v>413.211908067938</v>
      </c>
      <c r="W35" s="375" t="n">
        <f aca="false">V35*(1+Assumptions!$R$52)</f>
        <v>425.608265309976</v>
      </c>
      <c r="X35" s="375" t="n">
        <f aca="false">W35*(1+Assumptions!$R$52)</f>
        <v>438.376513269275</v>
      </c>
      <c r="Y35" s="375" t="n">
        <f aca="false">X35*(1+Assumptions!$R$52)</f>
        <v>451.527808667354</v>
      </c>
      <c r="Z35" s="375" t="n">
        <f aca="false">Y35*(1+Assumptions!$R$52)</f>
        <v>465.073642927374</v>
      </c>
    </row>
    <row r="36" customFormat="false" ht="12.75" hidden="false" customHeight="false" outlineLevel="0" collapsed="false">
      <c r="A36" s="327" t="s">
        <v>288</v>
      </c>
      <c r="B36" s="70"/>
      <c r="C36" s="70"/>
      <c r="D36" s="70"/>
      <c r="E36" s="115" t="n">
        <f aca="false">SUM(E24:E35)</f>
        <v>0</v>
      </c>
      <c r="F36" s="115" t="n">
        <f aca="false">SUM(F24:F35)</f>
        <v>4169.75388783227</v>
      </c>
      <c r="G36" s="115" t="n">
        <f aca="false">SUM(G24:G35)</f>
        <v>5838.8613774096</v>
      </c>
      <c r="H36" s="417" t="n">
        <f aca="false">SUM(H24:H35)</f>
        <v>5987.00696598906</v>
      </c>
      <c r="I36" s="115" t="n">
        <f aca="false">SUM(I24:I35)</f>
        <v>6731.54708947008</v>
      </c>
      <c r="J36" s="115" t="n">
        <f aca="false">SUM(J24:J35)</f>
        <v>6909.33804163776</v>
      </c>
      <c r="K36" s="115" t="n">
        <f aca="false">SUM(K24:K35)</f>
        <v>7050.44810980525</v>
      </c>
      <c r="L36" s="115" t="n">
        <f aca="false">SUM(L24:L35)</f>
        <v>7239.06653095994</v>
      </c>
      <c r="M36" s="115" t="n">
        <f aca="false">SUM(M24:M35)</f>
        <v>7433.34350474927</v>
      </c>
      <c r="N36" s="115" t="n">
        <f aca="false">SUM(N24:N35)</f>
        <v>7633.44878775229</v>
      </c>
      <c r="O36" s="115" t="n">
        <f aca="false">SUM(O24:O35)</f>
        <v>7797.54261668017</v>
      </c>
      <c r="P36" s="115" t="n">
        <f aca="false">SUM(P24:P35)</f>
        <v>7958.20488035758</v>
      </c>
      <c r="Q36" s="115" t="n">
        <f aca="false">SUM(Q24:Q35)</f>
        <v>8161.19263164751</v>
      </c>
      <c r="R36" s="115" t="n">
        <f aca="false">SUM(R24:R35)</f>
        <v>8385.56030305478</v>
      </c>
      <c r="S36" s="115" t="n">
        <f aca="false">SUM(S24:S35)</f>
        <v>8568.57134082759</v>
      </c>
      <c r="T36" s="115" t="n">
        <f aca="false">SUM(T24:T35)</f>
        <v>8800.50345307229</v>
      </c>
      <c r="U36" s="115" t="n">
        <f aca="false">SUM(U24:U35)</f>
        <v>9043.24066008564</v>
      </c>
      <c r="V36" s="115" t="n">
        <f aca="false">SUM(V24:V35)</f>
        <v>9278.16465924239</v>
      </c>
      <c r="W36" s="115" t="n">
        <f aca="false">SUM(W24:W35)</f>
        <v>9469.08720155376</v>
      </c>
      <c r="X36" s="115" t="n">
        <f aca="false">SUM(X24:X35)</f>
        <v>9690.43620225574</v>
      </c>
      <c r="Y36" s="115" t="n">
        <f aca="false">SUM(Y24:Y35)</f>
        <v>9921.09097362691</v>
      </c>
      <c r="Z36" s="115" t="n">
        <f aca="false">SUM(Z24:Z35)</f>
        <v>10273.6681701666</v>
      </c>
    </row>
    <row r="37" customFormat="false" ht="9" hidden="false" customHeight="false" outlineLevel="1" collapsed="false">
      <c r="A37" s="337"/>
      <c r="B37" s="654"/>
      <c r="C37" s="654"/>
      <c r="D37" s="654"/>
      <c r="E37" s="655"/>
      <c r="F37" s="656"/>
      <c r="G37" s="656"/>
      <c r="H37" s="656"/>
      <c r="I37" s="656"/>
      <c r="J37" s="656"/>
      <c r="K37" s="656"/>
      <c r="L37" s="656"/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3"/>
      <c r="AB37" s="653"/>
      <c r="AC37" s="653"/>
      <c r="AD37" s="653"/>
      <c r="AE37" s="653"/>
      <c r="AF37" s="653"/>
      <c r="AG37" s="653"/>
      <c r="AH37" s="653"/>
      <c r="AI37" s="653"/>
      <c r="AJ37" s="653"/>
      <c r="AK37" s="653"/>
      <c r="AL37" s="653"/>
      <c r="AM37" s="653"/>
      <c r="AN37" s="653"/>
      <c r="AO37" s="653"/>
      <c r="AP37" s="653"/>
      <c r="AQ37" s="653"/>
      <c r="AR37" s="653"/>
      <c r="AS37" s="653"/>
      <c r="AT37" s="653"/>
      <c r="AU37" s="653"/>
      <c r="AV37" s="653"/>
      <c r="AW37" s="653"/>
      <c r="AX37" s="653"/>
      <c r="AY37" s="653"/>
      <c r="AZ37" s="653"/>
      <c r="BA37" s="653"/>
      <c r="BB37" s="653"/>
      <c r="BC37" s="653"/>
      <c r="BD37" s="653"/>
      <c r="BE37" s="653"/>
      <c r="BF37" s="653"/>
      <c r="BG37" s="653"/>
      <c r="BH37" s="653"/>
      <c r="BI37" s="653"/>
      <c r="BJ37" s="653"/>
      <c r="BK37" s="653"/>
      <c r="BL37" s="653"/>
      <c r="BM37" s="653"/>
      <c r="BN37" s="653"/>
      <c r="BO37" s="653"/>
      <c r="BP37" s="653"/>
      <c r="BQ37" s="653"/>
      <c r="BR37" s="653"/>
      <c r="BS37" s="653"/>
      <c r="BT37" s="653"/>
      <c r="BU37" s="653"/>
      <c r="BV37" s="653"/>
      <c r="BW37" s="653"/>
      <c r="BX37" s="653"/>
      <c r="BY37" s="653"/>
      <c r="BZ37" s="653"/>
      <c r="CA37" s="653"/>
      <c r="CB37" s="653"/>
      <c r="CC37" s="653"/>
      <c r="CD37" s="653"/>
      <c r="CE37" s="653"/>
      <c r="CF37" s="653"/>
      <c r="CG37" s="653"/>
      <c r="CH37" s="653"/>
      <c r="CI37" s="653"/>
      <c r="CJ37" s="653"/>
      <c r="CK37" s="653"/>
      <c r="CL37" s="653"/>
      <c r="CM37" s="653"/>
      <c r="CN37" s="653"/>
      <c r="CO37" s="653"/>
      <c r="CP37" s="653"/>
      <c r="CQ37" s="653"/>
      <c r="CR37" s="653"/>
      <c r="CS37" s="653"/>
      <c r="CT37" s="653"/>
      <c r="CU37" s="653"/>
      <c r="CV37" s="653"/>
      <c r="CW37" s="653"/>
      <c r="CX37" s="653"/>
      <c r="CY37" s="653"/>
      <c r="CZ37" s="653"/>
      <c r="DA37" s="653"/>
      <c r="DB37" s="653"/>
      <c r="DC37" s="653"/>
      <c r="DD37" s="653"/>
      <c r="DE37" s="653"/>
      <c r="DF37" s="653"/>
      <c r="DG37" s="653"/>
      <c r="DH37" s="653"/>
      <c r="DI37" s="653"/>
      <c r="DJ37" s="653"/>
      <c r="DK37" s="653"/>
      <c r="DL37" s="653"/>
      <c r="DM37" s="653"/>
      <c r="DN37" s="653"/>
      <c r="DO37" s="653"/>
      <c r="DP37" s="653"/>
      <c r="DQ37" s="653"/>
      <c r="DR37" s="653"/>
      <c r="DS37" s="653"/>
      <c r="DT37" s="653"/>
      <c r="DU37" s="653"/>
      <c r="DV37" s="653"/>
      <c r="DW37" s="653"/>
      <c r="DX37" s="653"/>
      <c r="DY37" s="653"/>
      <c r="DZ37" s="653"/>
      <c r="EA37" s="653"/>
      <c r="EB37" s="653"/>
      <c r="EC37" s="653"/>
      <c r="ED37" s="653"/>
      <c r="EE37" s="653"/>
      <c r="EF37" s="653"/>
      <c r="EG37" s="653"/>
      <c r="EH37" s="653"/>
      <c r="EI37" s="653"/>
      <c r="EJ37" s="653"/>
      <c r="EK37" s="653"/>
      <c r="EL37" s="653"/>
      <c r="EM37" s="653"/>
      <c r="EN37" s="653"/>
      <c r="EO37" s="653"/>
      <c r="EP37" s="653"/>
      <c r="EQ37" s="653"/>
      <c r="ER37" s="653"/>
      <c r="ES37" s="653"/>
      <c r="ET37" s="653"/>
      <c r="EU37" s="653"/>
      <c r="EV37" s="653"/>
      <c r="EW37" s="653"/>
      <c r="EX37" s="653"/>
      <c r="EY37" s="653"/>
      <c r="EZ37" s="653"/>
      <c r="FA37" s="653"/>
      <c r="FB37" s="653"/>
      <c r="FC37" s="653"/>
      <c r="FD37" s="653"/>
      <c r="FE37" s="653"/>
      <c r="FF37" s="653"/>
      <c r="FG37" s="653"/>
      <c r="FH37" s="653"/>
      <c r="FI37" s="653"/>
      <c r="FJ37" s="653"/>
      <c r="FK37" s="653"/>
      <c r="FL37" s="653"/>
      <c r="FM37" s="653"/>
      <c r="FN37" s="653"/>
      <c r="FO37" s="653"/>
      <c r="FP37" s="653"/>
      <c r="FQ37" s="653"/>
      <c r="FR37" s="653"/>
      <c r="FS37" s="653"/>
      <c r="FT37" s="653"/>
      <c r="FU37" s="653"/>
      <c r="FV37" s="653"/>
      <c r="FW37" s="653"/>
      <c r="FX37" s="653"/>
      <c r="FY37" s="653"/>
      <c r="FZ37" s="653"/>
      <c r="GA37" s="653"/>
      <c r="GB37" s="653"/>
      <c r="GC37" s="653"/>
      <c r="GD37" s="653"/>
      <c r="GE37" s="653"/>
      <c r="GF37" s="653"/>
      <c r="GG37" s="653"/>
      <c r="GH37" s="653"/>
      <c r="GI37" s="653"/>
      <c r="GJ37" s="653"/>
      <c r="GK37" s="653"/>
      <c r="GL37" s="653"/>
      <c r="GM37" s="653"/>
      <c r="GN37" s="653"/>
      <c r="GO37" s="653"/>
      <c r="GP37" s="653"/>
      <c r="GQ37" s="653"/>
      <c r="GR37" s="653"/>
      <c r="GS37" s="653"/>
      <c r="GT37" s="653"/>
      <c r="GU37" s="653"/>
      <c r="GV37" s="653"/>
      <c r="GW37" s="653"/>
      <c r="GX37" s="653"/>
      <c r="GY37" s="653"/>
      <c r="GZ37" s="653"/>
      <c r="HA37" s="653"/>
      <c r="HB37" s="653"/>
      <c r="HC37" s="653"/>
      <c r="HD37" s="653"/>
      <c r="HE37" s="653"/>
      <c r="HF37" s="653"/>
      <c r="HG37" s="653"/>
      <c r="HH37" s="653"/>
      <c r="HI37" s="653"/>
      <c r="HJ37" s="653"/>
      <c r="HK37" s="653"/>
      <c r="HL37" s="653"/>
      <c r="HM37" s="653"/>
      <c r="HN37" s="653"/>
      <c r="HO37" s="653"/>
      <c r="HP37" s="653"/>
      <c r="HQ37" s="653"/>
      <c r="HR37" s="653"/>
      <c r="HS37" s="653"/>
      <c r="HT37" s="653"/>
      <c r="HU37" s="653"/>
      <c r="HV37" s="653"/>
      <c r="HW37" s="653"/>
      <c r="HX37" s="653"/>
      <c r="HY37" s="653"/>
      <c r="HZ37" s="653"/>
      <c r="IA37" s="653"/>
      <c r="IB37" s="653"/>
      <c r="IC37" s="653"/>
      <c r="ID37" s="653"/>
      <c r="IE37" s="653"/>
      <c r="IF37" s="653"/>
      <c r="IG37" s="653"/>
      <c r="IH37" s="653"/>
      <c r="II37" s="653"/>
      <c r="IJ37" s="653"/>
      <c r="IK37" s="653"/>
      <c r="IL37" s="653"/>
      <c r="IM37" s="653"/>
      <c r="IN37" s="653"/>
      <c r="IO37" s="653"/>
      <c r="IP37" s="653"/>
      <c r="IQ37" s="653"/>
      <c r="IR37" s="653"/>
      <c r="IS37" s="653"/>
      <c r="IT37" s="653"/>
      <c r="IU37" s="653"/>
      <c r="IV37" s="653"/>
      <c r="IW37" s="653"/>
    </row>
    <row r="38" customFormat="false" ht="6.75" hidden="false" customHeight="true" outlineLevel="0" collapsed="false">
      <c r="A38" s="337"/>
      <c r="B38" s="331"/>
      <c r="C38" s="331"/>
      <c r="D38" s="331"/>
      <c r="E38" s="655"/>
      <c r="F38" s="656"/>
      <c r="G38" s="656"/>
      <c r="H38" s="656"/>
      <c r="I38" s="656"/>
      <c r="J38" s="656"/>
      <c r="K38" s="656"/>
      <c r="L38" s="656"/>
      <c r="M38" s="656"/>
      <c r="N38" s="656"/>
      <c r="O38" s="656"/>
      <c r="P38" s="656"/>
      <c r="Q38" s="656"/>
      <c r="R38" s="656"/>
      <c r="S38" s="656"/>
      <c r="T38" s="656"/>
      <c r="U38" s="656"/>
      <c r="V38" s="656"/>
      <c r="W38" s="656"/>
      <c r="X38" s="656"/>
      <c r="Y38" s="656"/>
      <c r="Z38" s="656"/>
      <c r="AA38" s="653"/>
      <c r="AB38" s="653"/>
      <c r="AC38" s="653"/>
      <c r="AD38" s="653"/>
      <c r="AE38" s="653"/>
      <c r="AF38" s="653"/>
      <c r="AG38" s="653"/>
      <c r="AH38" s="653"/>
      <c r="AI38" s="653"/>
      <c r="AJ38" s="653"/>
      <c r="AK38" s="653"/>
      <c r="AL38" s="653"/>
      <c r="AM38" s="653"/>
      <c r="AN38" s="653"/>
      <c r="AO38" s="653"/>
      <c r="AP38" s="653"/>
      <c r="AQ38" s="653"/>
      <c r="AR38" s="653"/>
      <c r="AS38" s="653"/>
      <c r="AT38" s="653"/>
      <c r="AU38" s="653"/>
      <c r="AV38" s="653"/>
      <c r="AW38" s="653"/>
      <c r="AX38" s="653"/>
      <c r="AY38" s="653"/>
      <c r="AZ38" s="653"/>
      <c r="BA38" s="653"/>
      <c r="BB38" s="653"/>
      <c r="BC38" s="653"/>
      <c r="BD38" s="653"/>
      <c r="BE38" s="653"/>
      <c r="BF38" s="653"/>
      <c r="BG38" s="653"/>
      <c r="BH38" s="653"/>
      <c r="BI38" s="653"/>
      <c r="BJ38" s="653"/>
      <c r="BK38" s="653"/>
      <c r="BL38" s="653"/>
      <c r="BM38" s="653"/>
      <c r="BN38" s="653"/>
      <c r="BO38" s="653"/>
      <c r="BP38" s="653"/>
      <c r="BQ38" s="653"/>
      <c r="BR38" s="653"/>
      <c r="BS38" s="653"/>
      <c r="BT38" s="653"/>
      <c r="BU38" s="653"/>
      <c r="BV38" s="653"/>
      <c r="BW38" s="653"/>
      <c r="BX38" s="653"/>
      <c r="BY38" s="653"/>
      <c r="BZ38" s="653"/>
      <c r="CA38" s="653"/>
      <c r="CB38" s="653"/>
      <c r="CC38" s="653"/>
      <c r="CD38" s="653"/>
      <c r="CE38" s="653"/>
      <c r="CF38" s="653"/>
      <c r="CG38" s="653"/>
      <c r="CH38" s="653"/>
      <c r="CI38" s="653"/>
      <c r="CJ38" s="653"/>
      <c r="CK38" s="653"/>
      <c r="CL38" s="653"/>
      <c r="CM38" s="653"/>
      <c r="CN38" s="653"/>
      <c r="CO38" s="653"/>
      <c r="CP38" s="653"/>
      <c r="CQ38" s="653"/>
      <c r="CR38" s="653"/>
      <c r="CS38" s="653"/>
      <c r="CT38" s="653"/>
      <c r="CU38" s="653"/>
      <c r="CV38" s="653"/>
      <c r="CW38" s="653"/>
      <c r="CX38" s="653"/>
      <c r="CY38" s="653"/>
      <c r="CZ38" s="653"/>
      <c r="DA38" s="653"/>
      <c r="DB38" s="653"/>
      <c r="DC38" s="653"/>
      <c r="DD38" s="653"/>
      <c r="DE38" s="653"/>
      <c r="DF38" s="653"/>
      <c r="DG38" s="653"/>
      <c r="DH38" s="653"/>
      <c r="DI38" s="653"/>
      <c r="DJ38" s="653"/>
      <c r="DK38" s="653"/>
      <c r="DL38" s="653"/>
      <c r="DM38" s="653"/>
      <c r="DN38" s="653"/>
      <c r="DO38" s="653"/>
      <c r="DP38" s="653"/>
      <c r="DQ38" s="653"/>
      <c r="DR38" s="653"/>
      <c r="DS38" s="653"/>
      <c r="DT38" s="653"/>
      <c r="DU38" s="653"/>
      <c r="DV38" s="653"/>
      <c r="DW38" s="653"/>
      <c r="DX38" s="653"/>
      <c r="DY38" s="653"/>
      <c r="DZ38" s="653"/>
      <c r="EA38" s="653"/>
      <c r="EB38" s="653"/>
      <c r="EC38" s="653"/>
      <c r="ED38" s="653"/>
      <c r="EE38" s="653"/>
      <c r="EF38" s="653"/>
      <c r="EG38" s="653"/>
      <c r="EH38" s="653"/>
      <c r="EI38" s="653"/>
      <c r="EJ38" s="653"/>
      <c r="EK38" s="653"/>
      <c r="EL38" s="653"/>
      <c r="EM38" s="653"/>
      <c r="EN38" s="653"/>
      <c r="EO38" s="653"/>
      <c r="EP38" s="653"/>
      <c r="EQ38" s="653"/>
      <c r="ER38" s="653"/>
      <c r="ES38" s="653"/>
      <c r="ET38" s="653"/>
      <c r="EU38" s="653"/>
      <c r="EV38" s="653"/>
      <c r="EW38" s="653"/>
      <c r="EX38" s="653"/>
      <c r="EY38" s="653"/>
      <c r="EZ38" s="653"/>
      <c r="FA38" s="653"/>
      <c r="FB38" s="653"/>
      <c r="FC38" s="653"/>
      <c r="FD38" s="653"/>
      <c r="FE38" s="653"/>
      <c r="FF38" s="653"/>
      <c r="FG38" s="653"/>
      <c r="FH38" s="653"/>
      <c r="FI38" s="653"/>
      <c r="FJ38" s="653"/>
      <c r="FK38" s="653"/>
      <c r="FL38" s="653"/>
      <c r="FM38" s="653"/>
      <c r="FN38" s="653"/>
      <c r="FO38" s="653"/>
      <c r="FP38" s="653"/>
      <c r="FQ38" s="653"/>
      <c r="FR38" s="653"/>
      <c r="FS38" s="653"/>
      <c r="FT38" s="653"/>
      <c r="FU38" s="653"/>
      <c r="FV38" s="653"/>
      <c r="FW38" s="653"/>
      <c r="FX38" s="653"/>
      <c r="FY38" s="653"/>
      <c r="FZ38" s="653"/>
      <c r="GA38" s="653"/>
      <c r="GB38" s="653"/>
      <c r="GC38" s="653"/>
      <c r="GD38" s="653"/>
      <c r="GE38" s="653"/>
      <c r="GF38" s="653"/>
      <c r="GG38" s="653"/>
      <c r="GH38" s="653"/>
      <c r="GI38" s="653"/>
      <c r="GJ38" s="653"/>
      <c r="GK38" s="653"/>
      <c r="GL38" s="653"/>
      <c r="GM38" s="653"/>
      <c r="GN38" s="653"/>
      <c r="GO38" s="653"/>
      <c r="GP38" s="653"/>
      <c r="GQ38" s="653"/>
      <c r="GR38" s="653"/>
      <c r="GS38" s="653"/>
      <c r="GT38" s="653"/>
      <c r="GU38" s="653"/>
      <c r="GV38" s="653"/>
      <c r="GW38" s="653"/>
      <c r="GX38" s="653"/>
      <c r="GY38" s="653"/>
      <c r="GZ38" s="653"/>
      <c r="HA38" s="653"/>
      <c r="HB38" s="653"/>
      <c r="HC38" s="653"/>
      <c r="HD38" s="653"/>
      <c r="HE38" s="653"/>
      <c r="HF38" s="653"/>
      <c r="HG38" s="653"/>
      <c r="HH38" s="653"/>
      <c r="HI38" s="653"/>
      <c r="HJ38" s="653"/>
      <c r="HK38" s="653"/>
      <c r="HL38" s="653"/>
      <c r="HM38" s="653"/>
      <c r="HN38" s="653"/>
      <c r="HO38" s="653"/>
      <c r="HP38" s="653"/>
      <c r="HQ38" s="653"/>
      <c r="HR38" s="653"/>
      <c r="HS38" s="653"/>
      <c r="HT38" s="653"/>
      <c r="HU38" s="653"/>
      <c r="HV38" s="653"/>
      <c r="HW38" s="653"/>
      <c r="HX38" s="653"/>
      <c r="HY38" s="653"/>
      <c r="HZ38" s="653"/>
      <c r="IA38" s="653"/>
      <c r="IB38" s="653"/>
      <c r="IC38" s="653"/>
      <c r="ID38" s="653"/>
      <c r="IE38" s="653"/>
      <c r="IF38" s="653"/>
      <c r="IG38" s="653"/>
      <c r="IH38" s="653"/>
      <c r="II38" s="653"/>
      <c r="IJ38" s="653"/>
      <c r="IK38" s="653"/>
      <c r="IL38" s="653"/>
      <c r="IM38" s="653"/>
      <c r="IN38" s="653"/>
      <c r="IO38" s="653"/>
      <c r="IP38" s="653"/>
      <c r="IQ38" s="653"/>
      <c r="IR38" s="653"/>
      <c r="IS38" s="653"/>
      <c r="IT38" s="653"/>
      <c r="IU38" s="653"/>
      <c r="IV38" s="653"/>
      <c r="IW38" s="653"/>
    </row>
    <row r="39" customFormat="false" ht="18.75" hidden="false" customHeight="true" outlineLevel="0" collapsed="false">
      <c r="A39" s="323" t="s">
        <v>289</v>
      </c>
      <c r="B39" s="323"/>
      <c r="C39" s="323"/>
      <c r="D39" s="323"/>
      <c r="E39" s="422" t="n">
        <f aca="false">E20-E36</f>
        <v>0</v>
      </c>
      <c r="F39" s="422" t="n">
        <f aca="false">F20-F36</f>
        <v>15547.5669835698</v>
      </c>
      <c r="G39" s="422" t="n">
        <f aca="false">G20-G36</f>
        <v>26245.5749342228</v>
      </c>
      <c r="H39" s="657" t="n">
        <f aca="false">H20-H36</f>
        <v>26173.8361881516</v>
      </c>
      <c r="I39" s="422" t="n">
        <f aca="false">I20-I36</f>
        <v>43446.2820849375</v>
      </c>
      <c r="J39" s="422" t="n">
        <f aca="false">J20-J36</f>
        <v>44000.4741152343</v>
      </c>
      <c r="K39" s="422" t="n">
        <f aca="false">K20-K36</f>
        <v>45387.0098054085</v>
      </c>
      <c r="L39" s="422" t="n">
        <f aca="false">L20-L36</f>
        <v>45130.7962766802</v>
      </c>
      <c r="M39" s="422" t="n">
        <f aca="false">M20-M36</f>
        <v>45662.5530528465</v>
      </c>
      <c r="N39" s="422" t="n">
        <f aca="false">N20-N36</f>
        <v>46184.9163546046</v>
      </c>
      <c r="O39" s="422" t="n">
        <f aca="false">O20-O36</f>
        <v>46739.3837876138</v>
      </c>
      <c r="P39" s="422" t="n">
        <f aca="false">P20-P36</f>
        <v>47292.0542935683</v>
      </c>
      <c r="Q39" s="422" t="n">
        <f aca="false">Q20-Q36</f>
        <v>47795.6340220409</v>
      </c>
      <c r="R39" s="422" t="n">
        <f aca="false">R20-R36</f>
        <v>48270.3123799008</v>
      </c>
      <c r="S39" s="422" t="n">
        <f aca="false">S20-S36</f>
        <v>48778.5366813881</v>
      </c>
      <c r="T39" s="422" t="n">
        <f aca="false">T20-T36</f>
        <v>49227.7694226068</v>
      </c>
      <c r="U39" s="422" t="n">
        <f aca="false">U20-U36</f>
        <v>49655.4113239851</v>
      </c>
      <c r="V39" s="422" t="n">
        <f aca="false">V20-V36</f>
        <v>50079.0587184432</v>
      </c>
      <c r="W39" s="422" t="n">
        <f aca="false">W20-W36</f>
        <v>50534.0318132988</v>
      </c>
      <c r="X39" s="422" t="n">
        <f aca="false">X20-X36</f>
        <v>50943.5834407467</v>
      </c>
      <c r="Y39" s="422" t="n">
        <f aca="false">Y20-Y36</f>
        <v>50123.0516695897</v>
      </c>
      <c r="Z39" s="422" t="n">
        <f aca="false">Z20-Z36</f>
        <v>50329.9123325751</v>
      </c>
      <c r="AA39" s="395"/>
      <c r="AB39" s="395"/>
      <c r="AC39" s="395"/>
      <c r="AD39" s="395"/>
      <c r="AE39" s="395"/>
      <c r="AF39" s="395"/>
      <c r="AG39" s="395"/>
      <c r="AH39" s="395"/>
      <c r="AI39" s="395"/>
      <c r="AJ39" s="395"/>
      <c r="AK39" s="395"/>
      <c r="AL39" s="395"/>
      <c r="AM39" s="395"/>
      <c r="AN39" s="395"/>
      <c r="AO39" s="395"/>
      <c r="AP39" s="395"/>
      <c r="AQ39" s="395"/>
      <c r="AR39" s="395"/>
      <c r="AS39" s="395"/>
      <c r="AT39" s="395"/>
      <c r="AU39" s="395"/>
      <c r="AV39" s="395"/>
      <c r="AW39" s="395"/>
      <c r="AX39" s="395"/>
      <c r="AY39" s="395"/>
      <c r="AZ39" s="395"/>
      <c r="BA39" s="395"/>
      <c r="BB39" s="395"/>
      <c r="BC39" s="395"/>
      <c r="BD39" s="395"/>
      <c r="BE39" s="395"/>
      <c r="BF39" s="395"/>
      <c r="BG39" s="395"/>
      <c r="BH39" s="395"/>
      <c r="BI39" s="395"/>
      <c r="BJ39" s="395"/>
      <c r="BK39" s="395"/>
      <c r="BL39" s="395"/>
      <c r="BM39" s="395"/>
      <c r="BN39" s="395"/>
      <c r="BO39" s="395"/>
      <c r="BP39" s="395"/>
      <c r="BQ39" s="395"/>
      <c r="BR39" s="395"/>
      <c r="BS39" s="395"/>
      <c r="BT39" s="395"/>
      <c r="BU39" s="395"/>
      <c r="BV39" s="395"/>
      <c r="BW39" s="395"/>
      <c r="BX39" s="395"/>
      <c r="BY39" s="395"/>
      <c r="BZ39" s="395"/>
      <c r="CA39" s="395"/>
      <c r="CB39" s="395"/>
      <c r="CC39" s="395"/>
      <c r="CD39" s="395"/>
      <c r="CE39" s="395"/>
      <c r="CF39" s="395"/>
      <c r="CG39" s="395"/>
      <c r="CH39" s="395"/>
      <c r="CI39" s="395"/>
      <c r="CJ39" s="395"/>
      <c r="CK39" s="395"/>
      <c r="CL39" s="395"/>
      <c r="CM39" s="395"/>
      <c r="CN39" s="395"/>
      <c r="CO39" s="395"/>
      <c r="CP39" s="395"/>
      <c r="CQ39" s="395"/>
      <c r="CR39" s="395"/>
      <c r="CS39" s="395"/>
      <c r="CT39" s="395"/>
      <c r="CU39" s="395"/>
      <c r="CV39" s="395"/>
      <c r="CW39" s="395"/>
      <c r="CX39" s="395"/>
      <c r="CY39" s="395"/>
      <c r="CZ39" s="395"/>
      <c r="DA39" s="395"/>
      <c r="DB39" s="395"/>
      <c r="DC39" s="395"/>
      <c r="DD39" s="395"/>
      <c r="DE39" s="395"/>
      <c r="DF39" s="395"/>
      <c r="DG39" s="395"/>
      <c r="DH39" s="395"/>
      <c r="DI39" s="395"/>
      <c r="DJ39" s="395"/>
      <c r="DK39" s="395"/>
      <c r="DL39" s="395"/>
      <c r="DM39" s="395"/>
      <c r="DN39" s="395"/>
      <c r="DO39" s="395"/>
      <c r="DP39" s="395"/>
      <c r="DQ39" s="395"/>
      <c r="DR39" s="395"/>
      <c r="DS39" s="395"/>
      <c r="DT39" s="395"/>
      <c r="DU39" s="395"/>
      <c r="DV39" s="395"/>
      <c r="DW39" s="395"/>
      <c r="DX39" s="395"/>
      <c r="DY39" s="395"/>
      <c r="DZ39" s="395"/>
      <c r="EA39" s="395"/>
      <c r="EB39" s="395"/>
      <c r="EC39" s="395"/>
      <c r="ED39" s="395"/>
      <c r="EE39" s="395"/>
      <c r="EF39" s="395"/>
      <c r="EG39" s="395"/>
      <c r="EH39" s="395"/>
      <c r="EI39" s="395"/>
      <c r="EJ39" s="395"/>
      <c r="EK39" s="395"/>
      <c r="EL39" s="395"/>
      <c r="EM39" s="395"/>
      <c r="EN39" s="395"/>
      <c r="EO39" s="395"/>
      <c r="EP39" s="395"/>
      <c r="EQ39" s="395"/>
      <c r="ER39" s="395"/>
      <c r="ES39" s="395"/>
      <c r="ET39" s="395"/>
      <c r="EU39" s="395"/>
      <c r="EV39" s="395"/>
      <c r="EW39" s="395"/>
      <c r="EX39" s="395"/>
      <c r="EY39" s="395"/>
      <c r="EZ39" s="395"/>
      <c r="FA39" s="395"/>
      <c r="FB39" s="395"/>
      <c r="FC39" s="395"/>
      <c r="FD39" s="395"/>
      <c r="FE39" s="395"/>
      <c r="FF39" s="395"/>
      <c r="FG39" s="395"/>
      <c r="FH39" s="395"/>
      <c r="FI39" s="395"/>
      <c r="FJ39" s="395"/>
      <c r="FK39" s="395"/>
      <c r="FL39" s="395"/>
      <c r="FM39" s="395"/>
      <c r="FN39" s="395"/>
      <c r="FO39" s="395"/>
      <c r="FP39" s="395"/>
      <c r="FQ39" s="395"/>
      <c r="FR39" s="395"/>
      <c r="FS39" s="395"/>
      <c r="FT39" s="395"/>
      <c r="FU39" s="395"/>
      <c r="FV39" s="395"/>
      <c r="FW39" s="395"/>
      <c r="FX39" s="395"/>
      <c r="FY39" s="395"/>
      <c r="FZ39" s="395"/>
      <c r="GA39" s="395"/>
      <c r="GB39" s="395"/>
      <c r="GC39" s="395"/>
      <c r="GD39" s="395"/>
      <c r="GE39" s="395"/>
      <c r="GF39" s="395"/>
      <c r="GG39" s="395"/>
      <c r="GH39" s="395"/>
      <c r="GI39" s="395"/>
      <c r="GJ39" s="395"/>
      <c r="GK39" s="395"/>
      <c r="GL39" s="395"/>
      <c r="GM39" s="395"/>
      <c r="GN39" s="395"/>
      <c r="GO39" s="395"/>
      <c r="GP39" s="395"/>
      <c r="GQ39" s="395"/>
      <c r="GR39" s="395"/>
      <c r="GS39" s="395"/>
      <c r="GT39" s="395"/>
      <c r="GU39" s="395"/>
      <c r="GV39" s="395"/>
      <c r="GW39" s="395"/>
      <c r="GX39" s="395"/>
      <c r="GY39" s="395"/>
      <c r="GZ39" s="395"/>
      <c r="HA39" s="395"/>
      <c r="HB39" s="395"/>
      <c r="HC39" s="395"/>
      <c r="HD39" s="395"/>
      <c r="HE39" s="395"/>
      <c r="HF39" s="395"/>
      <c r="HG39" s="395"/>
      <c r="HH39" s="395"/>
      <c r="HI39" s="395"/>
      <c r="HJ39" s="395"/>
      <c r="HK39" s="395"/>
      <c r="HL39" s="395"/>
      <c r="HM39" s="395"/>
      <c r="HN39" s="395"/>
      <c r="HO39" s="395"/>
      <c r="HP39" s="395"/>
      <c r="HQ39" s="395"/>
      <c r="HR39" s="395"/>
      <c r="HS39" s="395"/>
      <c r="HT39" s="395"/>
      <c r="HU39" s="395"/>
      <c r="HV39" s="395"/>
      <c r="HW39" s="395"/>
      <c r="HX39" s="395"/>
      <c r="HY39" s="395"/>
      <c r="HZ39" s="395"/>
      <c r="IA39" s="395"/>
      <c r="IB39" s="395"/>
      <c r="IC39" s="395"/>
      <c r="ID39" s="395"/>
      <c r="IE39" s="395"/>
      <c r="IF39" s="395"/>
      <c r="IG39" s="395"/>
      <c r="IH39" s="395"/>
      <c r="II39" s="395"/>
      <c r="IJ39" s="395"/>
      <c r="IK39" s="395"/>
      <c r="IL39" s="395"/>
      <c r="IM39" s="395"/>
      <c r="IN39" s="395"/>
      <c r="IO39" s="395"/>
      <c r="IP39" s="395"/>
      <c r="IQ39" s="395"/>
      <c r="IR39" s="395"/>
      <c r="IS39" s="395"/>
      <c r="IT39" s="395"/>
      <c r="IU39" s="395"/>
      <c r="IV39" s="395"/>
      <c r="IW39" s="395"/>
    </row>
    <row r="40" customFormat="false" ht="18.75" hidden="false" customHeight="true" outlineLevel="0" collapsed="false">
      <c r="A40" s="323"/>
      <c r="B40" s="323"/>
      <c r="C40" s="323"/>
      <c r="D40" s="323"/>
      <c r="E40" s="422"/>
      <c r="F40" s="422"/>
      <c r="G40" s="422"/>
      <c r="H40" s="657"/>
      <c r="I40" s="422"/>
      <c r="J40" s="422"/>
      <c r="K40" s="422"/>
      <c r="L40" s="422"/>
      <c r="M40" s="422"/>
      <c r="N40" s="422"/>
      <c r="O40" s="422"/>
      <c r="P40" s="422"/>
      <c r="Q40" s="422"/>
      <c r="R40" s="422"/>
      <c r="S40" s="422"/>
      <c r="T40" s="422"/>
      <c r="U40" s="422"/>
      <c r="V40" s="422"/>
      <c r="W40" s="422"/>
      <c r="X40" s="422"/>
      <c r="Y40" s="422"/>
      <c r="Z40" s="422"/>
      <c r="AA40" s="395"/>
      <c r="AB40" s="395"/>
      <c r="AC40" s="395"/>
      <c r="AD40" s="395"/>
      <c r="AE40" s="395"/>
      <c r="AF40" s="395"/>
      <c r="AG40" s="395"/>
      <c r="AH40" s="395"/>
      <c r="AI40" s="395"/>
      <c r="AJ40" s="395"/>
      <c r="AK40" s="395"/>
      <c r="AL40" s="395"/>
      <c r="AM40" s="395"/>
      <c r="AN40" s="395"/>
      <c r="AO40" s="395"/>
      <c r="AP40" s="395"/>
      <c r="AQ40" s="395"/>
      <c r="AR40" s="395"/>
      <c r="AS40" s="395"/>
      <c r="AT40" s="395"/>
      <c r="AU40" s="395"/>
      <c r="AV40" s="395"/>
      <c r="AW40" s="395"/>
      <c r="AX40" s="395"/>
      <c r="AY40" s="395"/>
      <c r="AZ40" s="395"/>
      <c r="BA40" s="395"/>
      <c r="BB40" s="395"/>
      <c r="BC40" s="395"/>
      <c r="BD40" s="395"/>
      <c r="BE40" s="395"/>
      <c r="BF40" s="395"/>
      <c r="BG40" s="395"/>
      <c r="BH40" s="395"/>
      <c r="BI40" s="395"/>
      <c r="BJ40" s="395"/>
      <c r="BK40" s="395"/>
      <c r="BL40" s="395"/>
      <c r="BM40" s="395"/>
      <c r="BN40" s="395"/>
      <c r="BO40" s="395"/>
      <c r="BP40" s="395"/>
      <c r="BQ40" s="395"/>
      <c r="BR40" s="395"/>
      <c r="BS40" s="395"/>
      <c r="BT40" s="395"/>
      <c r="BU40" s="395"/>
      <c r="BV40" s="395"/>
      <c r="BW40" s="395"/>
      <c r="BX40" s="395"/>
      <c r="BY40" s="395"/>
      <c r="BZ40" s="395"/>
      <c r="CA40" s="395"/>
      <c r="CB40" s="395"/>
      <c r="CC40" s="395"/>
      <c r="CD40" s="395"/>
      <c r="CE40" s="395"/>
      <c r="CF40" s="395"/>
      <c r="CG40" s="395"/>
      <c r="CH40" s="395"/>
      <c r="CI40" s="395"/>
      <c r="CJ40" s="395"/>
      <c r="CK40" s="395"/>
      <c r="CL40" s="395"/>
      <c r="CM40" s="395"/>
      <c r="CN40" s="395"/>
      <c r="CO40" s="395"/>
      <c r="CP40" s="395"/>
      <c r="CQ40" s="395"/>
      <c r="CR40" s="395"/>
      <c r="CS40" s="395"/>
      <c r="CT40" s="395"/>
      <c r="CU40" s="395"/>
      <c r="CV40" s="395"/>
      <c r="CW40" s="395"/>
      <c r="CX40" s="395"/>
      <c r="CY40" s="395"/>
      <c r="CZ40" s="395"/>
      <c r="DA40" s="395"/>
      <c r="DB40" s="395"/>
      <c r="DC40" s="395"/>
      <c r="DD40" s="395"/>
      <c r="DE40" s="395"/>
      <c r="DF40" s="395"/>
      <c r="DG40" s="395"/>
      <c r="DH40" s="395"/>
      <c r="DI40" s="395"/>
      <c r="DJ40" s="395"/>
      <c r="DK40" s="395"/>
      <c r="DL40" s="395"/>
      <c r="DM40" s="395"/>
      <c r="DN40" s="395"/>
      <c r="DO40" s="395"/>
      <c r="DP40" s="395"/>
      <c r="DQ40" s="395"/>
      <c r="DR40" s="395"/>
      <c r="DS40" s="395"/>
      <c r="DT40" s="395"/>
      <c r="DU40" s="395"/>
      <c r="DV40" s="395"/>
      <c r="DW40" s="395"/>
      <c r="DX40" s="395"/>
      <c r="DY40" s="395"/>
      <c r="DZ40" s="395"/>
      <c r="EA40" s="395"/>
      <c r="EB40" s="395"/>
      <c r="EC40" s="395"/>
      <c r="ED40" s="395"/>
      <c r="EE40" s="395"/>
      <c r="EF40" s="395"/>
      <c r="EG40" s="395"/>
      <c r="EH40" s="395"/>
      <c r="EI40" s="395"/>
      <c r="EJ40" s="395"/>
      <c r="EK40" s="395"/>
      <c r="EL40" s="395"/>
      <c r="EM40" s="395"/>
      <c r="EN40" s="395"/>
      <c r="EO40" s="395"/>
      <c r="EP40" s="395"/>
      <c r="EQ40" s="395"/>
      <c r="ER40" s="395"/>
      <c r="ES40" s="395"/>
      <c r="ET40" s="395"/>
      <c r="EU40" s="395"/>
      <c r="EV40" s="395"/>
      <c r="EW40" s="395"/>
      <c r="EX40" s="395"/>
      <c r="EY40" s="395"/>
      <c r="EZ40" s="395"/>
      <c r="FA40" s="395"/>
      <c r="FB40" s="395"/>
      <c r="FC40" s="395"/>
      <c r="FD40" s="395"/>
      <c r="FE40" s="395"/>
      <c r="FF40" s="395"/>
      <c r="FG40" s="395"/>
      <c r="FH40" s="395"/>
      <c r="FI40" s="395"/>
      <c r="FJ40" s="395"/>
      <c r="FK40" s="395"/>
      <c r="FL40" s="395"/>
      <c r="FM40" s="395"/>
      <c r="FN40" s="395"/>
      <c r="FO40" s="395"/>
      <c r="FP40" s="395"/>
      <c r="FQ40" s="395"/>
      <c r="FR40" s="395"/>
      <c r="FS40" s="395"/>
      <c r="FT40" s="395"/>
      <c r="FU40" s="395"/>
      <c r="FV40" s="395"/>
      <c r="FW40" s="395"/>
      <c r="FX40" s="395"/>
      <c r="FY40" s="395"/>
      <c r="FZ40" s="395"/>
      <c r="GA40" s="395"/>
      <c r="GB40" s="395"/>
      <c r="GC40" s="395"/>
      <c r="GD40" s="395"/>
      <c r="GE40" s="395"/>
      <c r="GF40" s="395"/>
      <c r="GG40" s="395"/>
      <c r="GH40" s="395"/>
      <c r="GI40" s="395"/>
      <c r="GJ40" s="395"/>
      <c r="GK40" s="395"/>
      <c r="GL40" s="395"/>
      <c r="GM40" s="395"/>
      <c r="GN40" s="395"/>
      <c r="GO40" s="395"/>
      <c r="GP40" s="395"/>
      <c r="GQ40" s="395"/>
      <c r="GR40" s="395"/>
      <c r="GS40" s="395"/>
      <c r="GT40" s="395"/>
      <c r="GU40" s="395"/>
      <c r="GV40" s="395"/>
      <c r="GW40" s="395"/>
      <c r="GX40" s="395"/>
      <c r="GY40" s="395"/>
      <c r="GZ40" s="395"/>
      <c r="HA40" s="395"/>
      <c r="HB40" s="395"/>
      <c r="HC40" s="395"/>
      <c r="HD40" s="395"/>
      <c r="HE40" s="395"/>
      <c r="HF40" s="395"/>
      <c r="HG40" s="395"/>
      <c r="HH40" s="395"/>
      <c r="HI40" s="395"/>
      <c r="HJ40" s="395"/>
      <c r="HK40" s="395"/>
      <c r="HL40" s="395"/>
      <c r="HM40" s="395"/>
      <c r="HN40" s="395"/>
      <c r="HO40" s="395"/>
      <c r="HP40" s="395"/>
      <c r="HQ40" s="395"/>
      <c r="HR40" s="395"/>
      <c r="HS40" s="395"/>
      <c r="HT40" s="395"/>
      <c r="HU40" s="395"/>
      <c r="HV40" s="395"/>
      <c r="HW40" s="395"/>
      <c r="HX40" s="395"/>
      <c r="HY40" s="395"/>
      <c r="HZ40" s="395"/>
      <c r="IA40" s="395"/>
      <c r="IB40" s="395"/>
      <c r="IC40" s="395"/>
      <c r="ID40" s="395"/>
      <c r="IE40" s="395"/>
      <c r="IF40" s="395"/>
      <c r="IG40" s="395"/>
      <c r="IH40" s="395"/>
      <c r="II40" s="395"/>
      <c r="IJ40" s="395"/>
      <c r="IK40" s="395"/>
      <c r="IL40" s="395"/>
      <c r="IM40" s="395"/>
      <c r="IN40" s="395"/>
      <c r="IO40" s="395"/>
      <c r="IP40" s="395"/>
      <c r="IQ40" s="395"/>
      <c r="IR40" s="395"/>
      <c r="IS40" s="395"/>
      <c r="IT40" s="395"/>
      <c r="IU40" s="395"/>
      <c r="IV40" s="395"/>
      <c r="IW40" s="395"/>
    </row>
    <row r="41" customFormat="false" ht="12.75" hidden="false" customHeight="false" outlineLevel="0" collapsed="false">
      <c r="A41" s="327" t="s">
        <v>290</v>
      </c>
      <c r="E41" s="115" t="n">
        <v>0</v>
      </c>
      <c r="F41" s="115" t="n">
        <f aca="false">Allocation!$G$13*IS!E40</f>
        <v>6317.58428935018</v>
      </c>
      <c r="G41" s="115" t="n">
        <f aca="false">Allocation!$G$13*IS!F40</f>
        <v>8683.41953125805</v>
      </c>
      <c r="H41" s="115" t="n">
        <f aca="false">Allocation!$G$13*IS!G40</f>
        <v>8683.41953125805</v>
      </c>
      <c r="I41" s="115" t="n">
        <f aca="false">Allocation!$G$13*IS!H40</f>
        <v>8683.41953125805</v>
      </c>
      <c r="J41" s="115" t="n">
        <f aca="false">Allocation!$G$13*IS!I40</f>
        <v>8683.41953125805</v>
      </c>
      <c r="K41" s="115" t="n">
        <f aca="false">Allocation!$G$13*IS!J40</f>
        <v>8683.41953125805</v>
      </c>
      <c r="L41" s="115" t="n">
        <f aca="false">Allocation!$G$13*IS!K40</f>
        <v>8683.41953125805</v>
      </c>
      <c r="M41" s="115" t="n">
        <f aca="false">Allocation!$G$13*IS!L40</f>
        <v>8683.41953125805</v>
      </c>
      <c r="N41" s="115" t="n">
        <f aca="false">Allocation!$G$13*IS!M40</f>
        <v>8683.41953125805</v>
      </c>
      <c r="O41" s="115" t="n">
        <f aca="false">Allocation!$G$13*IS!N40</f>
        <v>8683.41953125805</v>
      </c>
      <c r="P41" s="115" t="n">
        <f aca="false">Allocation!$G$13*IS!O40</f>
        <v>8683.41953125805</v>
      </c>
      <c r="Q41" s="115" t="n">
        <f aca="false">Allocation!$G$13*IS!P40</f>
        <v>8683.41953125805</v>
      </c>
      <c r="R41" s="115" t="n">
        <f aca="false">Allocation!$G$13*IS!Q40</f>
        <v>8683.41953125805</v>
      </c>
      <c r="S41" s="115" t="n">
        <f aca="false">Allocation!$G$13*IS!R40</f>
        <v>8683.41953125805</v>
      </c>
      <c r="T41" s="115" t="n">
        <f aca="false">Allocation!$G$13*IS!S40</f>
        <v>8683.41953125805</v>
      </c>
      <c r="U41" s="115" t="n">
        <f aca="false">Allocation!$G$13*IS!T40</f>
        <v>8683.41953125805</v>
      </c>
      <c r="V41" s="115" t="n">
        <f aca="false">Allocation!$G$13*IS!U40</f>
        <v>8683.41953125805</v>
      </c>
      <c r="W41" s="115" t="n">
        <f aca="false">Allocation!$G$13*IS!V40</f>
        <v>8683.41953125805</v>
      </c>
      <c r="X41" s="115" t="n">
        <f aca="false">Allocation!$G$13*IS!W40</f>
        <v>8683.41953125805</v>
      </c>
      <c r="Y41" s="115" t="n">
        <f aca="false">Allocation!$G$13*IS!X40</f>
        <v>8683.41953125805</v>
      </c>
      <c r="Z41" s="115" t="n">
        <f aca="false">Allocation!$G$13*IS!Y40</f>
        <v>8456.18253703839</v>
      </c>
    </row>
    <row r="42" customFormat="false" ht="12.75" hidden="false" customHeight="false" outlineLevel="0" collapsed="false">
      <c r="A42" s="327"/>
      <c r="E42" s="115"/>
      <c r="F42" s="115"/>
      <c r="G42" s="115"/>
      <c r="H42" s="417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</row>
    <row r="43" customFormat="false" ht="7.5" hidden="false" customHeight="true" outlineLevel="0" collapsed="false">
      <c r="A43" s="327"/>
      <c r="E43" s="115"/>
      <c r="F43" s="115"/>
      <c r="G43" s="115"/>
      <c r="H43" s="417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</row>
    <row r="44" customFormat="false" ht="12.75" hidden="false" customHeight="false" outlineLevel="0" collapsed="false">
      <c r="A44" s="323" t="s">
        <v>291</v>
      </c>
      <c r="B44" s="323"/>
      <c r="C44" s="323"/>
      <c r="D44" s="323"/>
      <c r="E44" s="422" t="n">
        <f aca="false">E39-E41</f>
        <v>0</v>
      </c>
      <c r="F44" s="422" t="n">
        <f aca="false">F39-F41</f>
        <v>9229.98269421965</v>
      </c>
      <c r="G44" s="422" t="n">
        <f aca="false">G39-G41</f>
        <v>17562.1554029647</v>
      </c>
      <c r="H44" s="422" t="n">
        <f aca="false">H39-H41</f>
        <v>17490.4166568935</v>
      </c>
      <c r="I44" s="422" t="n">
        <f aca="false">I39-I41</f>
        <v>34762.8625536795</v>
      </c>
      <c r="J44" s="422" t="n">
        <f aca="false">J39-J41</f>
        <v>35317.0545839763</v>
      </c>
      <c r="K44" s="422" t="n">
        <f aca="false">K39-K41</f>
        <v>36703.5902741505</v>
      </c>
      <c r="L44" s="422" t="n">
        <f aca="false">L39-L41</f>
        <v>36447.3767454221</v>
      </c>
      <c r="M44" s="422" t="n">
        <f aca="false">M39-M41</f>
        <v>36979.1335215884</v>
      </c>
      <c r="N44" s="422" t="n">
        <f aca="false">N39-N41</f>
        <v>37501.4968233465</v>
      </c>
      <c r="O44" s="422" t="n">
        <f aca="false">O39-O41</f>
        <v>38055.9642563557</v>
      </c>
      <c r="P44" s="422" t="n">
        <f aca="false">P39-P41</f>
        <v>38608.6347623103</v>
      </c>
      <c r="Q44" s="422" t="n">
        <f aca="false">Q39-Q41</f>
        <v>39112.2144907829</v>
      </c>
      <c r="R44" s="422" t="n">
        <f aca="false">R39-R41</f>
        <v>39586.8928486428</v>
      </c>
      <c r="S44" s="422" t="n">
        <f aca="false">S39-S41</f>
        <v>40095.1171501301</v>
      </c>
      <c r="T44" s="422" t="n">
        <f aca="false">T39-T41</f>
        <v>40544.3498913488</v>
      </c>
      <c r="U44" s="422" t="n">
        <f aca="false">U39-U41</f>
        <v>40971.991792727</v>
      </c>
      <c r="V44" s="422" t="n">
        <f aca="false">V39-V41</f>
        <v>41395.6391871852</v>
      </c>
      <c r="W44" s="422" t="n">
        <f aca="false">W39-W41</f>
        <v>41850.6122820408</v>
      </c>
      <c r="X44" s="422" t="n">
        <f aca="false">X39-X41</f>
        <v>42260.1639094887</v>
      </c>
      <c r="Y44" s="422" t="n">
        <f aca="false">Y39-Y41</f>
        <v>41439.6321383316</v>
      </c>
      <c r="Z44" s="422" t="n">
        <f aca="false">Z39-Z41</f>
        <v>41873.7297955367</v>
      </c>
      <c r="AA44" s="395"/>
      <c r="AB44" s="395"/>
      <c r="AC44" s="395"/>
      <c r="AD44" s="395"/>
      <c r="AE44" s="395"/>
      <c r="AF44" s="395"/>
      <c r="AG44" s="395"/>
      <c r="AH44" s="395"/>
      <c r="AI44" s="395"/>
      <c r="AJ44" s="395"/>
      <c r="AK44" s="395"/>
      <c r="AL44" s="395"/>
      <c r="AM44" s="395"/>
      <c r="AN44" s="395"/>
      <c r="AO44" s="395"/>
      <c r="AP44" s="395"/>
      <c r="AQ44" s="395"/>
      <c r="AR44" s="395"/>
      <c r="AS44" s="395"/>
      <c r="AT44" s="395"/>
      <c r="AU44" s="395"/>
      <c r="AV44" s="395"/>
      <c r="AW44" s="395"/>
      <c r="AX44" s="395"/>
      <c r="AY44" s="395"/>
      <c r="AZ44" s="395"/>
      <c r="BA44" s="395"/>
      <c r="BB44" s="395"/>
      <c r="BC44" s="395"/>
      <c r="BD44" s="395"/>
      <c r="BE44" s="395"/>
      <c r="BF44" s="395"/>
      <c r="BG44" s="395"/>
      <c r="BH44" s="395"/>
      <c r="BI44" s="395"/>
      <c r="BJ44" s="395"/>
      <c r="BK44" s="395"/>
      <c r="BL44" s="395"/>
      <c r="BM44" s="395"/>
      <c r="BN44" s="395"/>
      <c r="BO44" s="395"/>
      <c r="BP44" s="395"/>
      <c r="BQ44" s="395"/>
      <c r="BR44" s="395"/>
      <c r="BS44" s="395"/>
      <c r="BT44" s="395"/>
      <c r="BU44" s="395"/>
      <c r="BV44" s="395"/>
      <c r="BW44" s="395"/>
      <c r="BX44" s="395"/>
      <c r="BY44" s="395"/>
      <c r="BZ44" s="395"/>
      <c r="CA44" s="395"/>
      <c r="CB44" s="395"/>
      <c r="CC44" s="395"/>
      <c r="CD44" s="395"/>
      <c r="CE44" s="395"/>
      <c r="CF44" s="395"/>
      <c r="CG44" s="395"/>
      <c r="CH44" s="395"/>
      <c r="CI44" s="395"/>
      <c r="CJ44" s="395"/>
      <c r="CK44" s="395"/>
      <c r="CL44" s="395"/>
      <c r="CM44" s="395"/>
      <c r="CN44" s="395"/>
      <c r="CO44" s="395"/>
      <c r="CP44" s="395"/>
      <c r="CQ44" s="395"/>
      <c r="CR44" s="395"/>
      <c r="CS44" s="395"/>
      <c r="CT44" s="395"/>
      <c r="CU44" s="395"/>
      <c r="CV44" s="395"/>
      <c r="CW44" s="395"/>
      <c r="CX44" s="395"/>
      <c r="CY44" s="395"/>
      <c r="CZ44" s="395"/>
      <c r="DA44" s="395"/>
      <c r="DB44" s="395"/>
      <c r="DC44" s="395"/>
      <c r="DD44" s="395"/>
      <c r="DE44" s="395"/>
      <c r="DF44" s="395"/>
      <c r="DG44" s="395"/>
      <c r="DH44" s="395"/>
      <c r="DI44" s="395"/>
      <c r="DJ44" s="395"/>
      <c r="DK44" s="395"/>
      <c r="DL44" s="395"/>
      <c r="DM44" s="395"/>
      <c r="DN44" s="395"/>
      <c r="DO44" s="395"/>
      <c r="DP44" s="395"/>
      <c r="DQ44" s="395"/>
      <c r="DR44" s="395"/>
      <c r="DS44" s="395"/>
      <c r="DT44" s="395"/>
      <c r="DU44" s="395"/>
      <c r="DV44" s="395"/>
      <c r="DW44" s="395"/>
      <c r="DX44" s="395"/>
      <c r="DY44" s="395"/>
      <c r="DZ44" s="395"/>
      <c r="EA44" s="395"/>
      <c r="EB44" s="395"/>
      <c r="EC44" s="395"/>
      <c r="ED44" s="395"/>
      <c r="EE44" s="395"/>
      <c r="EF44" s="395"/>
      <c r="EG44" s="395"/>
      <c r="EH44" s="395"/>
      <c r="EI44" s="395"/>
      <c r="EJ44" s="395"/>
      <c r="EK44" s="395"/>
      <c r="EL44" s="395"/>
      <c r="EM44" s="395"/>
      <c r="EN44" s="395"/>
      <c r="EO44" s="395"/>
      <c r="EP44" s="395"/>
      <c r="EQ44" s="395"/>
      <c r="ER44" s="395"/>
      <c r="ES44" s="395"/>
      <c r="ET44" s="395"/>
      <c r="EU44" s="395"/>
      <c r="EV44" s="395"/>
      <c r="EW44" s="395"/>
      <c r="EX44" s="395"/>
      <c r="EY44" s="395"/>
      <c r="EZ44" s="395"/>
      <c r="FA44" s="395"/>
      <c r="FB44" s="395"/>
      <c r="FC44" s="395"/>
      <c r="FD44" s="395"/>
      <c r="FE44" s="395"/>
      <c r="FF44" s="395"/>
      <c r="FG44" s="395"/>
      <c r="FH44" s="395"/>
      <c r="FI44" s="395"/>
      <c r="FJ44" s="395"/>
      <c r="FK44" s="395"/>
      <c r="FL44" s="395"/>
      <c r="FM44" s="395"/>
      <c r="FN44" s="395"/>
      <c r="FO44" s="395"/>
      <c r="FP44" s="395"/>
      <c r="FQ44" s="395"/>
      <c r="FR44" s="395"/>
      <c r="FS44" s="395"/>
      <c r="FT44" s="395"/>
      <c r="FU44" s="395"/>
      <c r="FV44" s="395"/>
      <c r="FW44" s="395"/>
      <c r="FX44" s="395"/>
      <c r="FY44" s="395"/>
      <c r="FZ44" s="395"/>
      <c r="GA44" s="395"/>
      <c r="GB44" s="395"/>
      <c r="GC44" s="395"/>
      <c r="GD44" s="395"/>
      <c r="GE44" s="395"/>
      <c r="GF44" s="395"/>
      <c r="GG44" s="395"/>
      <c r="GH44" s="395"/>
      <c r="GI44" s="395"/>
      <c r="GJ44" s="395"/>
      <c r="GK44" s="395"/>
      <c r="GL44" s="395"/>
      <c r="GM44" s="395"/>
      <c r="GN44" s="395"/>
      <c r="GO44" s="395"/>
      <c r="GP44" s="395"/>
      <c r="GQ44" s="395"/>
      <c r="GR44" s="395"/>
      <c r="GS44" s="395"/>
      <c r="GT44" s="395"/>
      <c r="GU44" s="395"/>
      <c r="GV44" s="395"/>
      <c r="GW44" s="395"/>
      <c r="GX44" s="395"/>
      <c r="GY44" s="395"/>
      <c r="GZ44" s="395"/>
      <c r="HA44" s="395"/>
      <c r="HB44" s="395"/>
      <c r="HC44" s="395"/>
      <c r="HD44" s="395"/>
      <c r="HE44" s="395"/>
      <c r="HF44" s="395"/>
      <c r="HG44" s="395"/>
      <c r="HH44" s="395"/>
      <c r="HI44" s="395"/>
      <c r="HJ44" s="395"/>
      <c r="HK44" s="395"/>
      <c r="HL44" s="395"/>
      <c r="HM44" s="395"/>
      <c r="HN44" s="395"/>
      <c r="HO44" s="395"/>
      <c r="HP44" s="395"/>
      <c r="HQ44" s="395"/>
      <c r="HR44" s="395"/>
      <c r="HS44" s="395"/>
      <c r="HT44" s="395"/>
      <c r="HU44" s="395"/>
      <c r="HV44" s="395"/>
      <c r="HW44" s="395"/>
      <c r="HX44" s="395"/>
      <c r="HY44" s="395"/>
      <c r="HZ44" s="395"/>
      <c r="IA44" s="395"/>
      <c r="IB44" s="395"/>
      <c r="IC44" s="395"/>
      <c r="ID44" s="395"/>
      <c r="IE44" s="395"/>
      <c r="IF44" s="395"/>
      <c r="IG44" s="395"/>
      <c r="IH44" s="395"/>
      <c r="II44" s="395"/>
      <c r="IJ44" s="395"/>
      <c r="IK44" s="395"/>
      <c r="IL44" s="395"/>
      <c r="IM44" s="395"/>
      <c r="IN44" s="395"/>
      <c r="IO44" s="395"/>
      <c r="IP44" s="395"/>
      <c r="IQ44" s="395"/>
      <c r="IR44" s="395"/>
      <c r="IS44" s="395"/>
      <c r="IT44" s="395"/>
      <c r="IU44" s="395"/>
      <c r="IV44" s="395"/>
      <c r="IW44" s="395"/>
    </row>
    <row r="45" customFormat="false" ht="12.75" hidden="false" customHeight="false" outlineLevel="0" collapsed="false">
      <c r="A45" s="323"/>
      <c r="B45" s="323"/>
      <c r="C45" s="323"/>
      <c r="D45" s="323"/>
      <c r="E45" s="422"/>
      <c r="F45" s="422"/>
      <c r="G45" s="422"/>
      <c r="H45" s="422"/>
      <c r="I45" s="422"/>
      <c r="J45" s="422"/>
      <c r="K45" s="422"/>
      <c r="L45" s="422"/>
      <c r="M45" s="422"/>
      <c r="N45" s="422"/>
      <c r="O45" s="422"/>
      <c r="P45" s="422"/>
      <c r="Q45" s="422"/>
      <c r="R45" s="422"/>
      <c r="S45" s="422"/>
      <c r="T45" s="422"/>
      <c r="U45" s="422"/>
      <c r="V45" s="422"/>
      <c r="W45" s="422"/>
      <c r="X45" s="422"/>
      <c r="Y45" s="422"/>
      <c r="Z45" s="422"/>
      <c r="AA45" s="395"/>
      <c r="AB45" s="395"/>
      <c r="AC45" s="395"/>
      <c r="AD45" s="395"/>
      <c r="AE45" s="395"/>
      <c r="AF45" s="395"/>
      <c r="AG45" s="395"/>
      <c r="AH45" s="395"/>
      <c r="AI45" s="395"/>
      <c r="AJ45" s="395"/>
      <c r="AK45" s="395"/>
      <c r="AL45" s="395"/>
      <c r="AM45" s="395"/>
      <c r="AN45" s="395"/>
      <c r="AO45" s="395"/>
      <c r="AP45" s="395"/>
      <c r="AQ45" s="395"/>
      <c r="AR45" s="395"/>
      <c r="AS45" s="395"/>
      <c r="AT45" s="395"/>
      <c r="AU45" s="395"/>
      <c r="AV45" s="395"/>
      <c r="AW45" s="395"/>
      <c r="AX45" s="395"/>
      <c r="AY45" s="395"/>
      <c r="AZ45" s="395"/>
      <c r="BA45" s="395"/>
      <c r="BB45" s="395"/>
      <c r="BC45" s="395"/>
      <c r="BD45" s="395"/>
      <c r="BE45" s="395"/>
      <c r="BF45" s="395"/>
      <c r="BG45" s="395"/>
      <c r="BH45" s="395"/>
      <c r="BI45" s="395"/>
      <c r="BJ45" s="395"/>
      <c r="BK45" s="395"/>
      <c r="BL45" s="395"/>
      <c r="BM45" s="395"/>
      <c r="BN45" s="395"/>
      <c r="BO45" s="395"/>
      <c r="BP45" s="395"/>
      <c r="BQ45" s="395"/>
      <c r="BR45" s="395"/>
      <c r="BS45" s="395"/>
      <c r="BT45" s="395"/>
      <c r="BU45" s="395"/>
      <c r="BV45" s="395"/>
      <c r="BW45" s="395"/>
      <c r="BX45" s="395"/>
      <c r="BY45" s="395"/>
      <c r="BZ45" s="395"/>
      <c r="CA45" s="395"/>
      <c r="CB45" s="395"/>
      <c r="CC45" s="395"/>
      <c r="CD45" s="395"/>
      <c r="CE45" s="395"/>
      <c r="CF45" s="395"/>
      <c r="CG45" s="395"/>
      <c r="CH45" s="395"/>
      <c r="CI45" s="395"/>
      <c r="CJ45" s="395"/>
      <c r="CK45" s="395"/>
      <c r="CL45" s="395"/>
      <c r="CM45" s="395"/>
      <c r="CN45" s="395"/>
      <c r="CO45" s="395"/>
      <c r="CP45" s="395"/>
      <c r="CQ45" s="395"/>
      <c r="CR45" s="395"/>
      <c r="CS45" s="395"/>
      <c r="CT45" s="395"/>
      <c r="CU45" s="395"/>
      <c r="CV45" s="395"/>
      <c r="CW45" s="395"/>
      <c r="CX45" s="395"/>
      <c r="CY45" s="395"/>
      <c r="CZ45" s="395"/>
      <c r="DA45" s="395"/>
      <c r="DB45" s="395"/>
      <c r="DC45" s="395"/>
      <c r="DD45" s="395"/>
      <c r="DE45" s="395"/>
      <c r="DF45" s="395"/>
      <c r="DG45" s="395"/>
      <c r="DH45" s="395"/>
      <c r="DI45" s="395"/>
      <c r="DJ45" s="395"/>
      <c r="DK45" s="395"/>
      <c r="DL45" s="395"/>
      <c r="DM45" s="395"/>
      <c r="DN45" s="395"/>
      <c r="DO45" s="395"/>
      <c r="DP45" s="395"/>
      <c r="DQ45" s="395"/>
      <c r="DR45" s="395"/>
      <c r="DS45" s="395"/>
      <c r="DT45" s="395"/>
      <c r="DU45" s="395"/>
      <c r="DV45" s="395"/>
      <c r="DW45" s="395"/>
      <c r="DX45" s="395"/>
      <c r="DY45" s="395"/>
      <c r="DZ45" s="395"/>
      <c r="EA45" s="395"/>
      <c r="EB45" s="395"/>
      <c r="EC45" s="395"/>
      <c r="ED45" s="395"/>
      <c r="EE45" s="395"/>
      <c r="EF45" s="395"/>
      <c r="EG45" s="395"/>
      <c r="EH45" s="395"/>
      <c r="EI45" s="395"/>
      <c r="EJ45" s="395"/>
      <c r="EK45" s="395"/>
      <c r="EL45" s="395"/>
      <c r="EM45" s="395"/>
      <c r="EN45" s="395"/>
      <c r="EO45" s="395"/>
      <c r="EP45" s="395"/>
      <c r="EQ45" s="395"/>
      <c r="ER45" s="395"/>
      <c r="ES45" s="395"/>
      <c r="ET45" s="395"/>
      <c r="EU45" s="395"/>
      <c r="EV45" s="395"/>
      <c r="EW45" s="395"/>
      <c r="EX45" s="395"/>
      <c r="EY45" s="395"/>
      <c r="EZ45" s="395"/>
      <c r="FA45" s="395"/>
      <c r="FB45" s="395"/>
      <c r="FC45" s="395"/>
      <c r="FD45" s="395"/>
      <c r="FE45" s="395"/>
      <c r="FF45" s="395"/>
      <c r="FG45" s="395"/>
      <c r="FH45" s="395"/>
      <c r="FI45" s="395"/>
      <c r="FJ45" s="395"/>
      <c r="FK45" s="395"/>
      <c r="FL45" s="395"/>
      <c r="FM45" s="395"/>
      <c r="FN45" s="395"/>
      <c r="FO45" s="395"/>
      <c r="FP45" s="395"/>
      <c r="FQ45" s="395"/>
      <c r="FR45" s="395"/>
      <c r="FS45" s="395"/>
      <c r="FT45" s="395"/>
      <c r="FU45" s="395"/>
      <c r="FV45" s="395"/>
      <c r="FW45" s="395"/>
      <c r="FX45" s="395"/>
      <c r="FY45" s="395"/>
      <c r="FZ45" s="395"/>
      <c r="GA45" s="395"/>
      <c r="GB45" s="395"/>
      <c r="GC45" s="395"/>
      <c r="GD45" s="395"/>
      <c r="GE45" s="395"/>
      <c r="GF45" s="395"/>
      <c r="GG45" s="395"/>
      <c r="GH45" s="395"/>
      <c r="GI45" s="395"/>
      <c r="GJ45" s="395"/>
      <c r="GK45" s="395"/>
      <c r="GL45" s="395"/>
      <c r="GM45" s="395"/>
      <c r="GN45" s="395"/>
      <c r="GO45" s="395"/>
      <c r="GP45" s="395"/>
      <c r="GQ45" s="395"/>
      <c r="GR45" s="395"/>
      <c r="GS45" s="395"/>
      <c r="GT45" s="395"/>
      <c r="GU45" s="395"/>
      <c r="GV45" s="395"/>
      <c r="GW45" s="395"/>
      <c r="GX45" s="395"/>
      <c r="GY45" s="395"/>
      <c r="GZ45" s="395"/>
      <c r="HA45" s="395"/>
      <c r="HB45" s="395"/>
      <c r="HC45" s="395"/>
      <c r="HD45" s="395"/>
      <c r="HE45" s="395"/>
      <c r="HF45" s="395"/>
      <c r="HG45" s="395"/>
      <c r="HH45" s="395"/>
      <c r="HI45" s="395"/>
      <c r="HJ45" s="395"/>
      <c r="HK45" s="395"/>
      <c r="HL45" s="395"/>
      <c r="HM45" s="395"/>
      <c r="HN45" s="395"/>
      <c r="HO45" s="395"/>
      <c r="HP45" s="395"/>
      <c r="HQ45" s="395"/>
      <c r="HR45" s="395"/>
      <c r="HS45" s="395"/>
      <c r="HT45" s="395"/>
      <c r="HU45" s="395"/>
      <c r="HV45" s="395"/>
      <c r="HW45" s="395"/>
      <c r="HX45" s="395"/>
      <c r="HY45" s="395"/>
      <c r="HZ45" s="395"/>
      <c r="IA45" s="395"/>
      <c r="IB45" s="395"/>
      <c r="IC45" s="395"/>
      <c r="ID45" s="395"/>
      <c r="IE45" s="395"/>
      <c r="IF45" s="395"/>
      <c r="IG45" s="395"/>
      <c r="IH45" s="395"/>
      <c r="II45" s="395"/>
      <c r="IJ45" s="395"/>
      <c r="IK45" s="395"/>
      <c r="IL45" s="395"/>
      <c r="IM45" s="395"/>
      <c r="IN45" s="395"/>
      <c r="IO45" s="395"/>
      <c r="IP45" s="395"/>
      <c r="IQ45" s="395"/>
      <c r="IR45" s="395"/>
      <c r="IS45" s="395"/>
      <c r="IT45" s="395"/>
      <c r="IU45" s="395"/>
      <c r="IV45" s="395"/>
      <c r="IW45" s="395"/>
    </row>
    <row r="46" customFormat="false" ht="12.75" hidden="false" customHeight="false" outlineLevel="0" collapsed="false">
      <c r="A46" s="78" t="s">
        <v>457</v>
      </c>
      <c r="B46" s="474"/>
      <c r="C46" s="474"/>
      <c r="D46" s="474"/>
      <c r="E46" s="115" t="n">
        <v>0</v>
      </c>
      <c r="F46" s="368" t="n">
        <f aca="false">Allocation!$I$13*(IS!$E$44-Debt!C136)+Debt!C136*Allocation!$K$13</f>
        <v>8144.98883680179</v>
      </c>
      <c r="G46" s="115" t="n">
        <f aca="false">Allocation!$I$13*IS!F44</f>
        <v>14943.9992949032</v>
      </c>
      <c r="H46" s="115" t="n">
        <f aca="false">Allocation!$I$13*IS!G44</f>
        <v>14451.1226912367</v>
      </c>
      <c r="I46" s="115" t="n">
        <f aca="false">Allocation!$I$13*IS!H44</f>
        <v>13966.3220351353</v>
      </c>
      <c r="J46" s="115" t="n">
        <f aca="false">Allocation!$I$13*IS!I44</f>
        <v>13647.4247510517</v>
      </c>
      <c r="K46" s="115" t="n">
        <f aca="false">Allocation!$I$13*IS!J44</f>
        <v>13110.4321186614</v>
      </c>
      <c r="L46" s="115" t="n">
        <f aca="false">Allocation!$I$13*IS!K44</f>
        <v>12521.3774485123</v>
      </c>
      <c r="M46" s="115" t="n">
        <f aca="false">Allocation!$I$13*IS!L44</f>
        <v>11840.8460531165</v>
      </c>
      <c r="N46" s="115" t="n">
        <f aca="false">Allocation!$I$13*IS!M44</f>
        <v>11061.9078775311</v>
      </c>
      <c r="O46" s="115" t="n">
        <f aca="false">Allocation!$I$13*IS!N44</f>
        <v>10116.6483833154</v>
      </c>
      <c r="P46" s="115" t="n">
        <f aca="false">Allocation!$I$13*IS!O44</f>
        <v>9281.67966812452</v>
      </c>
      <c r="Q46" s="115" t="n">
        <f aca="false">Allocation!$I$13*IS!P44</f>
        <v>8479.9296778033</v>
      </c>
      <c r="R46" s="115" t="n">
        <f aca="false">Allocation!$I$13*IS!Q44</f>
        <v>7594.20338895835</v>
      </c>
      <c r="S46" s="115" t="n">
        <f aca="false">Allocation!$I$13*IS!R44</f>
        <v>6639.9246390078</v>
      </c>
      <c r="T46" s="115" t="n">
        <f aca="false">Allocation!$I$13*IS!S44</f>
        <v>5620.8277388337</v>
      </c>
      <c r="U46" s="115" t="n">
        <f aca="false">Allocation!$I$13*IS!T44</f>
        <v>4517.07250672755</v>
      </c>
      <c r="V46" s="115" t="n">
        <f aca="false">Allocation!$I$13*IS!U44</f>
        <v>3367.3672022735</v>
      </c>
      <c r="W46" s="115" t="n">
        <f aca="false">Allocation!$I$13*IS!V44</f>
        <v>2228.18136010552</v>
      </c>
      <c r="X46" s="115" t="n">
        <f aca="false">Allocation!$I$13*IS!W44</f>
        <v>1187.13196580312</v>
      </c>
      <c r="Y46" s="115" t="n">
        <f aca="false">Allocation!$I$13*IS!X44</f>
        <v>284.993187937651</v>
      </c>
      <c r="Z46" s="115" t="n">
        <v>0</v>
      </c>
    </row>
    <row r="47" customFormat="false" ht="6" hidden="false" customHeight="true" outlineLevel="0" collapsed="false">
      <c r="E47" s="115"/>
      <c r="F47" s="368"/>
      <c r="G47" s="368"/>
      <c r="H47" s="368"/>
      <c r="I47" s="368"/>
      <c r="J47" s="368"/>
      <c r="K47" s="368"/>
      <c r="L47" s="368"/>
      <c r="M47" s="368"/>
      <c r="N47" s="368"/>
      <c r="O47" s="368"/>
      <c r="P47" s="368"/>
      <c r="Q47" s="368"/>
      <c r="R47" s="368"/>
      <c r="S47" s="368"/>
      <c r="T47" s="368"/>
      <c r="U47" s="368"/>
      <c r="V47" s="368"/>
      <c r="W47" s="368"/>
      <c r="X47" s="368"/>
      <c r="Y47" s="368"/>
      <c r="Z47" s="368"/>
    </row>
    <row r="48" customFormat="false" ht="6" hidden="false" customHeight="true" outlineLevel="0" collapsed="false">
      <c r="E48" s="115"/>
      <c r="F48" s="368"/>
      <c r="G48" s="368"/>
      <c r="H48" s="368"/>
      <c r="I48" s="368"/>
      <c r="J48" s="368"/>
      <c r="K48" s="368"/>
      <c r="L48" s="368"/>
      <c r="M48" s="368"/>
      <c r="N48" s="368"/>
      <c r="O48" s="368"/>
      <c r="P48" s="368"/>
      <c r="Q48" s="368"/>
      <c r="R48" s="368"/>
      <c r="S48" s="368"/>
      <c r="T48" s="368"/>
      <c r="U48" s="368"/>
      <c r="V48" s="368"/>
      <c r="W48" s="368"/>
      <c r="X48" s="368"/>
      <c r="Y48" s="368"/>
      <c r="Z48" s="368"/>
    </row>
    <row r="49" customFormat="false" ht="12.75" hidden="false" customHeight="false" outlineLevel="0" collapsed="false">
      <c r="A49" s="323" t="s">
        <v>293</v>
      </c>
      <c r="B49" s="323"/>
      <c r="C49" s="395"/>
      <c r="D49" s="395"/>
      <c r="E49" s="422" t="n">
        <f aca="false">E44-E46</f>
        <v>0</v>
      </c>
      <c r="F49" s="422" t="n">
        <f aca="false">F44-F46</f>
        <v>1084.99385741786</v>
      </c>
      <c r="G49" s="422" t="n">
        <f aca="false">G44-G46</f>
        <v>2618.15610806151</v>
      </c>
      <c r="H49" s="422" t="n">
        <f aca="false">H44-H46</f>
        <v>3039.29396565686</v>
      </c>
      <c r="I49" s="422" t="n">
        <f aca="false">I44-I46</f>
        <v>20796.5405185442</v>
      </c>
      <c r="J49" s="422" t="n">
        <f aca="false">J44-J46</f>
        <v>21669.6298329245</v>
      </c>
      <c r="K49" s="422" t="n">
        <f aca="false">K44-K46</f>
        <v>23593.1581554891</v>
      </c>
      <c r="L49" s="422" t="n">
        <f aca="false">L44-L46</f>
        <v>23925.9992969098</v>
      </c>
      <c r="M49" s="422" t="n">
        <f aca="false">M44-M46</f>
        <v>25138.2874684719</v>
      </c>
      <c r="N49" s="422" t="n">
        <f aca="false">N44-N46</f>
        <v>26439.5889458154</v>
      </c>
      <c r="O49" s="422" t="n">
        <f aca="false">O44-O46</f>
        <v>27939.3158730403</v>
      </c>
      <c r="P49" s="422" t="n">
        <f aca="false">P44-P46</f>
        <v>29326.9550941857</v>
      </c>
      <c r="Q49" s="422" t="n">
        <f aca="false">Q44-Q46</f>
        <v>30632.2848129796</v>
      </c>
      <c r="R49" s="422" t="n">
        <f aca="false">R44-R46</f>
        <v>31992.6894596844</v>
      </c>
      <c r="S49" s="422" t="n">
        <f aca="false">S44-S46</f>
        <v>33455.1925111223</v>
      </c>
      <c r="T49" s="422" t="n">
        <f aca="false">T44-T46</f>
        <v>34923.5221525151</v>
      </c>
      <c r="U49" s="422" t="n">
        <f aca="false">U44-U46</f>
        <v>36454.9192859995</v>
      </c>
      <c r="V49" s="422" t="n">
        <f aca="false">V44-V46</f>
        <v>38028.2719849117</v>
      </c>
      <c r="W49" s="422" t="n">
        <f aca="false">W44-W46</f>
        <v>39622.4309219352</v>
      </c>
      <c r="X49" s="422" t="n">
        <f aca="false">X44-X46</f>
        <v>41073.0319436855</v>
      </c>
      <c r="Y49" s="422" t="n">
        <f aca="false">Y44-Y46</f>
        <v>41154.638950394</v>
      </c>
      <c r="Z49" s="422" t="n">
        <f aca="false">Z44-Z46</f>
        <v>41873.7297955367</v>
      </c>
      <c r="AA49" s="395"/>
      <c r="AB49" s="395"/>
      <c r="AC49" s="395"/>
      <c r="AD49" s="395"/>
      <c r="AE49" s="395"/>
      <c r="AF49" s="395"/>
      <c r="AG49" s="395"/>
      <c r="AH49" s="395"/>
      <c r="AI49" s="395"/>
      <c r="AJ49" s="395"/>
      <c r="AK49" s="395"/>
      <c r="AL49" s="395"/>
      <c r="AM49" s="395"/>
      <c r="AN49" s="395"/>
      <c r="AO49" s="395"/>
      <c r="AP49" s="395"/>
      <c r="AQ49" s="395"/>
      <c r="AR49" s="395"/>
      <c r="AS49" s="395"/>
      <c r="AT49" s="395"/>
      <c r="AU49" s="395"/>
      <c r="AV49" s="395"/>
      <c r="AW49" s="395"/>
      <c r="AX49" s="395"/>
      <c r="AY49" s="395"/>
      <c r="AZ49" s="395"/>
      <c r="BA49" s="395"/>
      <c r="BB49" s="395"/>
      <c r="BC49" s="395"/>
      <c r="BD49" s="395"/>
      <c r="BE49" s="395"/>
      <c r="BF49" s="395"/>
      <c r="BG49" s="395"/>
      <c r="BH49" s="395"/>
      <c r="BI49" s="395"/>
      <c r="BJ49" s="395"/>
      <c r="BK49" s="395"/>
      <c r="BL49" s="395"/>
      <c r="BM49" s="395"/>
      <c r="BN49" s="395"/>
      <c r="BO49" s="395"/>
      <c r="BP49" s="395"/>
      <c r="BQ49" s="395"/>
      <c r="BR49" s="395"/>
      <c r="BS49" s="395"/>
      <c r="BT49" s="395"/>
      <c r="BU49" s="395"/>
      <c r="BV49" s="395"/>
      <c r="BW49" s="395"/>
      <c r="BX49" s="395"/>
      <c r="BY49" s="395"/>
      <c r="BZ49" s="395"/>
      <c r="CA49" s="395"/>
      <c r="CB49" s="395"/>
      <c r="CC49" s="395"/>
      <c r="CD49" s="395"/>
      <c r="CE49" s="395"/>
      <c r="CF49" s="395"/>
      <c r="CG49" s="395"/>
      <c r="CH49" s="395"/>
      <c r="CI49" s="395"/>
      <c r="CJ49" s="395"/>
      <c r="CK49" s="395"/>
      <c r="CL49" s="395"/>
      <c r="CM49" s="395"/>
      <c r="CN49" s="395"/>
      <c r="CO49" s="395"/>
      <c r="CP49" s="395"/>
      <c r="CQ49" s="395"/>
      <c r="CR49" s="395"/>
      <c r="CS49" s="395"/>
      <c r="CT49" s="395"/>
      <c r="CU49" s="395"/>
      <c r="CV49" s="395"/>
      <c r="CW49" s="395"/>
      <c r="CX49" s="395"/>
      <c r="CY49" s="395"/>
      <c r="CZ49" s="395"/>
      <c r="DA49" s="395"/>
      <c r="DB49" s="395"/>
      <c r="DC49" s="395"/>
      <c r="DD49" s="395"/>
      <c r="DE49" s="395"/>
      <c r="DF49" s="395"/>
      <c r="DG49" s="395"/>
      <c r="DH49" s="395"/>
      <c r="DI49" s="395"/>
      <c r="DJ49" s="395"/>
      <c r="DK49" s="395"/>
      <c r="DL49" s="395"/>
      <c r="DM49" s="395"/>
      <c r="DN49" s="395"/>
      <c r="DO49" s="395"/>
      <c r="DP49" s="395"/>
      <c r="DQ49" s="395"/>
      <c r="DR49" s="395"/>
      <c r="DS49" s="395"/>
      <c r="DT49" s="395"/>
      <c r="DU49" s="395"/>
      <c r="DV49" s="395"/>
      <c r="DW49" s="395"/>
      <c r="DX49" s="395"/>
      <c r="DY49" s="395"/>
      <c r="DZ49" s="395"/>
      <c r="EA49" s="395"/>
      <c r="EB49" s="395"/>
      <c r="EC49" s="395"/>
      <c r="ED49" s="395"/>
      <c r="EE49" s="395"/>
      <c r="EF49" s="395"/>
      <c r="EG49" s="395"/>
      <c r="EH49" s="395"/>
      <c r="EI49" s="395"/>
      <c r="EJ49" s="395"/>
      <c r="EK49" s="395"/>
      <c r="EL49" s="395"/>
      <c r="EM49" s="395"/>
      <c r="EN49" s="395"/>
      <c r="EO49" s="395"/>
      <c r="EP49" s="395"/>
      <c r="EQ49" s="395"/>
      <c r="ER49" s="395"/>
      <c r="ES49" s="395"/>
      <c r="ET49" s="395"/>
      <c r="EU49" s="395"/>
      <c r="EV49" s="395"/>
      <c r="EW49" s="395"/>
      <c r="EX49" s="395"/>
      <c r="EY49" s="395"/>
      <c r="EZ49" s="395"/>
      <c r="FA49" s="395"/>
      <c r="FB49" s="395"/>
      <c r="FC49" s="395"/>
      <c r="FD49" s="395"/>
      <c r="FE49" s="395"/>
      <c r="FF49" s="395"/>
      <c r="FG49" s="395"/>
      <c r="FH49" s="395"/>
      <c r="FI49" s="395"/>
      <c r="FJ49" s="395"/>
      <c r="FK49" s="395"/>
      <c r="FL49" s="395"/>
      <c r="FM49" s="395"/>
      <c r="FN49" s="395"/>
      <c r="FO49" s="395"/>
      <c r="FP49" s="395"/>
      <c r="FQ49" s="395"/>
      <c r="FR49" s="395"/>
      <c r="FS49" s="395"/>
      <c r="FT49" s="395"/>
      <c r="FU49" s="395"/>
      <c r="FV49" s="395"/>
      <c r="FW49" s="395"/>
      <c r="FX49" s="395"/>
      <c r="FY49" s="395"/>
      <c r="FZ49" s="395"/>
      <c r="GA49" s="395"/>
      <c r="GB49" s="395"/>
      <c r="GC49" s="395"/>
      <c r="GD49" s="395"/>
      <c r="GE49" s="395"/>
      <c r="GF49" s="395"/>
      <c r="GG49" s="395"/>
      <c r="GH49" s="395"/>
      <c r="GI49" s="395"/>
      <c r="GJ49" s="395"/>
      <c r="GK49" s="395"/>
      <c r="GL49" s="395"/>
      <c r="GM49" s="395"/>
      <c r="GN49" s="395"/>
      <c r="GO49" s="395"/>
      <c r="GP49" s="395"/>
      <c r="GQ49" s="395"/>
      <c r="GR49" s="395"/>
      <c r="GS49" s="395"/>
      <c r="GT49" s="395"/>
      <c r="GU49" s="395"/>
      <c r="GV49" s="395"/>
      <c r="GW49" s="395"/>
      <c r="GX49" s="395"/>
      <c r="GY49" s="395"/>
      <c r="GZ49" s="395"/>
      <c r="HA49" s="395"/>
      <c r="HB49" s="395"/>
      <c r="HC49" s="395"/>
      <c r="HD49" s="395"/>
      <c r="HE49" s="395"/>
      <c r="HF49" s="395"/>
      <c r="HG49" s="395"/>
      <c r="HH49" s="395"/>
      <c r="HI49" s="395"/>
      <c r="HJ49" s="395"/>
      <c r="HK49" s="395"/>
      <c r="HL49" s="395"/>
      <c r="HM49" s="395"/>
      <c r="HN49" s="395"/>
      <c r="HO49" s="395"/>
      <c r="HP49" s="395"/>
      <c r="HQ49" s="395"/>
      <c r="HR49" s="395"/>
      <c r="HS49" s="395"/>
      <c r="HT49" s="395"/>
      <c r="HU49" s="395"/>
      <c r="HV49" s="395"/>
      <c r="HW49" s="395"/>
      <c r="HX49" s="395"/>
      <c r="HY49" s="395"/>
      <c r="HZ49" s="395"/>
      <c r="IA49" s="395"/>
      <c r="IB49" s="395"/>
      <c r="IC49" s="395"/>
      <c r="ID49" s="395"/>
      <c r="IE49" s="395"/>
      <c r="IF49" s="395"/>
      <c r="IG49" s="395"/>
      <c r="IH49" s="395"/>
      <c r="II49" s="395"/>
      <c r="IJ49" s="395"/>
      <c r="IK49" s="395"/>
      <c r="IL49" s="395"/>
      <c r="IM49" s="395"/>
      <c r="IN49" s="395"/>
      <c r="IO49" s="395"/>
      <c r="IP49" s="395"/>
      <c r="IQ49" s="395"/>
      <c r="IR49" s="395"/>
      <c r="IS49" s="395"/>
      <c r="IT49" s="395"/>
      <c r="IU49" s="395"/>
      <c r="IV49" s="395"/>
      <c r="IW49" s="395"/>
    </row>
    <row r="50" customFormat="false" ht="12.75" hidden="false" customHeight="false" outlineLevel="0" collapsed="false">
      <c r="A50" s="323"/>
      <c r="B50" s="323"/>
      <c r="C50" s="395"/>
      <c r="D50" s="395"/>
      <c r="E50" s="422"/>
      <c r="F50" s="422"/>
      <c r="G50" s="422"/>
      <c r="H50" s="422"/>
      <c r="I50" s="422"/>
      <c r="J50" s="422"/>
      <c r="K50" s="422"/>
      <c r="L50" s="422"/>
      <c r="M50" s="422"/>
      <c r="N50" s="422"/>
      <c r="O50" s="422"/>
      <c r="P50" s="422"/>
      <c r="Q50" s="422"/>
      <c r="R50" s="422"/>
      <c r="S50" s="422"/>
      <c r="T50" s="422"/>
      <c r="U50" s="422"/>
      <c r="V50" s="422"/>
      <c r="W50" s="422"/>
      <c r="X50" s="422"/>
      <c r="Y50" s="422"/>
      <c r="Z50" s="422"/>
      <c r="AA50" s="395"/>
      <c r="AB50" s="395"/>
      <c r="AC50" s="395"/>
      <c r="AD50" s="395"/>
      <c r="AE50" s="395"/>
      <c r="AF50" s="395"/>
      <c r="AG50" s="395"/>
      <c r="AH50" s="395"/>
      <c r="AI50" s="395"/>
      <c r="AJ50" s="395"/>
      <c r="AK50" s="395"/>
      <c r="AL50" s="395"/>
      <c r="AM50" s="395"/>
      <c r="AN50" s="395"/>
      <c r="AO50" s="395"/>
      <c r="AP50" s="395"/>
      <c r="AQ50" s="395"/>
      <c r="AR50" s="395"/>
      <c r="AS50" s="395"/>
      <c r="AT50" s="395"/>
      <c r="AU50" s="395"/>
      <c r="AV50" s="395"/>
      <c r="AW50" s="395"/>
      <c r="AX50" s="395"/>
      <c r="AY50" s="395"/>
      <c r="AZ50" s="395"/>
      <c r="BA50" s="395"/>
      <c r="BB50" s="395"/>
      <c r="BC50" s="395"/>
      <c r="BD50" s="395"/>
      <c r="BE50" s="395"/>
      <c r="BF50" s="395"/>
      <c r="BG50" s="395"/>
      <c r="BH50" s="395"/>
      <c r="BI50" s="395"/>
      <c r="BJ50" s="395"/>
      <c r="BK50" s="395"/>
      <c r="BL50" s="395"/>
      <c r="BM50" s="395"/>
      <c r="BN50" s="395"/>
      <c r="BO50" s="395"/>
      <c r="BP50" s="395"/>
      <c r="BQ50" s="395"/>
      <c r="BR50" s="395"/>
      <c r="BS50" s="395"/>
      <c r="BT50" s="395"/>
      <c r="BU50" s="395"/>
      <c r="BV50" s="395"/>
      <c r="BW50" s="395"/>
      <c r="BX50" s="395"/>
      <c r="BY50" s="395"/>
      <c r="BZ50" s="395"/>
      <c r="CA50" s="395"/>
      <c r="CB50" s="395"/>
      <c r="CC50" s="395"/>
      <c r="CD50" s="395"/>
      <c r="CE50" s="395"/>
      <c r="CF50" s="395"/>
      <c r="CG50" s="395"/>
      <c r="CH50" s="395"/>
      <c r="CI50" s="395"/>
      <c r="CJ50" s="395"/>
      <c r="CK50" s="395"/>
      <c r="CL50" s="395"/>
      <c r="CM50" s="395"/>
      <c r="CN50" s="395"/>
      <c r="CO50" s="395"/>
      <c r="CP50" s="395"/>
      <c r="CQ50" s="395"/>
      <c r="CR50" s="395"/>
      <c r="CS50" s="395"/>
      <c r="CT50" s="395"/>
      <c r="CU50" s="395"/>
      <c r="CV50" s="395"/>
      <c r="CW50" s="395"/>
      <c r="CX50" s="395"/>
      <c r="CY50" s="395"/>
      <c r="CZ50" s="395"/>
      <c r="DA50" s="395"/>
      <c r="DB50" s="395"/>
      <c r="DC50" s="395"/>
      <c r="DD50" s="395"/>
      <c r="DE50" s="395"/>
      <c r="DF50" s="395"/>
      <c r="DG50" s="395"/>
      <c r="DH50" s="395"/>
      <c r="DI50" s="395"/>
      <c r="DJ50" s="395"/>
      <c r="DK50" s="395"/>
      <c r="DL50" s="395"/>
      <c r="DM50" s="395"/>
      <c r="DN50" s="395"/>
      <c r="DO50" s="395"/>
      <c r="DP50" s="395"/>
      <c r="DQ50" s="395"/>
      <c r="DR50" s="395"/>
      <c r="DS50" s="395"/>
      <c r="DT50" s="395"/>
      <c r="DU50" s="395"/>
      <c r="DV50" s="395"/>
      <c r="DW50" s="395"/>
      <c r="DX50" s="395"/>
      <c r="DY50" s="395"/>
      <c r="DZ50" s="395"/>
      <c r="EA50" s="395"/>
      <c r="EB50" s="395"/>
      <c r="EC50" s="395"/>
      <c r="ED50" s="395"/>
      <c r="EE50" s="395"/>
      <c r="EF50" s="395"/>
      <c r="EG50" s="395"/>
      <c r="EH50" s="395"/>
      <c r="EI50" s="395"/>
      <c r="EJ50" s="395"/>
      <c r="EK50" s="395"/>
      <c r="EL50" s="395"/>
      <c r="EM50" s="395"/>
      <c r="EN50" s="395"/>
      <c r="EO50" s="395"/>
      <c r="EP50" s="395"/>
      <c r="EQ50" s="395"/>
      <c r="ER50" s="395"/>
      <c r="ES50" s="395"/>
      <c r="ET50" s="395"/>
      <c r="EU50" s="395"/>
      <c r="EV50" s="395"/>
      <c r="EW50" s="395"/>
      <c r="EX50" s="395"/>
      <c r="EY50" s="395"/>
      <c r="EZ50" s="395"/>
      <c r="FA50" s="395"/>
      <c r="FB50" s="395"/>
      <c r="FC50" s="395"/>
      <c r="FD50" s="395"/>
      <c r="FE50" s="395"/>
      <c r="FF50" s="395"/>
      <c r="FG50" s="395"/>
      <c r="FH50" s="395"/>
      <c r="FI50" s="395"/>
      <c r="FJ50" s="395"/>
      <c r="FK50" s="395"/>
      <c r="FL50" s="395"/>
      <c r="FM50" s="395"/>
      <c r="FN50" s="395"/>
      <c r="FO50" s="395"/>
      <c r="FP50" s="395"/>
      <c r="FQ50" s="395"/>
      <c r="FR50" s="395"/>
      <c r="FS50" s="395"/>
      <c r="FT50" s="395"/>
      <c r="FU50" s="395"/>
      <c r="FV50" s="395"/>
      <c r="FW50" s="395"/>
      <c r="FX50" s="395"/>
      <c r="FY50" s="395"/>
      <c r="FZ50" s="395"/>
      <c r="GA50" s="395"/>
      <c r="GB50" s="395"/>
      <c r="GC50" s="395"/>
      <c r="GD50" s="395"/>
      <c r="GE50" s="395"/>
      <c r="GF50" s="395"/>
      <c r="GG50" s="395"/>
      <c r="GH50" s="395"/>
      <c r="GI50" s="395"/>
      <c r="GJ50" s="395"/>
      <c r="GK50" s="395"/>
      <c r="GL50" s="395"/>
      <c r="GM50" s="395"/>
      <c r="GN50" s="395"/>
      <c r="GO50" s="395"/>
      <c r="GP50" s="395"/>
      <c r="GQ50" s="395"/>
      <c r="GR50" s="395"/>
      <c r="GS50" s="395"/>
      <c r="GT50" s="395"/>
      <c r="GU50" s="395"/>
      <c r="GV50" s="395"/>
      <c r="GW50" s="395"/>
      <c r="GX50" s="395"/>
      <c r="GY50" s="395"/>
      <c r="GZ50" s="395"/>
      <c r="HA50" s="395"/>
      <c r="HB50" s="395"/>
      <c r="HC50" s="395"/>
      <c r="HD50" s="395"/>
      <c r="HE50" s="395"/>
      <c r="HF50" s="395"/>
      <c r="HG50" s="395"/>
      <c r="HH50" s="395"/>
      <c r="HI50" s="395"/>
      <c r="HJ50" s="395"/>
      <c r="HK50" s="395"/>
      <c r="HL50" s="395"/>
      <c r="HM50" s="395"/>
      <c r="HN50" s="395"/>
      <c r="HO50" s="395"/>
      <c r="HP50" s="395"/>
      <c r="HQ50" s="395"/>
      <c r="HR50" s="395"/>
      <c r="HS50" s="395"/>
      <c r="HT50" s="395"/>
      <c r="HU50" s="395"/>
      <c r="HV50" s="395"/>
      <c r="HW50" s="395"/>
      <c r="HX50" s="395"/>
      <c r="HY50" s="395"/>
      <c r="HZ50" s="395"/>
      <c r="IA50" s="395"/>
      <c r="IB50" s="395"/>
      <c r="IC50" s="395"/>
      <c r="ID50" s="395"/>
      <c r="IE50" s="395"/>
      <c r="IF50" s="395"/>
      <c r="IG50" s="395"/>
      <c r="IH50" s="395"/>
      <c r="II50" s="395"/>
      <c r="IJ50" s="395"/>
      <c r="IK50" s="395"/>
      <c r="IL50" s="395"/>
      <c r="IM50" s="395"/>
      <c r="IN50" s="395"/>
      <c r="IO50" s="395"/>
      <c r="IP50" s="395"/>
      <c r="IQ50" s="395"/>
      <c r="IR50" s="395"/>
      <c r="IS50" s="395"/>
      <c r="IT50" s="395"/>
      <c r="IU50" s="395"/>
      <c r="IV50" s="395"/>
      <c r="IW50" s="395"/>
    </row>
    <row r="51" customFormat="false" ht="12.75" hidden="false" customHeight="false" outlineLevel="0" collapsed="false">
      <c r="A51" s="327" t="s">
        <v>294</v>
      </c>
      <c r="C51" s="659" t="n">
        <f aca="false">Assumptions!$R$44</f>
        <v>0.0718</v>
      </c>
      <c r="D51" s="659"/>
      <c r="E51" s="115" t="n">
        <f aca="false">E49*-$C$51</f>
        <v>-0</v>
      </c>
      <c r="F51" s="115" t="n">
        <f aca="false">F49*-$C$51</f>
        <v>-77.9025589626026</v>
      </c>
      <c r="G51" s="115" t="n">
        <f aca="false">G49*-$C$51</f>
        <v>-187.983608558817</v>
      </c>
      <c r="H51" s="417" t="n">
        <f aca="false">H49*-$C$51</f>
        <v>-218.221306734163</v>
      </c>
      <c r="I51" s="115" t="n">
        <f aca="false">I49*-$C$51</f>
        <v>-1493.19160923147</v>
      </c>
      <c r="J51" s="115" t="n">
        <f aca="false">J49*-$C$51</f>
        <v>-1555.87942200398</v>
      </c>
      <c r="K51" s="115" t="n">
        <f aca="false">K49*-$C$51</f>
        <v>-1693.98875556412</v>
      </c>
      <c r="L51" s="115" t="n">
        <f aca="false">L49*-$C$51</f>
        <v>-1717.88674951813</v>
      </c>
      <c r="M51" s="115" t="n">
        <f aca="false">M49*-$C$51</f>
        <v>-1804.92904023628</v>
      </c>
      <c r="N51" s="115" t="n">
        <f aca="false">N49*-$C$51</f>
        <v>-1898.36248630955</v>
      </c>
      <c r="O51" s="115" t="n">
        <f aca="false">O49*-$C$51</f>
        <v>-2006.04287968429</v>
      </c>
      <c r="P51" s="115" t="n">
        <f aca="false">P49*-$C$51</f>
        <v>-2105.67537576254</v>
      </c>
      <c r="Q51" s="115" t="n">
        <f aca="false">Q49*-$C$51</f>
        <v>-2199.39804957193</v>
      </c>
      <c r="R51" s="115" t="n">
        <f aca="false">R49*-$C$51</f>
        <v>-2297.07510320534</v>
      </c>
      <c r="S51" s="115" t="n">
        <f aca="false">S49*-$C$51</f>
        <v>-2402.08282229858</v>
      </c>
      <c r="T51" s="115" t="n">
        <f aca="false">T49*-$C$51</f>
        <v>-2507.50889055058</v>
      </c>
      <c r="U51" s="115" t="n">
        <f aca="false">U49*-$C$51</f>
        <v>-2617.46320473476</v>
      </c>
      <c r="V51" s="115" t="n">
        <f aca="false">V49*-$C$51</f>
        <v>-2730.42992851666</v>
      </c>
      <c r="W51" s="115" t="n">
        <f aca="false">W49*-$C$51</f>
        <v>-2844.89054019495</v>
      </c>
      <c r="X51" s="115" t="n">
        <f aca="false">X49*-$C$51</f>
        <v>-2949.04369355662</v>
      </c>
      <c r="Y51" s="115" t="n">
        <f aca="false">Y49*-$C$51</f>
        <v>-2954.90307663829</v>
      </c>
      <c r="Z51" s="115" t="n">
        <f aca="false">Z49*-$C$51</f>
        <v>-3006.53379931953</v>
      </c>
    </row>
    <row r="52" customFormat="false" ht="12.75" hidden="false" customHeight="false" outlineLevel="0" collapsed="false">
      <c r="A52" s="327" t="s">
        <v>295</v>
      </c>
      <c r="C52" s="659" t="n">
        <f aca="false">Assumptions!$R$43</f>
        <v>0.35</v>
      </c>
      <c r="D52" s="659"/>
      <c r="E52" s="660" t="n">
        <v>0</v>
      </c>
      <c r="F52" s="660" t="n">
        <f aca="false">(F49+F51)*-$C$52</f>
        <v>-352.481954459341</v>
      </c>
      <c r="G52" s="660" t="n">
        <f aca="false">(G49+G51)*-$C$52</f>
        <v>-850.560374825943</v>
      </c>
      <c r="H52" s="660" t="n">
        <f aca="false">(H49+H51)*-$C$52</f>
        <v>-987.375430622945</v>
      </c>
      <c r="I52" s="660" t="n">
        <f aca="false">(I49+I51)*-$C$52</f>
        <v>-6756.17211825945</v>
      </c>
      <c r="J52" s="660" t="n">
        <f aca="false">(J49+J51)*-$C$52</f>
        <v>-7039.8126438222</v>
      </c>
      <c r="K52" s="660" t="n">
        <f aca="false">(K49+K51)*-$C$52</f>
        <v>-7664.70928997373</v>
      </c>
      <c r="L52" s="660" t="n">
        <f aca="false">(L49+L51)*-$C$52</f>
        <v>-7772.8393915871</v>
      </c>
      <c r="M52" s="660" t="n">
        <f aca="false">(M49+M51)*-$C$52</f>
        <v>-8166.67544988247</v>
      </c>
      <c r="N52" s="660" t="n">
        <f aca="false">(N49+N51)*-$C$52</f>
        <v>-8589.42926082704</v>
      </c>
      <c r="O52" s="660" t="n">
        <f aca="false">(O49+O51)*-$C$52</f>
        <v>-9076.6455476746</v>
      </c>
      <c r="P52" s="660" t="n">
        <f aca="false">(P49+P51)*-$C$52</f>
        <v>-9527.44790144812</v>
      </c>
      <c r="Q52" s="660" t="n">
        <f aca="false">(Q49+Q51)*-$C$52</f>
        <v>-9951.51036719267</v>
      </c>
      <c r="R52" s="660" t="n">
        <f aca="false">(R49+R51)*-$C$52</f>
        <v>-10393.4650247677</v>
      </c>
      <c r="S52" s="660" t="n">
        <f aca="false">(S49+S51)*-$C$52</f>
        <v>-10868.5883910883</v>
      </c>
      <c r="T52" s="660" t="n">
        <f aca="false">(T49+T51)*-$C$52</f>
        <v>-11345.6046416876</v>
      </c>
      <c r="U52" s="660" t="n">
        <f aca="false">(U49+U51)*-$C$52</f>
        <v>-11843.1096284426</v>
      </c>
      <c r="V52" s="660" t="n">
        <f aca="false">(V49+V51)*-$C$52</f>
        <v>-12354.2447197383</v>
      </c>
      <c r="W52" s="660" t="n">
        <f aca="false">(W49+W51)*-$C$52</f>
        <v>-12872.1391336091</v>
      </c>
      <c r="X52" s="660" t="n">
        <f aca="false">(X49+X51)*-$C$52</f>
        <v>-13343.3958875451</v>
      </c>
      <c r="Y52" s="660" t="n">
        <f aca="false">(Y49+Y51)*-$C$52</f>
        <v>-13369.9075558145</v>
      </c>
      <c r="Z52" s="660" t="n">
        <f aca="false">(Z49+Z51)*-$C$52</f>
        <v>-13603.518598676</v>
      </c>
    </row>
    <row r="53" customFormat="false" ht="6" hidden="false" customHeight="true" outlineLevel="0" collapsed="false"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</row>
    <row r="54" customFormat="false" ht="15.75" hidden="false" customHeight="false" outlineLevel="0" collapsed="false">
      <c r="A54" s="344" t="s">
        <v>490</v>
      </c>
      <c r="B54" s="344"/>
      <c r="C54" s="344"/>
      <c r="D54" s="344"/>
      <c r="E54" s="661" t="n">
        <f aca="false">SUM(E49:E52)</f>
        <v>0</v>
      </c>
      <c r="F54" s="661" t="n">
        <f aca="false">SUM(F49:F52)</f>
        <v>654.609343995919</v>
      </c>
      <c r="G54" s="661" t="n">
        <f aca="false">SUM(G49:G52)</f>
        <v>1579.61212467675</v>
      </c>
      <c r="H54" s="661" t="n">
        <f aca="false">SUM(H49:H52)</f>
        <v>1833.69722829975</v>
      </c>
      <c r="I54" s="661" t="n">
        <f aca="false">SUM(I49:I52)</f>
        <v>12547.1767910533</v>
      </c>
      <c r="J54" s="661" t="n">
        <f aca="false">SUM(J49:J52)</f>
        <v>13073.9377670984</v>
      </c>
      <c r="K54" s="661" t="n">
        <f aca="false">SUM(K49:K52)</f>
        <v>14234.4601099512</v>
      </c>
      <c r="L54" s="661" t="n">
        <f aca="false">SUM(L49:L52)</f>
        <v>14435.2731558046</v>
      </c>
      <c r="M54" s="661" t="n">
        <f aca="false">SUM(M49:M52)</f>
        <v>15166.6829783532</v>
      </c>
      <c r="N54" s="661" t="n">
        <f aca="false">SUM(N49:N52)</f>
        <v>15951.7971986788</v>
      </c>
      <c r="O54" s="661" t="n">
        <f aca="false">SUM(O49:O52)</f>
        <v>16856.6274456814</v>
      </c>
      <c r="P54" s="661" t="n">
        <f aca="false">SUM(P49:P52)</f>
        <v>17693.8318169751</v>
      </c>
      <c r="Q54" s="661" t="n">
        <f aca="false">SUM(Q49:Q52)</f>
        <v>18481.376396215</v>
      </c>
      <c r="R54" s="661" t="n">
        <f aca="false">SUM(R49:R52)</f>
        <v>19302.1493317114</v>
      </c>
      <c r="S54" s="661" t="n">
        <f aca="false">SUM(S49:S52)</f>
        <v>20184.5212977354</v>
      </c>
      <c r="T54" s="661" t="n">
        <f aca="false">SUM(T49:T52)</f>
        <v>21070.4086202769</v>
      </c>
      <c r="U54" s="661" t="n">
        <f aca="false">SUM(U49:U52)</f>
        <v>21994.3464528221</v>
      </c>
      <c r="V54" s="661" t="n">
        <f aca="false">SUM(V49:V52)</f>
        <v>22943.5973366568</v>
      </c>
      <c r="W54" s="661" t="n">
        <f aca="false">SUM(W49:W52)</f>
        <v>23905.4012481312</v>
      </c>
      <c r="X54" s="661" t="n">
        <f aca="false">SUM(X49:X52)</f>
        <v>24780.5923625838</v>
      </c>
      <c r="Y54" s="661" t="n">
        <f aca="false">SUM(Y49:Y52)</f>
        <v>24829.8283179412</v>
      </c>
      <c r="Z54" s="661" t="n">
        <f aca="false">SUM(Z49:Z52)</f>
        <v>25263.6773975412</v>
      </c>
      <c r="AA54" s="662"/>
      <c r="AB54" s="662"/>
      <c r="AC54" s="662"/>
      <c r="AD54" s="662"/>
      <c r="AE54" s="662"/>
      <c r="AF54" s="662"/>
      <c r="AG54" s="662"/>
      <c r="AH54" s="662"/>
      <c r="AI54" s="662"/>
      <c r="AJ54" s="662"/>
      <c r="AK54" s="662"/>
      <c r="AL54" s="662"/>
      <c r="AM54" s="662"/>
      <c r="AN54" s="662"/>
      <c r="AO54" s="662"/>
      <c r="AP54" s="662"/>
      <c r="AQ54" s="662"/>
      <c r="AR54" s="662"/>
      <c r="AS54" s="662"/>
      <c r="AT54" s="662"/>
      <c r="AU54" s="662"/>
      <c r="AV54" s="662"/>
      <c r="AW54" s="662"/>
      <c r="AX54" s="662"/>
      <c r="AY54" s="662"/>
      <c r="AZ54" s="662"/>
      <c r="BA54" s="662"/>
      <c r="BB54" s="662"/>
      <c r="BC54" s="662"/>
      <c r="BD54" s="662"/>
      <c r="BE54" s="662"/>
      <c r="BF54" s="662"/>
      <c r="BG54" s="662"/>
      <c r="BH54" s="662"/>
      <c r="BI54" s="662"/>
      <c r="BJ54" s="662"/>
      <c r="BK54" s="662"/>
      <c r="BL54" s="662"/>
      <c r="BM54" s="662"/>
      <c r="BN54" s="662"/>
      <c r="BO54" s="662"/>
      <c r="BP54" s="662"/>
      <c r="BQ54" s="662"/>
      <c r="BR54" s="662"/>
      <c r="BS54" s="662"/>
      <c r="BT54" s="662"/>
      <c r="BU54" s="662"/>
      <c r="BV54" s="662"/>
      <c r="BW54" s="662"/>
      <c r="BX54" s="662"/>
      <c r="BY54" s="662"/>
      <c r="BZ54" s="662"/>
      <c r="CA54" s="662"/>
      <c r="CB54" s="662"/>
      <c r="CC54" s="662"/>
      <c r="CD54" s="662"/>
      <c r="CE54" s="662"/>
      <c r="CF54" s="662"/>
      <c r="CG54" s="662"/>
      <c r="CH54" s="662"/>
      <c r="CI54" s="662"/>
      <c r="CJ54" s="662"/>
      <c r="CK54" s="662"/>
      <c r="CL54" s="662"/>
      <c r="CM54" s="662"/>
      <c r="CN54" s="662"/>
      <c r="CO54" s="662"/>
      <c r="CP54" s="662"/>
      <c r="CQ54" s="662"/>
      <c r="CR54" s="662"/>
      <c r="CS54" s="662"/>
      <c r="CT54" s="662"/>
      <c r="CU54" s="662"/>
      <c r="CV54" s="662"/>
      <c r="CW54" s="662"/>
      <c r="CX54" s="662"/>
      <c r="CY54" s="662"/>
      <c r="CZ54" s="662"/>
      <c r="DA54" s="662"/>
      <c r="DB54" s="662"/>
      <c r="DC54" s="662"/>
      <c r="DD54" s="662"/>
      <c r="DE54" s="662"/>
      <c r="DF54" s="662"/>
      <c r="DG54" s="662"/>
      <c r="DH54" s="662"/>
      <c r="DI54" s="662"/>
      <c r="DJ54" s="662"/>
      <c r="DK54" s="662"/>
      <c r="DL54" s="662"/>
      <c r="DM54" s="662"/>
      <c r="DN54" s="662"/>
      <c r="DO54" s="662"/>
      <c r="DP54" s="662"/>
      <c r="DQ54" s="662"/>
      <c r="DR54" s="662"/>
      <c r="DS54" s="662"/>
      <c r="DT54" s="662"/>
      <c r="DU54" s="662"/>
      <c r="DV54" s="662"/>
      <c r="DW54" s="662"/>
      <c r="DX54" s="662"/>
      <c r="DY54" s="662"/>
      <c r="DZ54" s="662"/>
      <c r="EA54" s="662"/>
      <c r="EB54" s="662"/>
      <c r="EC54" s="662"/>
      <c r="ED54" s="662"/>
      <c r="EE54" s="662"/>
      <c r="EF54" s="662"/>
      <c r="EG54" s="662"/>
      <c r="EH54" s="662"/>
      <c r="EI54" s="662"/>
      <c r="EJ54" s="662"/>
      <c r="EK54" s="662"/>
      <c r="EL54" s="662"/>
      <c r="EM54" s="662"/>
      <c r="EN54" s="662"/>
      <c r="EO54" s="662"/>
      <c r="EP54" s="662"/>
      <c r="EQ54" s="662"/>
      <c r="ER54" s="662"/>
      <c r="ES54" s="662"/>
      <c r="ET54" s="662"/>
      <c r="EU54" s="662"/>
      <c r="EV54" s="662"/>
      <c r="EW54" s="662"/>
      <c r="EX54" s="662"/>
      <c r="EY54" s="662"/>
      <c r="EZ54" s="662"/>
      <c r="FA54" s="662"/>
      <c r="FB54" s="662"/>
      <c r="FC54" s="662"/>
      <c r="FD54" s="662"/>
      <c r="FE54" s="662"/>
      <c r="FF54" s="662"/>
      <c r="FG54" s="662"/>
      <c r="FH54" s="662"/>
      <c r="FI54" s="662"/>
      <c r="FJ54" s="662"/>
      <c r="FK54" s="662"/>
      <c r="FL54" s="662"/>
      <c r="FM54" s="662"/>
      <c r="FN54" s="662"/>
      <c r="FO54" s="662"/>
      <c r="FP54" s="662"/>
      <c r="FQ54" s="662"/>
      <c r="FR54" s="662"/>
      <c r="FS54" s="662"/>
      <c r="FT54" s="662"/>
      <c r="FU54" s="662"/>
      <c r="FV54" s="662"/>
      <c r="FW54" s="662"/>
      <c r="FX54" s="662"/>
      <c r="FY54" s="662"/>
      <c r="FZ54" s="662"/>
      <c r="GA54" s="662"/>
      <c r="GB54" s="662"/>
      <c r="GC54" s="662"/>
      <c r="GD54" s="662"/>
      <c r="GE54" s="662"/>
      <c r="GF54" s="662"/>
      <c r="GG54" s="662"/>
      <c r="GH54" s="662"/>
      <c r="GI54" s="662"/>
      <c r="GJ54" s="662"/>
      <c r="GK54" s="662"/>
      <c r="GL54" s="662"/>
      <c r="GM54" s="662"/>
      <c r="GN54" s="662"/>
      <c r="GO54" s="662"/>
      <c r="GP54" s="662"/>
      <c r="GQ54" s="662"/>
      <c r="GR54" s="662"/>
      <c r="GS54" s="662"/>
      <c r="GT54" s="662"/>
      <c r="GU54" s="662"/>
      <c r="GV54" s="662"/>
      <c r="GW54" s="662"/>
      <c r="GX54" s="662"/>
      <c r="GY54" s="662"/>
      <c r="GZ54" s="662"/>
      <c r="HA54" s="662"/>
      <c r="HB54" s="662"/>
      <c r="HC54" s="662"/>
      <c r="HD54" s="662"/>
      <c r="HE54" s="662"/>
      <c r="HF54" s="662"/>
      <c r="HG54" s="662"/>
      <c r="HH54" s="662"/>
      <c r="HI54" s="662"/>
      <c r="HJ54" s="662"/>
      <c r="HK54" s="662"/>
      <c r="HL54" s="662"/>
      <c r="HM54" s="662"/>
      <c r="HN54" s="662"/>
      <c r="HO54" s="662"/>
      <c r="HP54" s="662"/>
      <c r="HQ54" s="662"/>
      <c r="HR54" s="662"/>
      <c r="HS54" s="662"/>
      <c r="HT54" s="662"/>
      <c r="HU54" s="662"/>
      <c r="HV54" s="662"/>
      <c r="HW54" s="662"/>
      <c r="HX54" s="662"/>
      <c r="HY54" s="662"/>
      <c r="HZ54" s="662"/>
      <c r="IA54" s="662"/>
      <c r="IB54" s="662"/>
      <c r="IC54" s="662"/>
      <c r="ID54" s="662"/>
      <c r="IE54" s="662"/>
      <c r="IF54" s="662"/>
      <c r="IG54" s="662"/>
      <c r="IH54" s="662"/>
      <c r="II54" s="662"/>
      <c r="IJ54" s="662"/>
      <c r="IK54" s="662"/>
      <c r="IL54" s="662"/>
      <c r="IM54" s="662"/>
      <c r="IN54" s="662"/>
      <c r="IO54" s="662"/>
      <c r="IP54" s="662"/>
      <c r="IQ54" s="662"/>
      <c r="IR54" s="662"/>
      <c r="IS54" s="662"/>
      <c r="IT54" s="662"/>
      <c r="IU54" s="662"/>
      <c r="IV54" s="662"/>
      <c r="IW54" s="662"/>
    </row>
    <row r="55" customFormat="false" ht="9" hidden="false" customHeight="false" outlineLevel="1" collapsed="false">
      <c r="A55" s="331"/>
      <c r="B55" s="654" t="n">
        <f aca="false">SUM(I55:Z55)</f>
        <v>0</v>
      </c>
      <c r="C55" s="654"/>
      <c r="D55" s="654"/>
      <c r="E55" s="331"/>
      <c r="F55" s="663"/>
      <c r="G55" s="663"/>
      <c r="H55" s="663"/>
      <c r="I55" s="663"/>
      <c r="J55" s="663"/>
      <c r="K55" s="663"/>
      <c r="L55" s="663"/>
      <c r="M55" s="663"/>
      <c r="N55" s="663"/>
      <c r="O55" s="663"/>
      <c r="P55" s="663"/>
      <c r="Q55" s="663"/>
      <c r="R55" s="663"/>
      <c r="S55" s="663"/>
      <c r="T55" s="663"/>
      <c r="U55" s="663"/>
      <c r="V55" s="663"/>
      <c r="W55" s="663"/>
      <c r="X55" s="663"/>
      <c r="Y55" s="663"/>
      <c r="Z55" s="663"/>
      <c r="AA55" s="653"/>
      <c r="AB55" s="653"/>
      <c r="AC55" s="653"/>
      <c r="AD55" s="653"/>
      <c r="AE55" s="653"/>
      <c r="AF55" s="653"/>
      <c r="AG55" s="653"/>
      <c r="AH55" s="653"/>
      <c r="AI55" s="653"/>
      <c r="AJ55" s="653"/>
      <c r="AK55" s="653"/>
      <c r="AL55" s="653"/>
      <c r="AM55" s="653"/>
      <c r="AN55" s="653"/>
      <c r="AO55" s="653"/>
      <c r="AP55" s="653"/>
      <c r="AQ55" s="653"/>
      <c r="AR55" s="653"/>
      <c r="AS55" s="653"/>
      <c r="AT55" s="653"/>
      <c r="AU55" s="653"/>
      <c r="AV55" s="653"/>
      <c r="AW55" s="653"/>
      <c r="AX55" s="653"/>
      <c r="AY55" s="653"/>
      <c r="AZ55" s="653"/>
      <c r="BA55" s="653"/>
      <c r="BB55" s="653"/>
      <c r="BC55" s="653"/>
      <c r="BD55" s="653"/>
      <c r="BE55" s="653"/>
      <c r="BF55" s="653"/>
      <c r="BG55" s="653"/>
      <c r="BH55" s="653"/>
      <c r="BI55" s="653"/>
      <c r="BJ55" s="653"/>
      <c r="BK55" s="653"/>
      <c r="BL55" s="653"/>
      <c r="BM55" s="653"/>
      <c r="BN55" s="653"/>
      <c r="BO55" s="653"/>
      <c r="BP55" s="653"/>
      <c r="BQ55" s="653"/>
      <c r="BR55" s="653"/>
      <c r="BS55" s="653"/>
      <c r="BT55" s="653"/>
      <c r="BU55" s="653"/>
      <c r="BV55" s="653"/>
      <c r="BW55" s="653"/>
      <c r="BX55" s="653"/>
      <c r="BY55" s="653"/>
      <c r="BZ55" s="653"/>
      <c r="CA55" s="653"/>
      <c r="CB55" s="653"/>
      <c r="CC55" s="653"/>
      <c r="CD55" s="653"/>
      <c r="CE55" s="653"/>
      <c r="CF55" s="653"/>
      <c r="CG55" s="653"/>
      <c r="CH55" s="653"/>
      <c r="CI55" s="653"/>
      <c r="CJ55" s="653"/>
      <c r="CK55" s="653"/>
      <c r="CL55" s="653"/>
      <c r="CM55" s="653"/>
      <c r="CN55" s="653"/>
      <c r="CO55" s="653"/>
      <c r="CP55" s="653"/>
      <c r="CQ55" s="653"/>
      <c r="CR55" s="653"/>
      <c r="CS55" s="653"/>
      <c r="CT55" s="653"/>
      <c r="CU55" s="653"/>
      <c r="CV55" s="653"/>
      <c r="CW55" s="653"/>
      <c r="CX55" s="653"/>
      <c r="CY55" s="653"/>
      <c r="CZ55" s="653"/>
      <c r="DA55" s="653"/>
      <c r="DB55" s="653"/>
      <c r="DC55" s="653"/>
      <c r="DD55" s="653"/>
      <c r="DE55" s="653"/>
      <c r="DF55" s="653"/>
      <c r="DG55" s="653"/>
      <c r="DH55" s="653"/>
      <c r="DI55" s="653"/>
      <c r="DJ55" s="653"/>
      <c r="DK55" s="653"/>
      <c r="DL55" s="653"/>
      <c r="DM55" s="653"/>
      <c r="DN55" s="653"/>
      <c r="DO55" s="653"/>
      <c r="DP55" s="653"/>
      <c r="DQ55" s="653"/>
      <c r="DR55" s="653"/>
      <c r="DS55" s="653"/>
      <c r="DT55" s="653"/>
      <c r="DU55" s="653"/>
      <c r="DV55" s="653"/>
      <c r="DW55" s="653"/>
      <c r="DX55" s="653"/>
      <c r="DY55" s="653"/>
      <c r="DZ55" s="653"/>
      <c r="EA55" s="653"/>
      <c r="EB55" s="653"/>
      <c r="EC55" s="653"/>
      <c r="ED55" s="653"/>
      <c r="EE55" s="653"/>
      <c r="EF55" s="653"/>
      <c r="EG55" s="653"/>
      <c r="EH55" s="653"/>
      <c r="EI55" s="653"/>
      <c r="EJ55" s="653"/>
      <c r="EK55" s="653"/>
      <c r="EL55" s="653"/>
      <c r="EM55" s="653"/>
      <c r="EN55" s="653"/>
      <c r="EO55" s="653"/>
      <c r="EP55" s="653"/>
      <c r="EQ55" s="653"/>
      <c r="ER55" s="653"/>
      <c r="ES55" s="653"/>
      <c r="ET55" s="653"/>
      <c r="EU55" s="653"/>
      <c r="EV55" s="653"/>
      <c r="EW55" s="653"/>
      <c r="EX55" s="653"/>
      <c r="EY55" s="653"/>
      <c r="EZ55" s="653"/>
      <c r="FA55" s="653"/>
      <c r="FB55" s="653"/>
      <c r="FC55" s="653"/>
      <c r="FD55" s="653"/>
      <c r="FE55" s="653"/>
      <c r="FF55" s="653"/>
      <c r="FG55" s="653"/>
      <c r="FH55" s="653"/>
      <c r="FI55" s="653"/>
      <c r="FJ55" s="653"/>
      <c r="FK55" s="653"/>
      <c r="FL55" s="653"/>
      <c r="FM55" s="653"/>
      <c r="FN55" s="653"/>
      <c r="FO55" s="653"/>
      <c r="FP55" s="653"/>
      <c r="FQ55" s="653"/>
      <c r="FR55" s="653"/>
      <c r="FS55" s="653"/>
      <c r="FT55" s="653"/>
      <c r="FU55" s="653"/>
      <c r="FV55" s="653"/>
      <c r="FW55" s="653"/>
      <c r="FX55" s="653"/>
      <c r="FY55" s="653"/>
      <c r="FZ55" s="653"/>
      <c r="GA55" s="653"/>
      <c r="GB55" s="653"/>
      <c r="GC55" s="653"/>
      <c r="GD55" s="653"/>
      <c r="GE55" s="653"/>
      <c r="GF55" s="653"/>
      <c r="GG55" s="653"/>
      <c r="GH55" s="653"/>
      <c r="GI55" s="653"/>
      <c r="GJ55" s="653"/>
      <c r="GK55" s="653"/>
      <c r="GL55" s="653"/>
      <c r="GM55" s="653"/>
      <c r="GN55" s="653"/>
      <c r="GO55" s="653"/>
      <c r="GP55" s="653"/>
      <c r="GQ55" s="653"/>
      <c r="GR55" s="653"/>
      <c r="GS55" s="653"/>
      <c r="GT55" s="653"/>
      <c r="GU55" s="653"/>
      <c r="GV55" s="653"/>
      <c r="GW55" s="653"/>
      <c r="GX55" s="653"/>
      <c r="GY55" s="653"/>
      <c r="GZ55" s="653"/>
      <c r="HA55" s="653"/>
      <c r="HB55" s="653"/>
      <c r="HC55" s="653"/>
      <c r="HD55" s="653"/>
      <c r="HE55" s="653"/>
      <c r="HF55" s="653"/>
      <c r="HG55" s="653"/>
      <c r="HH55" s="653"/>
      <c r="HI55" s="653"/>
      <c r="HJ55" s="653"/>
      <c r="HK55" s="653"/>
      <c r="HL55" s="653"/>
      <c r="HM55" s="653"/>
      <c r="HN55" s="653"/>
      <c r="HO55" s="653"/>
      <c r="HP55" s="653"/>
      <c r="HQ55" s="653"/>
      <c r="HR55" s="653"/>
      <c r="HS55" s="653"/>
      <c r="HT55" s="653"/>
      <c r="HU55" s="653"/>
      <c r="HV55" s="653"/>
      <c r="HW55" s="653"/>
      <c r="HX55" s="653"/>
      <c r="HY55" s="653"/>
      <c r="HZ55" s="653"/>
      <c r="IA55" s="653"/>
      <c r="IB55" s="653"/>
      <c r="IC55" s="653"/>
      <c r="ID55" s="653"/>
      <c r="IE55" s="653"/>
      <c r="IF55" s="653"/>
      <c r="IG55" s="653"/>
      <c r="IH55" s="653"/>
      <c r="II55" s="653"/>
      <c r="IJ55" s="653"/>
      <c r="IK55" s="653"/>
      <c r="IL55" s="653"/>
      <c r="IM55" s="653"/>
      <c r="IN55" s="653"/>
      <c r="IO55" s="653"/>
      <c r="IP55" s="653"/>
      <c r="IQ55" s="653"/>
      <c r="IR55" s="653"/>
      <c r="IS55" s="653"/>
      <c r="IT55" s="653"/>
      <c r="IU55" s="653"/>
      <c r="IV55" s="653"/>
      <c r="IW55" s="653"/>
    </row>
    <row r="56" customFormat="false" ht="9" hidden="false" customHeight="false" outlineLevel="1" collapsed="false">
      <c r="A56" s="331"/>
      <c r="B56" s="654"/>
      <c r="C56" s="654"/>
      <c r="D56" s="654"/>
      <c r="E56" s="331"/>
      <c r="F56" s="663"/>
      <c r="G56" s="663"/>
      <c r="H56" s="663"/>
      <c r="I56" s="663"/>
      <c r="J56" s="663"/>
      <c r="K56" s="663"/>
      <c r="L56" s="663"/>
      <c r="M56" s="663"/>
      <c r="N56" s="663"/>
      <c r="O56" s="663"/>
      <c r="P56" s="663"/>
      <c r="Q56" s="663"/>
      <c r="R56" s="663"/>
      <c r="S56" s="663"/>
      <c r="T56" s="663"/>
      <c r="U56" s="663"/>
      <c r="V56" s="663"/>
      <c r="W56" s="663"/>
      <c r="X56" s="663"/>
      <c r="Y56" s="663"/>
      <c r="Z56" s="663"/>
      <c r="AA56" s="653"/>
      <c r="AB56" s="653"/>
      <c r="AC56" s="653"/>
      <c r="AD56" s="653"/>
      <c r="AE56" s="653"/>
      <c r="AF56" s="653"/>
      <c r="AG56" s="653"/>
      <c r="AH56" s="653"/>
      <c r="AI56" s="653"/>
      <c r="AJ56" s="653"/>
      <c r="AK56" s="653"/>
      <c r="AL56" s="653"/>
      <c r="AM56" s="653"/>
      <c r="AN56" s="653"/>
      <c r="AO56" s="653"/>
      <c r="AP56" s="653"/>
      <c r="AQ56" s="653"/>
      <c r="AR56" s="653"/>
      <c r="AS56" s="653"/>
      <c r="AT56" s="653"/>
      <c r="AU56" s="653"/>
      <c r="AV56" s="653"/>
      <c r="AW56" s="653"/>
      <c r="AX56" s="653"/>
      <c r="AY56" s="653"/>
      <c r="AZ56" s="653"/>
      <c r="BA56" s="653"/>
      <c r="BB56" s="653"/>
      <c r="BC56" s="653"/>
      <c r="BD56" s="653"/>
      <c r="BE56" s="653"/>
      <c r="BF56" s="653"/>
      <c r="BG56" s="653"/>
      <c r="BH56" s="653"/>
      <c r="BI56" s="653"/>
      <c r="BJ56" s="653"/>
      <c r="BK56" s="653"/>
      <c r="BL56" s="653"/>
      <c r="BM56" s="653"/>
      <c r="BN56" s="653"/>
      <c r="BO56" s="653"/>
      <c r="BP56" s="653"/>
      <c r="BQ56" s="653"/>
      <c r="BR56" s="653"/>
      <c r="BS56" s="653"/>
      <c r="BT56" s="653"/>
      <c r="BU56" s="653"/>
      <c r="BV56" s="653"/>
      <c r="BW56" s="653"/>
      <c r="BX56" s="653"/>
      <c r="BY56" s="653"/>
      <c r="BZ56" s="653"/>
      <c r="CA56" s="653"/>
      <c r="CB56" s="653"/>
      <c r="CC56" s="653"/>
      <c r="CD56" s="653"/>
      <c r="CE56" s="653"/>
      <c r="CF56" s="653"/>
      <c r="CG56" s="653"/>
      <c r="CH56" s="653"/>
      <c r="CI56" s="653"/>
      <c r="CJ56" s="653"/>
      <c r="CK56" s="653"/>
      <c r="CL56" s="653"/>
      <c r="CM56" s="653"/>
      <c r="CN56" s="653"/>
      <c r="CO56" s="653"/>
      <c r="CP56" s="653"/>
      <c r="CQ56" s="653"/>
      <c r="CR56" s="653"/>
      <c r="CS56" s="653"/>
      <c r="CT56" s="653"/>
      <c r="CU56" s="653"/>
      <c r="CV56" s="653"/>
      <c r="CW56" s="653"/>
      <c r="CX56" s="653"/>
      <c r="CY56" s="653"/>
      <c r="CZ56" s="653"/>
      <c r="DA56" s="653"/>
      <c r="DB56" s="653"/>
      <c r="DC56" s="653"/>
      <c r="DD56" s="653"/>
      <c r="DE56" s="653"/>
      <c r="DF56" s="653"/>
      <c r="DG56" s="653"/>
      <c r="DH56" s="653"/>
      <c r="DI56" s="653"/>
      <c r="DJ56" s="653"/>
      <c r="DK56" s="653"/>
      <c r="DL56" s="653"/>
      <c r="DM56" s="653"/>
      <c r="DN56" s="653"/>
      <c r="DO56" s="653"/>
      <c r="DP56" s="653"/>
      <c r="DQ56" s="653"/>
      <c r="DR56" s="653"/>
      <c r="DS56" s="653"/>
      <c r="DT56" s="653"/>
      <c r="DU56" s="653"/>
      <c r="DV56" s="653"/>
      <c r="DW56" s="653"/>
      <c r="DX56" s="653"/>
      <c r="DY56" s="653"/>
      <c r="DZ56" s="653"/>
      <c r="EA56" s="653"/>
      <c r="EB56" s="653"/>
      <c r="EC56" s="653"/>
      <c r="ED56" s="653"/>
      <c r="EE56" s="653"/>
      <c r="EF56" s="653"/>
      <c r="EG56" s="653"/>
      <c r="EH56" s="653"/>
      <c r="EI56" s="653"/>
      <c r="EJ56" s="653"/>
      <c r="EK56" s="653"/>
      <c r="EL56" s="653"/>
      <c r="EM56" s="653"/>
      <c r="EN56" s="653"/>
      <c r="EO56" s="653"/>
      <c r="EP56" s="653"/>
      <c r="EQ56" s="653"/>
      <c r="ER56" s="653"/>
      <c r="ES56" s="653"/>
      <c r="ET56" s="653"/>
      <c r="EU56" s="653"/>
      <c r="EV56" s="653"/>
      <c r="EW56" s="653"/>
      <c r="EX56" s="653"/>
      <c r="EY56" s="653"/>
      <c r="EZ56" s="653"/>
      <c r="FA56" s="653"/>
      <c r="FB56" s="653"/>
      <c r="FC56" s="653"/>
      <c r="FD56" s="653"/>
      <c r="FE56" s="653"/>
      <c r="FF56" s="653"/>
      <c r="FG56" s="653"/>
      <c r="FH56" s="653"/>
      <c r="FI56" s="653"/>
      <c r="FJ56" s="653"/>
      <c r="FK56" s="653"/>
      <c r="FL56" s="653"/>
      <c r="FM56" s="653"/>
      <c r="FN56" s="653"/>
      <c r="FO56" s="653"/>
      <c r="FP56" s="653"/>
      <c r="FQ56" s="653"/>
      <c r="FR56" s="653"/>
      <c r="FS56" s="653"/>
      <c r="FT56" s="653"/>
      <c r="FU56" s="653"/>
      <c r="FV56" s="653"/>
      <c r="FW56" s="653"/>
      <c r="FX56" s="653"/>
      <c r="FY56" s="653"/>
      <c r="FZ56" s="653"/>
      <c r="GA56" s="653"/>
      <c r="GB56" s="653"/>
      <c r="GC56" s="653"/>
      <c r="GD56" s="653"/>
      <c r="GE56" s="653"/>
      <c r="GF56" s="653"/>
      <c r="GG56" s="653"/>
      <c r="GH56" s="653"/>
      <c r="GI56" s="653"/>
      <c r="GJ56" s="653"/>
      <c r="GK56" s="653"/>
      <c r="GL56" s="653"/>
      <c r="GM56" s="653"/>
      <c r="GN56" s="653"/>
      <c r="GO56" s="653"/>
      <c r="GP56" s="653"/>
      <c r="GQ56" s="653"/>
      <c r="GR56" s="653"/>
      <c r="GS56" s="653"/>
      <c r="GT56" s="653"/>
      <c r="GU56" s="653"/>
      <c r="GV56" s="653"/>
      <c r="GW56" s="653"/>
      <c r="GX56" s="653"/>
      <c r="GY56" s="653"/>
      <c r="GZ56" s="653"/>
      <c r="HA56" s="653"/>
      <c r="HB56" s="653"/>
      <c r="HC56" s="653"/>
      <c r="HD56" s="653"/>
      <c r="HE56" s="653"/>
      <c r="HF56" s="653"/>
      <c r="HG56" s="653"/>
      <c r="HH56" s="653"/>
      <c r="HI56" s="653"/>
      <c r="HJ56" s="653"/>
      <c r="HK56" s="653"/>
      <c r="HL56" s="653"/>
      <c r="HM56" s="653"/>
      <c r="HN56" s="653"/>
      <c r="HO56" s="653"/>
      <c r="HP56" s="653"/>
      <c r="HQ56" s="653"/>
      <c r="HR56" s="653"/>
      <c r="HS56" s="653"/>
      <c r="HT56" s="653"/>
      <c r="HU56" s="653"/>
      <c r="HV56" s="653"/>
      <c r="HW56" s="653"/>
      <c r="HX56" s="653"/>
      <c r="HY56" s="653"/>
      <c r="HZ56" s="653"/>
      <c r="IA56" s="653"/>
      <c r="IB56" s="653"/>
      <c r="IC56" s="653"/>
      <c r="ID56" s="653"/>
      <c r="IE56" s="653"/>
      <c r="IF56" s="653"/>
      <c r="IG56" s="653"/>
      <c r="IH56" s="653"/>
      <c r="II56" s="653"/>
      <c r="IJ56" s="653"/>
      <c r="IK56" s="653"/>
      <c r="IL56" s="653"/>
      <c r="IM56" s="653"/>
      <c r="IN56" s="653"/>
      <c r="IO56" s="653"/>
      <c r="IP56" s="653"/>
      <c r="IQ56" s="653"/>
      <c r="IR56" s="653"/>
      <c r="IS56" s="653"/>
      <c r="IT56" s="653"/>
      <c r="IU56" s="653"/>
      <c r="IV56" s="653"/>
      <c r="IW56" s="653"/>
    </row>
    <row r="57" customFormat="false" ht="12.75" hidden="false" customHeight="false" outlineLevel="1" collapsed="false">
      <c r="A57" s="367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</row>
    <row r="58" customFormat="false" ht="18.75" hidden="false" customHeight="false" outlineLevel="1" collapsed="false">
      <c r="A58" s="356" t="s">
        <v>491</v>
      </c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</row>
    <row r="59" customFormat="false" ht="12.75" hidden="false" customHeight="false" outlineLevel="1" collapsed="false">
      <c r="A59" s="323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</row>
    <row r="60" customFormat="false" ht="12.75" hidden="false" customHeight="true" outlineLevel="1" collapsed="false">
      <c r="A60" s="323" t="s">
        <v>460</v>
      </c>
      <c r="B60" s="664"/>
      <c r="C60" s="665" t="n">
        <f aca="false">Assumptions!B13</f>
        <v>0.5</v>
      </c>
      <c r="D60" s="665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</row>
    <row r="61" customFormat="false" ht="12.75" hidden="false" customHeight="true" outlineLevel="1" collapsed="false">
      <c r="A61" s="323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</row>
    <row r="62" customFormat="false" ht="13.5" hidden="false" customHeight="false" outlineLevel="1" collapsed="false">
      <c r="A62" s="319" t="s">
        <v>269</v>
      </c>
      <c r="B62" s="359"/>
      <c r="C62" s="359"/>
      <c r="D62" s="359"/>
      <c r="E62" s="320" t="n">
        <v>1999</v>
      </c>
      <c r="F62" s="320" t="n">
        <f aca="false">E62+1</f>
        <v>2000</v>
      </c>
      <c r="G62" s="320" t="n">
        <f aca="false">F62+1</f>
        <v>2001</v>
      </c>
      <c r="H62" s="320" t="n">
        <f aca="false">G62+1</f>
        <v>2002</v>
      </c>
      <c r="I62" s="320" t="n">
        <f aca="false">H62+1</f>
        <v>2003</v>
      </c>
      <c r="J62" s="320" t="n">
        <f aca="false">I62+1</f>
        <v>2004</v>
      </c>
      <c r="K62" s="320" t="n">
        <f aca="false">J62+1</f>
        <v>2005</v>
      </c>
      <c r="L62" s="320" t="n">
        <f aca="false">K62+1</f>
        <v>2006</v>
      </c>
      <c r="M62" s="320" t="n">
        <f aca="false">L62+1</f>
        <v>2007</v>
      </c>
      <c r="N62" s="320" t="n">
        <f aca="false">M62+1</f>
        <v>2008</v>
      </c>
      <c r="O62" s="320" t="n">
        <f aca="false">N62+1</f>
        <v>2009</v>
      </c>
      <c r="P62" s="320" t="n">
        <f aca="false">O62+1</f>
        <v>2010</v>
      </c>
      <c r="Q62" s="320" t="n">
        <f aca="false">P62+1</f>
        <v>2011</v>
      </c>
      <c r="R62" s="320" t="n">
        <f aca="false">Q62+1</f>
        <v>2012</v>
      </c>
      <c r="S62" s="320" t="n">
        <f aca="false">R62+1</f>
        <v>2013</v>
      </c>
      <c r="T62" s="320" t="n">
        <f aca="false">S62+1</f>
        <v>2014</v>
      </c>
      <c r="U62" s="320" t="n">
        <f aca="false">T62+1</f>
        <v>2015</v>
      </c>
      <c r="V62" s="320" t="n">
        <f aca="false">U62+1</f>
        <v>2016</v>
      </c>
      <c r="W62" s="320" t="n">
        <f aca="false">V62+1</f>
        <v>2017</v>
      </c>
      <c r="X62" s="320" t="n">
        <f aca="false">W62+1</f>
        <v>2018</v>
      </c>
      <c r="Y62" s="320" t="n">
        <f aca="false">X62+1</f>
        <v>2019</v>
      </c>
      <c r="Z62" s="320" t="n">
        <f aca="false">Y62+1</f>
        <v>2020</v>
      </c>
    </row>
    <row r="63" customFormat="false" ht="12.75" hidden="false" customHeight="false" outlineLevel="1" collapsed="false">
      <c r="A63" s="366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</row>
    <row r="64" customFormat="false" ht="12.75" hidden="false" customHeight="false" outlineLevel="1" collapsed="false">
      <c r="A64" s="367" t="s">
        <v>289</v>
      </c>
      <c r="E64" s="368" t="n">
        <f aca="false">E39</f>
        <v>0</v>
      </c>
      <c r="F64" s="368" t="n">
        <f aca="false">F39</f>
        <v>15547.5669835698</v>
      </c>
      <c r="G64" s="368" t="n">
        <f aca="false">G39</f>
        <v>26245.5749342228</v>
      </c>
      <c r="H64" s="368" t="n">
        <f aca="false">H39</f>
        <v>26173.8361881516</v>
      </c>
      <c r="I64" s="368" t="n">
        <f aca="false">I39</f>
        <v>43446.2820849375</v>
      </c>
      <c r="J64" s="368" t="n">
        <f aca="false">J39</f>
        <v>44000.4741152343</v>
      </c>
      <c r="K64" s="368" t="n">
        <f aca="false">K39</f>
        <v>45387.0098054085</v>
      </c>
      <c r="L64" s="368" t="n">
        <f aca="false">L39</f>
        <v>45130.7962766802</v>
      </c>
      <c r="M64" s="368" t="n">
        <f aca="false">M39</f>
        <v>45662.5530528465</v>
      </c>
      <c r="N64" s="368" t="n">
        <f aca="false">N39</f>
        <v>46184.9163546046</v>
      </c>
      <c r="O64" s="368" t="n">
        <f aca="false">O39</f>
        <v>46739.3837876138</v>
      </c>
      <c r="P64" s="368" t="n">
        <f aca="false">P39</f>
        <v>47292.0542935683</v>
      </c>
      <c r="Q64" s="368" t="n">
        <f aca="false">Q39</f>
        <v>47795.6340220409</v>
      </c>
      <c r="R64" s="368" t="n">
        <f aca="false">R39</f>
        <v>48270.3123799008</v>
      </c>
      <c r="S64" s="368" t="n">
        <f aca="false">S39</f>
        <v>48778.5366813881</v>
      </c>
      <c r="T64" s="368" t="n">
        <f aca="false">T39</f>
        <v>49227.7694226068</v>
      </c>
      <c r="U64" s="368" t="n">
        <f aca="false">U39</f>
        <v>49655.4113239851</v>
      </c>
      <c r="V64" s="368" t="n">
        <f aca="false">V39</f>
        <v>50079.0587184432</v>
      </c>
      <c r="W64" s="368" t="n">
        <f aca="false">W39</f>
        <v>50534.0318132988</v>
      </c>
      <c r="X64" s="368" t="n">
        <f aca="false">X39</f>
        <v>50943.5834407467</v>
      </c>
      <c r="Y64" s="368" t="n">
        <f aca="false">Y39</f>
        <v>50123.0516695897</v>
      </c>
      <c r="Z64" s="368" t="n">
        <f aca="false">Z39</f>
        <v>50329.9123325751</v>
      </c>
    </row>
    <row r="65" customFormat="false" ht="12.75" hidden="false" customHeight="false" outlineLevel="1" collapsed="false">
      <c r="A65" s="367" t="s">
        <v>461</v>
      </c>
      <c r="E65" s="102" t="n">
        <v>0</v>
      </c>
      <c r="F65" s="102" t="n">
        <v>0</v>
      </c>
      <c r="G65" s="102" t="n">
        <v>0</v>
      </c>
      <c r="H65" s="102" t="n">
        <v>0</v>
      </c>
      <c r="I65" s="102" t="n">
        <v>0</v>
      </c>
      <c r="J65" s="102" t="n">
        <v>0</v>
      </c>
      <c r="K65" s="102" t="n">
        <v>0</v>
      </c>
      <c r="L65" s="102" t="n">
        <v>0</v>
      </c>
      <c r="M65" s="102" t="n">
        <v>0</v>
      </c>
      <c r="N65" s="102" t="n">
        <v>0</v>
      </c>
      <c r="O65" s="102" t="n">
        <v>0</v>
      </c>
      <c r="P65" s="102" t="n">
        <v>0</v>
      </c>
      <c r="Q65" s="102" t="n">
        <v>0</v>
      </c>
      <c r="R65" s="102" t="n">
        <v>0</v>
      </c>
      <c r="S65" s="102" t="n">
        <v>0</v>
      </c>
      <c r="T65" s="102" t="n">
        <v>0</v>
      </c>
      <c r="U65" s="102" t="n">
        <v>0</v>
      </c>
      <c r="V65" s="102" t="n">
        <v>0</v>
      </c>
      <c r="W65" s="102" t="n">
        <v>0</v>
      </c>
      <c r="X65" s="102" t="n">
        <v>0</v>
      </c>
      <c r="Y65" s="102" t="n">
        <v>0</v>
      </c>
      <c r="Z65" s="102" t="n">
        <v>0</v>
      </c>
    </row>
    <row r="66" customFormat="false" ht="15" hidden="false" customHeight="false" outlineLevel="1" collapsed="false">
      <c r="A66" s="367" t="s">
        <v>338</v>
      </c>
      <c r="E66" s="666" t="n">
        <v>0</v>
      </c>
      <c r="F66" s="666" t="n">
        <f aca="false">Allocation!$I$13*(CF!$G$15+CF!$G$16-CF!$G$14)+CF!$G$14*Allocation!$K$13</f>
        <v>-6808.04555133049</v>
      </c>
      <c r="G66" s="666" t="n">
        <f aca="false">Allocation!$I$13*(CF!H16+CF!H15)</f>
        <v>-20799.1388632305</v>
      </c>
      <c r="H66" s="666" t="n">
        <f aca="false">Allocation!$I$13*(CF!I16+CF!I15)</f>
        <v>-20675.6716960514</v>
      </c>
      <c r="I66" s="666" t="n">
        <f aca="false">Allocation!$I$13*(CF!J16+CF!J15)</f>
        <v>-18380.7648011612</v>
      </c>
      <c r="J66" s="666" t="n">
        <f aca="false">Allocation!$I$13*(CF!K16+CF!K15)</f>
        <v>-18610.360070467</v>
      </c>
      <c r="K66" s="666" t="n">
        <f aca="false">Allocation!$I$13*(CF!L16+CF!L15)</f>
        <v>-18941.324736091</v>
      </c>
      <c r="L66" s="666" t="n">
        <f aca="false">Allocation!$I$13*(CF!M16+CF!M15)</f>
        <v>-19064.4401566204</v>
      </c>
      <c r="M66" s="666" t="n">
        <f aca="false">Allocation!$I$13*(CF!N16+CF!N15)</f>
        <v>-19496.6745279097</v>
      </c>
      <c r="N66" s="666" t="n">
        <f aca="false">Allocation!$I$13*(CF!O16+CF!O15)</f>
        <v>-19741.4808576745</v>
      </c>
      <c r="O66" s="666" t="n">
        <f aca="false">Allocation!$I$13*(CF!P16+CF!P15)</f>
        <v>-20140.0573918616</v>
      </c>
      <c r="P66" s="666" t="n">
        <f aca="false">Allocation!$I$13*(CF!Q16+CF!Q15)</f>
        <v>-17558.5858388371</v>
      </c>
      <c r="Q66" s="666" t="n">
        <f aca="false">Allocation!$I$13*(CF!R16+CF!R15)</f>
        <v>-16774.9511243317</v>
      </c>
      <c r="R66" s="666" t="n">
        <f aca="false">Allocation!$I$13*(CF!S16+CF!S15)</f>
        <v>-16732.3217473236</v>
      </c>
      <c r="S66" s="666" t="n">
        <f aca="false">Allocation!$I$13*(CF!T16+CF!T15)</f>
        <v>-16384.7609284324</v>
      </c>
      <c r="T66" s="666" t="n">
        <f aca="false">Allocation!$I$13*(CF!U16+CF!U15)</f>
        <v>-16034.5579048007</v>
      </c>
      <c r="U66" s="666" t="n">
        <f aca="false">Allocation!$I$13*(CF!V16+CF!V15)</f>
        <v>-15866.2053605255</v>
      </c>
      <c r="V66" s="666" t="n">
        <f aca="false">Allocation!$I$13*(CF!W16+CF!W15)</f>
        <v>-14938.0360365718</v>
      </c>
      <c r="W66" s="666" t="n">
        <f aca="false">Allocation!$I$13*(CF!X16+CF!X15)</f>
        <v>-13530.2934201568</v>
      </c>
      <c r="X66" s="666" t="n">
        <f aca="false">Allocation!$I$13*(CF!Y16+CF!Y15)</f>
        <v>-11151.5050842036</v>
      </c>
      <c r="Y66" s="666" t="n">
        <f aca="false">Allocation!$I$13*(CF!Z16+CF!Z15)</f>
        <v>-8834.61813057848</v>
      </c>
      <c r="Z66" s="666" t="n">
        <f aca="false">Allocation!$I$13*(CF!AA16+CF!AA15)</f>
        <v>-0</v>
      </c>
    </row>
    <row r="67" customFormat="false" ht="12.75" hidden="false" customHeight="false" outlineLevel="1" collapsed="false">
      <c r="A67" s="366" t="s">
        <v>308</v>
      </c>
      <c r="B67" s="323"/>
      <c r="C67" s="323"/>
      <c r="D67" s="323"/>
      <c r="E67" s="667" t="n">
        <f aca="false">SUM(E64:E66)</f>
        <v>0</v>
      </c>
      <c r="F67" s="667" t="n">
        <f aca="false">SUM(F64:F66)</f>
        <v>8739.52143223934</v>
      </c>
      <c r="G67" s="667" t="n">
        <f aca="false">SUM(G64:G66)</f>
        <v>5446.43607099232</v>
      </c>
      <c r="H67" s="667" t="n">
        <f aca="false">SUM(H64:H66)</f>
        <v>5498.16449210015</v>
      </c>
      <c r="I67" s="667" t="n">
        <f aca="false">SUM(I64:I66)</f>
        <v>25065.5172837764</v>
      </c>
      <c r="J67" s="667" t="n">
        <f aca="false">SUM(J64:J66)</f>
        <v>25390.1140447673</v>
      </c>
      <c r="K67" s="667" t="n">
        <f aca="false">SUM(K64:K66)</f>
        <v>26445.6850693175</v>
      </c>
      <c r="L67" s="667" t="n">
        <f aca="false">SUM(L64:L66)</f>
        <v>26066.3561200598</v>
      </c>
      <c r="M67" s="667" t="n">
        <f aca="false">SUM(M64:M66)</f>
        <v>26165.8785249368</v>
      </c>
      <c r="N67" s="667" t="n">
        <f aca="false">SUM(N64:N66)</f>
        <v>26443.43549693</v>
      </c>
      <c r="O67" s="667" t="n">
        <f aca="false">SUM(O64:O66)</f>
        <v>26599.3263957522</v>
      </c>
      <c r="P67" s="667" t="n">
        <f aca="false">SUM(P64:P66)</f>
        <v>29733.4684547312</v>
      </c>
      <c r="Q67" s="667" t="n">
        <f aca="false">SUM(Q64:Q66)</f>
        <v>31020.6828977092</v>
      </c>
      <c r="R67" s="667" t="n">
        <f aca="false">SUM(R64:R66)</f>
        <v>31537.9906325773</v>
      </c>
      <c r="S67" s="667" t="n">
        <f aca="false">SUM(S64:S66)</f>
        <v>32393.7757529557</v>
      </c>
      <c r="T67" s="667" t="n">
        <f aca="false">SUM(T64:T66)</f>
        <v>33193.2115178061</v>
      </c>
      <c r="U67" s="667" t="n">
        <f aca="false">SUM(U64:U66)</f>
        <v>33789.2059634595</v>
      </c>
      <c r="V67" s="667" t="n">
        <f aca="false">SUM(V64:V66)</f>
        <v>35141.0226818714</v>
      </c>
      <c r="W67" s="667" t="n">
        <f aca="false">SUM(W64:W66)</f>
        <v>37003.7383931421</v>
      </c>
      <c r="X67" s="667" t="n">
        <f aca="false">SUM(X64:X66)</f>
        <v>39792.0783565431</v>
      </c>
      <c r="Y67" s="667" t="n">
        <f aca="false">SUM(Y64:Y66)</f>
        <v>41288.4335390112</v>
      </c>
      <c r="Z67" s="667" t="n">
        <f aca="false">SUM(Z64:Z66)</f>
        <v>50329.9123325751</v>
      </c>
      <c r="AA67" s="395"/>
      <c r="AB67" s="395"/>
      <c r="AC67" s="395"/>
      <c r="AD67" s="395"/>
      <c r="AE67" s="395"/>
      <c r="AF67" s="395"/>
      <c r="AG67" s="395"/>
      <c r="AH67" s="395"/>
      <c r="AI67" s="395"/>
      <c r="AJ67" s="395"/>
      <c r="AK67" s="395"/>
      <c r="AL67" s="395"/>
      <c r="AM67" s="395"/>
      <c r="AN67" s="395"/>
      <c r="AO67" s="395"/>
      <c r="AP67" s="395"/>
      <c r="AQ67" s="395"/>
      <c r="AR67" s="395"/>
      <c r="AS67" s="395"/>
      <c r="AT67" s="395"/>
      <c r="AU67" s="395"/>
      <c r="AV67" s="395"/>
      <c r="AW67" s="395"/>
      <c r="AX67" s="395"/>
      <c r="AY67" s="395"/>
      <c r="AZ67" s="395"/>
      <c r="BA67" s="395"/>
      <c r="BB67" s="395"/>
      <c r="BC67" s="395"/>
      <c r="BD67" s="395"/>
      <c r="BE67" s="395"/>
      <c r="BF67" s="395"/>
      <c r="BG67" s="395"/>
      <c r="BH67" s="395"/>
      <c r="BI67" s="395"/>
      <c r="BJ67" s="395"/>
      <c r="BK67" s="395"/>
      <c r="BL67" s="395"/>
      <c r="BM67" s="395"/>
      <c r="BN67" s="395"/>
      <c r="BO67" s="395"/>
      <c r="BP67" s="395"/>
      <c r="BQ67" s="395"/>
      <c r="BR67" s="395"/>
      <c r="BS67" s="395"/>
      <c r="BT67" s="395"/>
      <c r="BU67" s="395"/>
      <c r="BV67" s="395"/>
      <c r="BW67" s="395"/>
      <c r="BX67" s="395"/>
      <c r="BY67" s="395"/>
      <c r="BZ67" s="395"/>
      <c r="CA67" s="395"/>
      <c r="CB67" s="395"/>
      <c r="CC67" s="395"/>
      <c r="CD67" s="395"/>
      <c r="CE67" s="395"/>
      <c r="CF67" s="395"/>
      <c r="CG67" s="395"/>
      <c r="CH67" s="395"/>
      <c r="CI67" s="395"/>
      <c r="CJ67" s="395"/>
      <c r="CK67" s="395"/>
      <c r="CL67" s="395"/>
      <c r="CM67" s="395"/>
      <c r="CN67" s="395"/>
      <c r="CO67" s="395"/>
      <c r="CP67" s="395"/>
      <c r="CQ67" s="395"/>
      <c r="CR67" s="395"/>
      <c r="CS67" s="395"/>
      <c r="CT67" s="395"/>
      <c r="CU67" s="395"/>
      <c r="CV67" s="395"/>
      <c r="CW67" s="395"/>
      <c r="CX67" s="395"/>
      <c r="CY67" s="395"/>
      <c r="CZ67" s="395"/>
      <c r="DA67" s="395"/>
      <c r="DB67" s="395"/>
      <c r="DC67" s="395"/>
      <c r="DD67" s="395"/>
      <c r="DE67" s="395"/>
      <c r="DF67" s="395"/>
      <c r="DG67" s="395"/>
      <c r="DH67" s="395"/>
      <c r="DI67" s="395"/>
      <c r="DJ67" s="395"/>
      <c r="DK67" s="395"/>
      <c r="DL67" s="395"/>
      <c r="DM67" s="395"/>
      <c r="DN67" s="395"/>
      <c r="DO67" s="395"/>
      <c r="DP67" s="395"/>
      <c r="DQ67" s="395"/>
      <c r="DR67" s="395"/>
      <c r="DS67" s="395"/>
      <c r="DT67" s="395"/>
      <c r="DU67" s="395"/>
      <c r="DV67" s="395"/>
      <c r="DW67" s="395"/>
      <c r="DX67" s="395"/>
      <c r="DY67" s="395"/>
      <c r="DZ67" s="395"/>
      <c r="EA67" s="395"/>
      <c r="EB67" s="395"/>
      <c r="EC67" s="395"/>
      <c r="ED67" s="395"/>
      <c r="EE67" s="395"/>
      <c r="EF67" s="395"/>
      <c r="EG67" s="395"/>
      <c r="EH67" s="395"/>
      <c r="EI67" s="395"/>
      <c r="EJ67" s="395"/>
      <c r="EK67" s="395"/>
      <c r="EL67" s="395"/>
      <c r="EM67" s="395"/>
      <c r="EN67" s="395"/>
      <c r="EO67" s="395"/>
      <c r="EP67" s="395"/>
      <c r="EQ67" s="395"/>
      <c r="ER67" s="395"/>
      <c r="ES67" s="395"/>
      <c r="ET67" s="395"/>
      <c r="EU67" s="395"/>
      <c r="EV67" s="395"/>
      <c r="EW67" s="395"/>
      <c r="EX67" s="395"/>
      <c r="EY67" s="395"/>
      <c r="EZ67" s="395"/>
      <c r="FA67" s="395"/>
      <c r="FB67" s="395"/>
      <c r="FC67" s="395"/>
      <c r="FD67" s="395"/>
      <c r="FE67" s="395"/>
      <c r="FF67" s="395"/>
      <c r="FG67" s="395"/>
      <c r="FH67" s="395"/>
      <c r="FI67" s="395"/>
      <c r="FJ67" s="395"/>
      <c r="FK67" s="395"/>
      <c r="FL67" s="395"/>
      <c r="FM67" s="395"/>
      <c r="FN67" s="395"/>
      <c r="FO67" s="395"/>
      <c r="FP67" s="395"/>
      <c r="FQ67" s="395"/>
      <c r="FR67" s="395"/>
      <c r="FS67" s="395"/>
      <c r="FT67" s="395"/>
      <c r="FU67" s="395"/>
      <c r="FV67" s="395"/>
      <c r="FW67" s="395"/>
      <c r="FX67" s="395"/>
      <c r="FY67" s="395"/>
      <c r="FZ67" s="395"/>
      <c r="GA67" s="395"/>
      <c r="GB67" s="395"/>
      <c r="GC67" s="395"/>
      <c r="GD67" s="395"/>
      <c r="GE67" s="395"/>
      <c r="GF67" s="395"/>
      <c r="GG67" s="395"/>
      <c r="GH67" s="395"/>
      <c r="GI67" s="395"/>
      <c r="GJ67" s="395"/>
      <c r="GK67" s="395"/>
      <c r="GL67" s="395"/>
      <c r="GM67" s="395"/>
      <c r="GN67" s="395"/>
      <c r="GO67" s="395"/>
      <c r="GP67" s="395"/>
      <c r="GQ67" s="395"/>
      <c r="GR67" s="395"/>
      <c r="GS67" s="395"/>
      <c r="GT67" s="395"/>
      <c r="GU67" s="395"/>
      <c r="GV67" s="395"/>
      <c r="GW67" s="395"/>
      <c r="GX67" s="395"/>
      <c r="GY67" s="395"/>
      <c r="GZ67" s="395"/>
      <c r="HA67" s="395"/>
      <c r="HB67" s="395"/>
      <c r="HC67" s="395"/>
      <c r="HD67" s="395"/>
      <c r="HE67" s="395"/>
      <c r="HF67" s="395"/>
      <c r="HG67" s="395"/>
      <c r="HH67" s="395"/>
      <c r="HI67" s="395"/>
      <c r="HJ67" s="395"/>
      <c r="HK67" s="395"/>
      <c r="HL67" s="395"/>
      <c r="HM67" s="395"/>
      <c r="HN67" s="395"/>
      <c r="HO67" s="395"/>
      <c r="HP67" s="395"/>
      <c r="HQ67" s="395"/>
      <c r="HR67" s="395"/>
      <c r="HS67" s="395"/>
      <c r="HT67" s="395"/>
      <c r="HU67" s="395"/>
      <c r="HV67" s="395"/>
      <c r="HW67" s="395"/>
      <c r="HX67" s="395"/>
      <c r="HY67" s="395"/>
      <c r="HZ67" s="395"/>
      <c r="IA67" s="395"/>
      <c r="IB67" s="395"/>
      <c r="IC67" s="395"/>
      <c r="ID67" s="395"/>
      <c r="IE67" s="395"/>
      <c r="IF67" s="395"/>
      <c r="IG67" s="395"/>
      <c r="IH67" s="395"/>
      <c r="II67" s="395"/>
      <c r="IJ67" s="395"/>
      <c r="IK67" s="395"/>
      <c r="IL67" s="395"/>
      <c r="IM67" s="395"/>
      <c r="IN67" s="395"/>
      <c r="IO67" s="395"/>
      <c r="IP67" s="395"/>
      <c r="IQ67" s="395"/>
      <c r="IR67" s="395"/>
      <c r="IS67" s="395"/>
      <c r="IT67" s="395"/>
      <c r="IU67" s="395"/>
      <c r="IV67" s="395"/>
      <c r="IW67" s="395"/>
    </row>
    <row r="68" customFormat="false" ht="12.75" hidden="false" customHeight="false" outlineLevel="1" collapsed="false">
      <c r="A68" s="366"/>
      <c r="E68" s="368"/>
      <c r="F68" s="368"/>
      <c r="G68" s="368"/>
      <c r="H68" s="368"/>
      <c r="I68" s="368"/>
      <c r="J68" s="368"/>
      <c r="K68" s="368"/>
      <c r="L68" s="368"/>
      <c r="M68" s="368"/>
      <c r="N68" s="368"/>
      <c r="O68" s="368"/>
      <c r="P68" s="368"/>
      <c r="Q68" s="368"/>
      <c r="R68" s="368"/>
      <c r="S68" s="368"/>
      <c r="T68" s="368"/>
      <c r="U68" s="368"/>
      <c r="V68" s="368"/>
      <c r="W68" s="368"/>
      <c r="X68" s="368"/>
      <c r="Y68" s="368"/>
      <c r="Z68" s="368"/>
    </row>
    <row r="69" customFormat="false" ht="15" hidden="false" customHeight="false" outlineLevel="1" collapsed="false">
      <c r="A69" s="367" t="s">
        <v>462</v>
      </c>
      <c r="E69" s="666" t="n">
        <v>0</v>
      </c>
      <c r="F69" s="666" t="n">
        <f aca="false">Allocation!$I$13*CF!G24*7/12</f>
        <v>-0</v>
      </c>
      <c r="G69" s="666" t="n">
        <f aca="false">Allocation!$I$13*CF!H24</f>
        <v>-0</v>
      </c>
      <c r="H69" s="666" t="n">
        <f aca="false">Allocation!$I$13*CF!I24</f>
        <v>-0</v>
      </c>
      <c r="I69" s="666" t="n">
        <f aca="false">Allocation!$I$13*CF!J24</f>
        <v>-0</v>
      </c>
      <c r="J69" s="666" t="n">
        <f aca="false">Allocation!$I$13*CF!K24</f>
        <v>-0</v>
      </c>
      <c r="K69" s="666" t="n">
        <f aca="false">Allocation!$I$13*CF!L24</f>
        <v>-0</v>
      </c>
      <c r="L69" s="666" t="n">
        <f aca="false">Allocation!$I$13*CF!M24</f>
        <v>-868.481953445009</v>
      </c>
      <c r="M69" s="666" t="n">
        <f aca="false">Allocation!$I$13*CF!N24</f>
        <v>-982.532002882979</v>
      </c>
      <c r="N69" s="666" t="n">
        <f aca="false">Allocation!$I$13*CF!O24</f>
        <v>-1058.22438480322</v>
      </c>
      <c r="O69" s="666" t="n">
        <f aca="false">Allocation!$I$13*CF!P24</f>
        <v>-1177.17713650828</v>
      </c>
      <c r="P69" s="666" t="n">
        <f aca="false">Allocation!$I$13*CF!Q24</f>
        <v>-1240.3563461936</v>
      </c>
      <c r="Q69" s="666" t="n">
        <f aca="false">Allocation!$I$13*CF!R24</f>
        <v>-1351.76853983393</v>
      </c>
      <c r="R69" s="666" t="n">
        <f aca="false">Allocation!$I$13*CF!S24</f>
        <v>-1435.55967581589</v>
      </c>
      <c r="S69" s="666" t="n">
        <f aca="false">Allocation!$I$13*CF!T24</f>
        <v>-1510.0102287301</v>
      </c>
      <c r="T69" s="666" t="n">
        <f aca="false">Allocation!$I$13*CF!U24</f>
        <v>-1595.7570357894</v>
      </c>
      <c r="U69" s="666" t="n">
        <f aca="false">Allocation!$I$13*CF!V24</f>
        <v>-2168.74474487125</v>
      </c>
      <c r="V69" s="666" t="n">
        <f aca="false">Allocation!$I$13*CF!W24</f>
        <v>-2744.52660215156</v>
      </c>
      <c r="W69" s="666" t="n">
        <f aca="false">Allocation!$I$13*CF!X24</f>
        <v>-2839.37407932189</v>
      </c>
      <c r="X69" s="666" t="n">
        <f aca="false">Allocation!$I$13*CF!Y24</f>
        <v>-2924.621868074</v>
      </c>
      <c r="Y69" s="666" t="n">
        <f aca="false">Allocation!$I$13*CF!Z24</f>
        <v>-2969.95427418645</v>
      </c>
      <c r="Z69" s="666" t="n">
        <f aca="false">Allocation!$I$13*CF!AA24</f>
        <v>-3039.99426700605</v>
      </c>
    </row>
    <row r="70" customFormat="false" ht="15" hidden="false" customHeight="false" outlineLevel="1" collapsed="false">
      <c r="A70" s="367" t="s">
        <v>463</v>
      </c>
      <c r="E70" s="666" t="n">
        <v>0</v>
      </c>
      <c r="F70" s="666" t="n">
        <f aca="false">Allocation!$I$13*(-Tax!E39)*7/12</f>
        <v>1045.80778454854</v>
      </c>
      <c r="G70" s="666" t="n">
        <f aca="false">Allocation!$I$13*CF!H25</f>
        <v>4728.60932775403</v>
      </c>
      <c r="H70" s="666" t="n">
        <f aca="false">Allocation!$I$13*CF!I25</f>
        <v>3708.8465265848</v>
      </c>
      <c r="I70" s="666" t="n">
        <f aca="false">Allocation!$I$13*CF!J25</f>
        <v>-2331.77210415365</v>
      </c>
      <c r="J70" s="666" t="n">
        <f aca="false">Allocation!$I$13*CF!K25</f>
        <v>-3351.76184301629</v>
      </c>
      <c r="K70" s="666" t="n">
        <f aca="false">Allocation!$I$13*CF!L25</f>
        <v>-4461.8866570472</v>
      </c>
      <c r="L70" s="666" t="n">
        <f aca="false">Allocation!$I$13*CF!M25</f>
        <v>-4764.41739565245</v>
      </c>
      <c r="M70" s="666" t="n">
        <f aca="false">Allocation!$I$13*CF!N25</f>
        <v>-5294.09515999105</v>
      </c>
      <c r="N70" s="666" t="n">
        <f aca="false">Allocation!$I$13*CF!O25</f>
        <v>-5701.94210196984</v>
      </c>
      <c r="O70" s="666" t="n">
        <f aca="false">Allocation!$I$13*CF!P25</f>
        <v>-6342.8852826719</v>
      </c>
      <c r="P70" s="666" t="n">
        <f aca="false">Allocation!$I$13*CF!Q25</f>
        <v>-6683.30854341625</v>
      </c>
      <c r="Q70" s="666" t="n">
        <f aca="false">Allocation!$I$13*CF!R25</f>
        <v>-7283.62156465584</v>
      </c>
      <c r="R70" s="666" t="n">
        <f aca="false">Allocation!$I$13*CF!S25</f>
        <v>-7735.10634698417</v>
      </c>
      <c r="S70" s="666" t="n">
        <f aca="false">Allocation!$I$13*CF!T25</f>
        <v>-8136.26204540956</v>
      </c>
      <c r="T70" s="666" t="n">
        <f aca="false">Allocation!$I$13*CF!U25</f>
        <v>-8598.28440692583</v>
      </c>
      <c r="U70" s="666" t="n">
        <f aca="false">Allocation!$I$13*CF!V25</f>
        <v>-11685.6662412923</v>
      </c>
      <c r="V70" s="666" t="n">
        <f aca="false">Allocation!$I$13*CF!W25</f>
        <v>-14788.1035511143</v>
      </c>
      <c r="W70" s="666" t="n">
        <f aca="false">Allocation!$I$13*CF!X25</f>
        <v>-15299.1622935791</v>
      </c>
      <c r="X70" s="666" t="n">
        <f aca="false">Allocation!$I$13*CF!Y25</f>
        <v>-15758.4958364136</v>
      </c>
      <c r="Y70" s="666" t="n">
        <f aca="false">Allocation!$I$13*CF!Z25</f>
        <v>-16002.7566554877</v>
      </c>
      <c r="Z70" s="666" t="n">
        <f aca="false">Allocation!$I$13*CF!AA25</f>
        <v>-16380.1473011909</v>
      </c>
    </row>
    <row r="71" customFormat="false" ht="12.75" hidden="false" customHeight="false" outlineLevel="1" collapsed="false">
      <c r="A71" s="367"/>
      <c r="E71" s="368"/>
      <c r="F71" s="660"/>
      <c r="G71" s="660"/>
      <c r="H71" s="660"/>
      <c r="I71" s="660"/>
      <c r="J71" s="660"/>
      <c r="K71" s="660"/>
      <c r="L71" s="660"/>
      <c r="M71" s="660"/>
      <c r="N71" s="660"/>
      <c r="O71" s="660"/>
      <c r="P71" s="660"/>
      <c r="Q71" s="660"/>
      <c r="R71" s="660"/>
      <c r="S71" s="660"/>
      <c r="T71" s="660"/>
      <c r="U71" s="660"/>
      <c r="V71" s="660"/>
      <c r="W71" s="660"/>
      <c r="X71" s="660"/>
      <c r="Y71" s="660"/>
      <c r="Z71" s="660"/>
    </row>
    <row r="72" customFormat="false" ht="15.75" hidden="false" customHeight="false" outlineLevel="1" collapsed="false">
      <c r="A72" s="731" t="s">
        <v>313</v>
      </c>
      <c r="B72" s="344"/>
      <c r="C72" s="344"/>
      <c r="D72" s="344"/>
      <c r="E72" s="669" t="n">
        <f aca="false">E67+E70</f>
        <v>0</v>
      </c>
      <c r="F72" s="669" t="n">
        <f aca="false">F67+F70+F69</f>
        <v>9785.32921678788</v>
      </c>
      <c r="G72" s="669" t="n">
        <f aca="false">G67+G70+G69</f>
        <v>10175.0453987463</v>
      </c>
      <c r="H72" s="669" t="n">
        <f aca="false">H67+H70+H69</f>
        <v>9207.01101868494</v>
      </c>
      <c r="I72" s="669" t="n">
        <f aca="false">I67+I70+I69</f>
        <v>22733.7451796227</v>
      </c>
      <c r="J72" s="669" t="n">
        <f aca="false">J67+J70+J69</f>
        <v>22038.352201751</v>
      </c>
      <c r="K72" s="669" t="n">
        <f aca="false">K67+K70+K69</f>
        <v>21983.7984122703</v>
      </c>
      <c r="L72" s="669" t="n">
        <f aca="false">L67+L70+L69</f>
        <v>20433.4567709623</v>
      </c>
      <c r="M72" s="669" t="n">
        <f aca="false">M67+M70+M69</f>
        <v>19889.2513620628</v>
      </c>
      <c r="N72" s="669" t="n">
        <f aca="false">N67+N70+N69</f>
        <v>19683.269010157</v>
      </c>
      <c r="O72" s="669" t="n">
        <f aca="false">O67+O70+O69</f>
        <v>19079.263976572</v>
      </c>
      <c r="P72" s="669" t="n">
        <f aca="false">P67+P70+P69</f>
        <v>21809.8035651214</v>
      </c>
      <c r="Q72" s="669" t="n">
        <f aca="false">Q67+Q70+Q69</f>
        <v>22385.2927932195</v>
      </c>
      <c r="R72" s="669" t="n">
        <f aca="false">R67+R70+R69</f>
        <v>22367.3246097772</v>
      </c>
      <c r="S72" s="669" t="n">
        <f aca="false">S67+S70+S69</f>
        <v>22747.5034788161</v>
      </c>
      <c r="T72" s="669" t="n">
        <f aca="false">T67+T70+T69</f>
        <v>22999.1700750909</v>
      </c>
      <c r="U72" s="669" t="n">
        <f aca="false">U67+U70+U69</f>
        <v>19934.794977296</v>
      </c>
      <c r="V72" s="669" t="n">
        <f aca="false">V67+V70+V69</f>
        <v>17608.3925286055</v>
      </c>
      <c r="W72" s="669" t="n">
        <f aca="false">W67+W70+W69</f>
        <v>18865.202020241</v>
      </c>
      <c r="X72" s="669" t="n">
        <f aca="false">X67+X70+X69</f>
        <v>21108.9606520555</v>
      </c>
      <c r="Y72" s="669" t="n">
        <f aca="false">Y67+Y70+Y69</f>
        <v>22315.7226093371</v>
      </c>
      <c r="Z72" s="669" t="n">
        <f aca="false">Z67+Z70+Z69</f>
        <v>30909.7707643782</v>
      </c>
      <c r="AA72" s="662"/>
      <c r="AB72" s="662"/>
      <c r="AC72" s="662"/>
      <c r="AD72" s="662"/>
      <c r="AE72" s="662"/>
      <c r="AF72" s="662"/>
      <c r="AG72" s="662"/>
      <c r="AH72" s="662"/>
      <c r="AI72" s="662"/>
      <c r="AJ72" s="662"/>
      <c r="AK72" s="662"/>
      <c r="AL72" s="662"/>
      <c r="AM72" s="662"/>
      <c r="AN72" s="662"/>
      <c r="AO72" s="662"/>
      <c r="AP72" s="662"/>
      <c r="AQ72" s="662"/>
      <c r="AR72" s="662"/>
      <c r="AS72" s="662"/>
      <c r="AT72" s="662"/>
      <c r="AU72" s="662"/>
      <c r="AV72" s="662"/>
      <c r="AW72" s="662"/>
      <c r="AX72" s="662"/>
      <c r="AY72" s="662"/>
      <c r="AZ72" s="662"/>
      <c r="BA72" s="662"/>
      <c r="BB72" s="662"/>
      <c r="BC72" s="662"/>
      <c r="BD72" s="662"/>
      <c r="BE72" s="662"/>
      <c r="BF72" s="662"/>
      <c r="BG72" s="662"/>
      <c r="BH72" s="662"/>
      <c r="BI72" s="662"/>
      <c r="BJ72" s="662"/>
      <c r="BK72" s="662"/>
      <c r="BL72" s="662"/>
      <c r="BM72" s="662"/>
      <c r="BN72" s="662"/>
      <c r="BO72" s="662"/>
      <c r="BP72" s="662"/>
      <c r="BQ72" s="662"/>
      <c r="BR72" s="662"/>
      <c r="BS72" s="662"/>
      <c r="BT72" s="662"/>
      <c r="BU72" s="662"/>
      <c r="BV72" s="662"/>
      <c r="BW72" s="662"/>
      <c r="BX72" s="662"/>
      <c r="BY72" s="662"/>
      <c r="BZ72" s="662"/>
      <c r="CA72" s="662"/>
      <c r="CB72" s="662"/>
      <c r="CC72" s="662"/>
      <c r="CD72" s="662"/>
      <c r="CE72" s="662"/>
      <c r="CF72" s="662"/>
      <c r="CG72" s="662"/>
      <c r="CH72" s="662"/>
      <c r="CI72" s="662"/>
      <c r="CJ72" s="662"/>
      <c r="CK72" s="662"/>
      <c r="CL72" s="662"/>
      <c r="CM72" s="662"/>
      <c r="CN72" s="662"/>
      <c r="CO72" s="662"/>
      <c r="CP72" s="662"/>
      <c r="CQ72" s="662"/>
      <c r="CR72" s="662"/>
      <c r="CS72" s="662"/>
      <c r="CT72" s="662"/>
      <c r="CU72" s="662"/>
      <c r="CV72" s="662"/>
      <c r="CW72" s="662"/>
      <c r="CX72" s="662"/>
      <c r="CY72" s="662"/>
      <c r="CZ72" s="662"/>
      <c r="DA72" s="662"/>
      <c r="DB72" s="662"/>
      <c r="DC72" s="662"/>
      <c r="DD72" s="662"/>
      <c r="DE72" s="662"/>
      <c r="DF72" s="662"/>
      <c r="DG72" s="662"/>
      <c r="DH72" s="662"/>
      <c r="DI72" s="662"/>
      <c r="DJ72" s="662"/>
      <c r="DK72" s="662"/>
      <c r="DL72" s="662"/>
      <c r="DM72" s="662"/>
      <c r="DN72" s="662"/>
      <c r="DO72" s="662"/>
      <c r="DP72" s="662"/>
      <c r="DQ72" s="662"/>
      <c r="DR72" s="662"/>
      <c r="DS72" s="662"/>
      <c r="DT72" s="662"/>
      <c r="DU72" s="662"/>
      <c r="DV72" s="662"/>
      <c r="DW72" s="662"/>
      <c r="DX72" s="662"/>
      <c r="DY72" s="662"/>
      <c r="DZ72" s="662"/>
      <c r="EA72" s="662"/>
      <c r="EB72" s="662"/>
      <c r="EC72" s="662"/>
      <c r="ED72" s="662"/>
      <c r="EE72" s="662"/>
      <c r="EF72" s="662"/>
      <c r="EG72" s="662"/>
      <c r="EH72" s="662"/>
      <c r="EI72" s="662"/>
      <c r="EJ72" s="662"/>
      <c r="EK72" s="662"/>
      <c r="EL72" s="662"/>
      <c r="EM72" s="662"/>
      <c r="EN72" s="662"/>
      <c r="EO72" s="662"/>
      <c r="EP72" s="662"/>
      <c r="EQ72" s="662"/>
      <c r="ER72" s="662"/>
      <c r="ES72" s="662"/>
      <c r="ET72" s="662"/>
      <c r="EU72" s="662"/>
      <c r="EV72" s="662"/>
      <c r="EW72" s="662"/>
      <c r="EX72" s="662"/>
      <c r="EY72" s="662"/>
      <c r="EZ72" s="662"/>
      <c r="FA72" s="662"/>
      <c r="FB72" s="662"/>
      <c r="FC72" s="662"/>
      <c r="FD72" s="662"/>
      <c r="FE72" s="662"/>
      <c r="FF72" s="662"/>
      <c r="FG72" s="662"/>
      <c r="FH72" s="662"/>
      <c r="FI72" s="662"/>
      <c r="FJ72" s="662"/>
      <c r="FK72" s="662"/>
      <c r="FL72" s="662"/>
      <c r="FM72" s="662"/>
      <c r="FN72" s="662"/>
      <c r="FO72" s="662"/>
      <c r="FP72" s="662"/>
      <c r="FQ72" s="662"/>
      <c r="FR72" s="662"/>
      <c r="FS72" s="662"/>
      <c r="FT72" s="662"/>
      <c r="FU72" s="662"/>
      <c r="FV72" s="662"/>
      <c r="FW72" s="662"/>
      <c r="FX72" s="662"/>
      <c r="FY72" s="662"/>
      <c r="FZ72" s="662"/>
      <c r="GA72" s="662"/>
      <c r="GB72" s="662"/>
      <c r="GC72" s="662"/>
      <c r="GD72" s="662"/>
      <c r="GE72" s="662"/>
      <c r="GF72" s="662"/>
      <c r="GG72" s="662"/>
      <c r="GH72" s="662"/>
      <c r="GI72" s="662"/>
      <c r="GJ72" s="662"/>
      <c r="GK72" s="662"/>
      <c r="GL72" s="662"/>
      <c r="GM72" s="662"/>
      <c r="GN72" s="662"/>
      <c r="GO72" s="662"/>
      <c r="GP72" s="662"/>
      <c r="GQ72" s="662"/>
      <c r="GR72" s="662"/>
      <c r="GS72" s="662"/>
      <c r="GT72" s="662"/>
      <c r="GU72" s="662"/>
      <c r="GV72" s="662"/>
      <c r="GW72" s="662"/>
      <c r="GX72" s="662"/>
      <c r="GY72" s="662"/>
      <c r="GZ72" s="662"/>
      <c r="HA72" s="662"/>
      <c r="HB72" s="662"/>
      <c r="HC72" s="662"/>
      <c r="HD72" s="662"/>
      <c r="HE72" s="662"/>
      <c r="HF72" s="662"/>
      <c r="HG72" s="662"/>
      <c r="HH72" s="662"/>
      <c r="HI72" s="662"/>
      <c r="HJ72" s="662"/>
      <c r="HK72" s="662"/>
      <c r="HL72" s="662"/>
      <c r="HM72" s="662"/>
      <c r="HN72" s="662"/>
      <c r="HO72" s="662"/>
      <c r="HP72" s="662"/>
      <c r="HQ72" s="662"/>
      <c r="HR72" s="662"/>
      <c r="HS72" s="662"/>
      <c r="HT72" s="662"/>
      <c r="HU72" s="662"/>
      <c r="HV72" s="662"/>
      <c r="HW72" s="662"/>
      <c r="HX72" s="662"/>
      <c r="HY72" s="662"/>
      <c r="HZ72" s="662"/>
      <c r="IA72" s="662"/>
      <c r="IB72" s="662"/>
      <c r="IC72" s="662"/>
      <c r="ID72" s="662"/>
      <c r="IE72" s="662"/>
      <c r="IF72" s="662"/>
      <c r="IG72" s="662"/>
      <c r="IH72" s="662"/>
      <c r="II72" s="662"/>
      <c r="IJ72" s="662"/>
      <c r="IK72" s="662"/>
      <c r="IL72" s="662"/>
      <c r="IM72" s="662"/>
      <c r="IN72" s="662"/>
      <c r="IO72" s="662"/>
      <c r="IP72" s="662"/>
      <c r="IQ72" s="662"/>
      <c r="IR72" s="662"/>
      <c r="IS72" s="662"/>
      <c r="IT72" s="662"/>
      <c r="IU72" s="662"/>
      <c r="IV72" s="662"/>
      <c r="IW72" s="662"/>
    </row>
    <row r="73" customFormat="false" ht="12.75" hidden="false" customHeight="false" outlineLevel="1" collapsed="false">
      <c r="A73" s="670"/>
      <c r="E73" s="368"/>
      <c r="F73" s="368"/>
      <c r="G73" s="368"/>
      <c r="H73" s="368"/>
      <c r="I73" s="368"/>
      <c r="J73" s="368"/>
      <c r="K73" s="368"/>
      <c r="L73" s="368"/>
      <c r="M73" s="368"/>
      <c r="N73" s="368"/>
      <c r="O73" s="368"/>
      <c r="P73" s="368"/>
      <c r="Q73" s="368"/>
      <c r="R73" s="368"/>
      <c r="S73" s="368"/>
      <c r="T73" s="368"/>
      <c r="U73" s="368"/>
      <c r="V73" s="368"/>
      <c r="W73" s="368"/>
      <c r="X73" s="368"/>
      <c r="Y73" s="368"/>
      <c r="Z73" s="368"/>
    </row>
    <row r="74" customFormat="false" ht="12.75" hidden="false" customHeight="false" outlineLevel="1" collapsed="false">
      <c r="A74" s="388"/>
      <c r="E74" s="368"/>
      <c r="F74" s="368"/>
      <c r="G74" s="368"/>
      <c r="H74" s="368"/>
      <c r="I74" s="368"/>
      <c r="J74" s="368"/>
      <c r="K74" s="368"/>
      <c r="L74" s="368"/>
      <c r="M74" s="368"/>
      <c r="N74" s="368"/>
      <c r="O74" s="368"/>
      <c r="P74" s="368"/>
      <c r="Q74" s="368"/>
      <c r="R74" s="368"/>
      <c r="S74" s="368"/>
      <c r="T74" s="368"/>
      <c r="U74" s="368"/>
      <c r="V74" s="368"/>
      <c r="W74" s="368"/>
      <c r="X74" s="368"/>
      <c r="Y74" s="368"/>
      <c r="Z74" s="368"/>
    </row>
    <row r="75" customFormat="false" ht="12.75" hidden="false" customHeight="true" outlineLevel="1" collapsed="false">
      <c r="A75" s="388" t="s">
        <v>464</v>
      </c>
      <c r="B75" s="664"/>
      <c r="C75" s="665" t="n">
        <f aca="false">$C$60</f>
        <v>0.5</v>
      </c>
      <c r="D75" s="665"/>
      <c r="E75" s="667" t="n">
        <f aca="false">$C$75*E54</f>
        <v>0</v>
      </c>
      <c r="F75" s="667" t="n">
        <f aca="false">$C$75*F54</f>
        <v>327.30467199796</v>
      </c>
      <c r="G75" s="667" t="n">
        <f aca="false">$C$75*G54</f>
        <v>789.806062338376</v>
      </c>
      <c r="H75" s="667" t="n">
        <f aca="false">$C$75*H54</f>
        <v>916.848614149877</v>
      </c>
      <c r="I75" s="667" t="n">
        <f aca="false">$C$75*I54</f>
        <v>6273.58839552664</v>
      </c>
      <c r="J75" s="667" t="n">
        <f aca="false">$C$75*J54</f>
        <v>6536.96888354918</v>
      </c>
      <c r="K75" s="667" t="n">
        <f aca="false">$C$75*K54</f>
        <v>7117.23005497561</v>
      </c>
      <c r="L75" s="667" t="n">
        <f aca="false">$C$75*L54</f>
        <v>7217.6365779023</v>
      </c>
      <c r="M75" s="667" t="n">
        <f aca="false">$C$75*M54</f>
        <v>7583.34148917658</v>
      </c>
      <c r="N75" s="667" t="n">
        <f aca="false">$C$75*N54</f>
        <v>7975.8985993394</v>
      </c>
      <c r="O75" s="667" t="n">
        <f aca="false">$C$75*O54</f>
        <v>8428.3137228407</v>
      </c>
      <c r="P75" s="667" t="n">
        <f aca="false">$C$75*P54</f>
        <v>8846.91590848754</v>
      </c>
      <c r="Q75" s="667" t="n">
        <f aca="false">$C$75*Q54</f>
        <v>9240.68819810748</v>
      </c>
      <c r="R75" s="667" t="n">
        <f aca="false">$C$75*R54</f>
        <v>9651.0746658557</v>
      </c>
      <c r="S75" s="667" t="n">
        <f aca="false">$C$75*S54</f>
        <v>10092.2606488677</v>
      </c>
      <c r="T75" s="667" t="n">
        <f aca="false">$C$75*T54</f>
        <v>10535.2043101385</v>
      </c>
      <c r="U75" s="667" t="n">
        <f aca="false">$C$75*U54</f>
        <v>10997.173226411</v>
      </c>
      <c r="V75" s="667" t="n">
        <f aca="false">$C$75*V54</f>
        <v>11471.7986683284</v>
      </c>
      <c r="W75" s="667" t="n">
        <f aca="false">$C$75*W54</f>
        <v>11952.7006240656</v>
      </c>
      <c r="X75" s="667" t="n">
        <f aca="false">$C$75*X54</f>
        <v>12390.2961812919</v>
      </c>
      <c r="Y75" s="667" t="n">
        <f aca="false">$C$75*Y54</f>
        <v>12414.9141589706</v>
      </c>
      <c r="Z75" s="667" t="n">
        <f aca="false">$C$75*Z54</f>
        <v>12631.8386987706</v>
      </c>
    </row>
    <row r="76" customFormat="false" ht="12.75" hidden="false" customHeight="false" outlineLevel="1" collapsed="false">
      <c r="A76" s="388" t="s">
        <v>465</v>
      </c>
      <c r="B76" s="664"/>
      <c r="C76" s="665" t="n">
        <f aca="false">$C$60</f>
        <v>0.5</v>
      </c>
      <c r="D76" s="665"/>
      <c r="E76" s="667" t="n">
        <f aca="false">$C$76*E72</f>
        <v>0</v>
      </c>
      <c r="F76" s="667" t="n">
        <f aca="false">$C$76*F72</f>
        <v>4892.66460839394</v>
      </c>
      <c r="G76" s="667" t="n">
        <f aca="false">$C$76*G72</f>
        <v>5087.52269937317</v>
      </c>
      <c r="H76" s="667" t="n">
        <f aca="false">$C$76*H72</f>
        <v>4603.50550934247</v>
      </c>
      <c r="I76" s="667" t="n">
        <f aca="false">$C$76*I72</f>
        <v>11366.8725898114</v>
      </c>
      <c r="J76" s="667" t="n">
        <f aca="false">$C$76*J72</f>
        <v>11019.1761008755</v>
      </c>
      <c r="K76" s="667" t="n">
        <f aca="false">$C$76*K72</f>
        <v>10991.8992061351</v>
      </c>
      <c r="L76" s="667" t="n">
        <f aca="false">$C$76*L72</f>
        <v>10216.7283854812</v>
      </c>
      <c r="M76" s="667" t="n">
        <f aca="false">$C$76*M72</f>
        <v>9944.62568103138</v>
      </c>
      <c r="N76" s="667" t="n">
        <f aca="false">$C$76*N72</f>
        <v>9841.6345050785</v>
      </c>
      <c r="O76" s="667" t="n">
        <f aca="false">$C$76*O72</f>
        <v>9539.631988286</v>
      </c>
      <c r="P76" s="667" t="n">
        <f aca="false">$C$76*P72</f>
        <v>10904.9017825607</v>
      </c>
      <c r="Q76" s="667" t="n">
        <f aca="false">$C$76*Q72</f>
        <v>11192.6463966097</v>
      </c>
      <c r="R76" s="667" t="n">
        <f aca="false">$C$76*R72</f>
        <v>11183.6623048886</v>
      </c>
      <c r="S76" s="667" t="n">
        <f aca="false">$C$76*S72</f>
        <v>11373.751739408</v>
      </c>
      <c r="T76" s="667" t="n">
        <f aca="false">$C$76*T72</f>
        <v>11499.5850375455</v>
      </c>
      <c r="U76" s="667" t="n">
        <f aca="false">$C$76*U72</f>
        <v>9967.39748864801</v>
      </c>
      <c r="V76" s="667" t="n">
        <f aca="false">$C$76*V72</f>
        <v>8804.19626430277</v>
      </c>
      <c r="W76" s="667" t="n">
        <f aca="false">$C$76*W72</f>
        <v>9432.60101012052</v>
      </c>
      <c r="X76" s="667" t="n">
        <f aca="false">$C$76*X72</f>
        <v>10554.4803260277</v>
      </c>
      <c r="Y76" s="667" t="n">
        <f aca="false">$C$76*Y72</f>
        <v>11157.8613046686</v>
      </c>
      <c r="Z76" s="667" t="n">
        <f aca="false">$C$76*Z72</f>
        <v>15454.8853821891</v>
      </c>
    </row>
    <row r="77" customFormat="false" ht="12.75" hidden="false" customHeight="false" outlineLevel="1" collapsed="false">
      <c r="A77" s="388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</row>
    <row r="78" customFormat="false" ht="12.75" hidden="false" customHeight="false" outlineLevel="1" collapsed="false">
      <c r="A78" s="398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</row>
    <row r="79" customFormat="false" ht="12.75" hidden="false" customHeight="false" outlineLevel="1" collapsed="false">
      <c r="A79" s="398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</row>
    <row r="80" customFormat="false" ht="12.75" hidden="false" customHeight="false" outlineLevel="1" collapsed="false">
      <c r="A80" s="398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</row>
    <row r="81" customFormat="false" ht="12.75" hidden="false" customHeight="false" outlineLevel="1" collapsed="false">
      <c r="A81" s="245"/>
      <c r="B81" s="70"/>
      <c r="C81" s="70"/>
      <c r="D81" s="70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  <c r="Z81" s="102"/>
    </row>
    <row r="82" customFormat="false" ht="13.5" hidden="false" customHeight="false" outlineLevel="1" collapsed="false">
      <c r="A82" s="464"/>
      <c r="B82" s="671"/>
      <c r="C82" s="672"/>
      <c r="D82" s="672"/>
      <c r="E82" s="672"/>
      <c r="F82" s="672"/>
      <c r="G82" s="672"/>
      <c r="H82" s="672"/>
      <c r="I82" s="672"/>
      <c r="J82" s="672"/>
      <c r="K82" s="672"/>
      <c r="L82" s="672"/>
      <c r="M82" s="672"/>
      <c r="N82" s="672"/>
      <c r="O82" s="672"/>
      <c r="P82" s="672"/>
      <c r="Q82" s="102"/>
      <c r="R82" s="102"/>
      <c r="S82" s="102"/>
      <c r="T82" s="102"/>
      <c r="U82" s="102"/>
      <c r="V82" s="102"/>
      <c r="W82" s="102"/>
      <c r="X82" s="102"/>
      <c r="Y82" s="102"/>
      <c r="Z82" s="102"/>
    </row>
    <row r="83" customFormat="false" ht="12.75" hidden="false" customHeight="false" outlineLevel="1" collapsed="false">
      <c r="A83" s="464"/>
      <c r="B83" s="70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102"/>
      <c r="R83" s="102"/>
      <c r="S83" s="102"/>
      <c r="T83" s="102"/>
      <c r="U83" s="102"/>
      <c r="V83" s="102"/>
      <c r="W83" s="102"/>
      <c r="X83" s="102"/>
      <c r="Y83" s="102"/>
      <c r="Z83" s="102"/>
    </row>
    <row r="84" customFormat="false" ht="15.75" hidden="false" customHeight="false" outlineLevel="1" collapsed="false">
      <c r="A84" s="673"/>
      <c r="B84" s="70"/>
      <c r="C84" s="70"/>
      <c r="D84" s="70"/>
      <c r="E84" s="70"/>
      <c r="F84" s="70"/>
      <c r="G84" s="70"/>
      <c r="H84" s="70"/>
      <c r="I84" s="70"/>
      <c r="J84" s="674"/>
      <c r="K84" s="70"/>
      <c r="L84" s="70"/>
      <c r="M84" s="70"/>
      <c r="N84" s="70"/>
      <c r="O84" s="70"/>
      <c r="P84" s="70"/>
      <c r="Q84" s="102"/>
      <c r="R84" s="102"/>
      <c r="S84" s="102"/>
      <c r="T84" s="102"/>
      <c r="U84" s="102"/>
      <c r="V84" s="102"/>
      <c r="W84" s="102"/>
      <c r="X84" s="102"/>
      <c r="Y84" s="102"/>
      <c r="Z84" s="102"/>
    </row>
    <row r="85" customFormat="false" ht="12.75" hidden="false" customHeight="false" outlineLevel="1" collapsed="false">
      <c r="A85" s="395"/>
      <c r="B85" s="70"/>
      <c r="C85" s="674"/>
      <c r="D85" s="674"/>
      <c r="E85" s="674"/>
      <c r="F85" s="674"/>
      <c r="G85" s="674"/>
      <c r="H85" s="674"/>
      <c r="I85" s="674"/>
      <c r="J85" s="674"/>
      <c r="K85" s="674"/>
      <c r="L85" s="674"/>
      <c r="M85" s="674"/>
      <c r="N85" s="674"/>
      <c r="O85" s="674"/>
      <c r="P85" s="674"/>
      <c r="Q85" s="102"/>
      <c r="R85" s="102"/>
      <c r="S85" s="102"/>
      <c r="T85" s="102"/>
      <c r="U85" s="102"/>
      <c r="V85" s="102"/>
      <c r="W85" s="102"/>
      <c r="X85" s="102"/>
      <c r="Y85" s="102"/>
      <c r="Z85" s="102"/>
    </row>
    <row r="86" customFormat="false" ht="12.75" hidden="false" customHeight="false" outlineLevel="1" collapsed="false">
      <c r="A86" s="70"/>
      <c r="B86" s="70"/>
      <c r="C86" s="674"/>
      <c r="D86" s="674"/>
      <c r="E86" s="674"/>
      <c r="F86" s="674"/>
      <c r="G86" s="674"/>
      <c r="H86" s="674"/>
      <c r="I86" s="674"/>
      <c r="J86" s="674"/>
      <c r="K86" s="674"/>
      <c r="L86" s="674"/>
      <c r="M86" s="674"/>
      <c r="N86" s="674"/>
      <c r="O86" s="674"/>
      <c r="P86" s="674"/>
      <c r="Q86" s="102"/>
      <c r="R86" s="102"/>
      <c r="S86" s="102"/>
      <c r="T86" s="102"/>
      <c r="U86" s="102"/>
      <c r="V86" s="102"/>
      <c r="W86" s="102"/>
      <c r="X86" s="102"/>
      <c r="Y86" s="102"/>
      <c r="Z86" s="102"/>
    </row>
    <row r="87" customFormat="false" ht="12.75" hidden="false" customHeight="false" outlineLevel="1" collapsed="false">
      <c r="A87" s="70"/>
      <c r="B87" s="70"/>
      <c r="C87" s="674"/>
      <c r="D87" s="674"/>
      <c r="E87" s="70"/>
      <c r="F87" s="70"/>
      <c r="G87" s="70"/>
      <c r="H87" s="70"/>
      <c r="I87" s="674"/>
      <c r="J87" s="70"/>
      <c r="K87" s="70"/>
      <c r="L87" s="70"/>
      <c r="M87" s="70"/>
      <c r="N87" s="674"/>
      <c r="O87" s="674"/>
      <c r="P87" s="674"/>
      <c r="Q87" s="102"/>
      <c r="R87" s="102"/>
      <c r="S87" s="102"/>
      <c r="T87" s="102"/>
      <c r="U87" s="102"/>
      <c r="V87" s="102"/>
      <c r="W87" s="102"/>
      <c r="X87" s="102"/>
      <c r="Y87" s="102"/>
      <c r="Z87" s="102"/>
    </row>
    <row r="88" customFormat="false" ht="12.75" hidden="false" customHeight="false" outlineLevel="0" collapsed="false">
      <c r="A88" s="70"/>
      <c r="B88" s="70"/>
      <c r="C88" s="674"/>
      <c r="D88" s="674"/>
      <c r="E88" s="674"/>
      <c r="F88" s="674"/>
      <c r="G88" s="674"/>
      <c r="H88" s="674"/>
      <c r="I88" s="674"/>
      <c r="J88" s="674"/>
      <c r="K88" s="674"/>
      <c r="L88" s="674"/>
      <c r="M88" s="674"/>
      <c r="N88" s="674"/>
      <c r="O88" s="674"/>
      <c r="P88" s="674"/>
      <c r="Q88" s="321"/>
      <c r="R88" s="321"/>
      <c r="S88" s="321"/>
      <c r="T88" s="321"/>
      <c r="U88" s="321"/>
      <c r="V88" s="321"/>
      <c r="W88" s="321"/>
      <c r="X88" s="321"/>
      <c r="Y88" s="321"/>
      <c r="Z88" s="321"/>
    </row>
    <row r="89" customFormat="false" ht="12.75" hidden="false" customHeight="false" outlineLevel="1" collapsed="false">
      <c r="A89" s="70"/>
      <c r="B89" s="70"/>
      <c r="C89" s="674"/>
      <c r="D89" s="674"/>
      <c r="E89" s="674"/>
      <c r="F89" s="674"/>
      <c r="G89" s="674"/>
      <c r="H89" s="70"/>
      <c r="I89" s="674"/>
      <c r="J89" s="674"/>
      <c r="K89" s="674"/>
      <c r="L89" s="674"/>
      <c r="M89" s="674"/>
      <c r="N89" s="674"/>
      <c r="O89" s="674"/>
      <c r="P89" s="674"/>
      <c r="Q89" s="102"/>
      <c r="R89" s="102"/>
      <c r="S89" s="102"/>
      <c r="T89" s="102"/>
      <c r="U89" s="102"/>
      <c r="V89" s="102"/>
      <c r="W89" s="102"/>
      <c r="X89" s="102"/>
      <c r="Y89" s="102"/>
      <c r="Z89" s="102"/>
    </row>
    <row r="90" customFormat="false" ht="12.75" hidden="false" customHeight="false" outlineLevel="1" collapsed="false">
      <c r="A90" s="70"/>
      <c r="B90" s="70"/>
      <c r="C90" s="674"/>
      <c r="D90" s="674"/>
      <c r="E90" s="674"/>
      <c r="F90" s="674"/>
      <c r="G90" s="674"/>
      <c r="H90" s="70"/>
      <c r="I90" s="674"/>
      <c r="J90" s="674"/>
      <c r="K90" s="674"/>
      <c r="L90" s="674"/>
      <c r="M90" s="674"/>
      <c r="N90" s="674"/>
      <c r="O90" s="674"/>
      <c r="P90" s="674"/>
      <c r="Q90" s="102"/>
      <c r="R90" s="102"/>
      <c r="S90" s="102"/>
      <c r="T90" s="102"/>
      <c r="U90" s="102"/>
      <c r="V90" s="102"/>
      <c r="W90" s="102"/>
      <c r="X90" s="102"/>
      <c r="Y90" s="102"/>
      <c r="Z90" s="102"/>
    </row>
    <row r="91" customFormat="false" ht="12.75" hidden="false" customHeight="false" outlineLevel="1" collapsed="false">
      <c r="A91" s="70"/>
      <c r="B91" s="70"/>
      <c r="C91" s="674"/>
      <c r="D91" s="674"/>
      <c r="E91" s="674"/>
      <c r="F91" s="674"/>
      <c r="G91" s="674"/>
      <c r="H91" s="674"/>
      <c r="I91" s="674"/>
      <c r="J91" s="674"/>
      <c r="K91" s="674"/>
      <c r="L91" s="674"/>
      <c r="M91" s="674"/>
      <c r="N91" s="674"/>
      <c r="O91" s="674"/>
      <c r="P91" s="674"/>
      <c r="Q91" s="102"/>
      <c r="R91" s="102"/>
      <c r="S91" s="102"/>
      <c r="T91" s="102"/>
      <c r="U91" s="102"/>
      <c r="V91" s="102"/>
      <c r="W91" s="102"/>
      <c r="X91" s="102"/>
      <c r="Y91" s="102"/>
      <c r="Z91" s="102"/>
    </row>
    <row r="92" customFormat="false" ht="12.75" hidden="false" customHeight="false" outlineLevel="1" collapsed="false">
      <c r="A92" s="70"/>
      <c r="B92" s="70"/>
      <c r="C92" s="674"/>
      <c r="D92" s="674"/>
      <c r="E92" s="674"/>
      <c r="F92" s="674"/>
      <c r="G92" s="674"/>
      <c r="H92" s="674"/>
      <c r="I92" s="674"/>
      <c r="J92" s="674"/>
      <c r="K92" s="674"/>
      <c r="L92" s="674"/>
      <c r="M92" s="674"/>
      <c r="N92" s="674"/>
      <c r="O92" s="674"/>
      <c r="P92" s="674"/>
      <c r="Q92" s="102"/>
      <c r="R92" s="102"/>
      <c r="S92" s="102"/>
      <c r="T92" s="102"/>
      <c r="U92" s="102"/>
      <c r="V92" s="102"/>
      <c r="W92" s="102"/>
      <c r="X92" s="102"/>
      <c r="Y92" s="102"/>
      <c r="Z92" s="102"/>
    </row>
    <row r="93" customFormat="false" ht="12.75" hidden="false" customHeight="false" outlineLevel="1" collapsed="false">
      <c r="A93" s="70"/>
      <c r="B93" s="70"/>
      <c r="C93" s="674"/>
      <c r="D93" s="674"/>
      <c r="E93" s="674"/>
      <c r="F93" s="674"/>
      <c r="G93" s="674"/>
      <c r="H93" s="674"/>
      <c r="I93" s="674"/>
      <c r="J93" s="674"/>
      <c r="K93" s="674"/>
      <c r="L93" s="674"/>
      <c r="M93" s="674"/>
      <c r="N93" s="674"/>
      <c r="O93" s="674"/>
      <c r="P93" s="674"/>
      <c r="Q93" s="102"/>
      <c r="R93" s="102"/>
      <c r="S93" s="102"/>
      <c r="T93" s="102"/>
      <c r="U93" s="102"/>
      <c r="V93" s="102"/>
      <c r="W93" s="102"/>
      <c r="X93" s="102"/>
      <c r="Y93" s="102"/>
      <c r="Z93" s="102"/>
    </row>
    <row r="94" customFormat="false" ht="12.75" hidden="false" customHeight="false" outlineLevel="1" collapsed="false">
      <c r="A94" s="395"/>
      <c r="B94" s="70"/>
      <c r="C94" s="674"/>
      <c r="D94" s="674"/>
      <c r="E94" s="674"/>
      <c r="F94" s="674"/>
      <c r="G94" s="674"/>
      <c r="H94" s="674"/>
      <c r="I94" s="674"/>
      <c r="J94" s="674"/>
      <c r="K94" s="674"/>
      <c r="L94" s="674"/>
      <c r="M94" s="674"/>
      <c r="N94" s="674"/>
      <c r="O94" s="674"/>
      <c r="P94" s="674"/>
      <c r="Q94" s="102"/>
      <c r="R94" s="102"/>
      <c r="S94" s="102"/>
      <c r="T94" s="102"/>
      <c r="U94" s="102"/>
      <c r="V94" s="102"/>
      <c r="W94" s="102"/>
      <c r="X94" s="102"/>
      <c r="Y94" s="102"/>
      <c r="Z94" s="102"/>
    </row>
    <row r="95" customFormat="false" ht="12.75" hidden="false" customHeight="false" outlineLevel="1" collapsed="false">
      <c r="A95" s="395"/>
      <c r="B95" s="70"/>
      <c r="C95" s="674"/>
      <c r="D95" s="674"/>
      <c r="E95" s="674"/>
      <c r="F95" s="674"/>
      <c r="G95" s="674"/>
      <c r="H95" s="674"/>
      <c r="I95" s="674"/>
      <c r="J95" s="674"/>
      <c r="K95" s="674"/>
      <c r="L95" s="674"/>
      <c r="M95" s="674"/>
      <c r="N95" s="674"/>
      <c r="O95" s="674"/>
      <c r="P95" s="674"/>
      <c r="Q95" s="102"/>
      <c r="R95" s="102"/>
      <c r="S95" s="102"/>
      <c r="T95" s="102"/>
      <c r="U95" s="102"/>
      <c r="V95" s="102"/>
      <c r="W95" s="102"/>
      <c r="X95" s="102"/>
      <c r="Y95" s="102"/>
      <c r="Z95" s="102"/>
    </row>
    <row r="96" customFormat="false" ht="12.75" hidden="false" customHeight="false" outlineLevel="1" collapsed="false">
      <c r="A96" s="70"/>
      <c r="B96" s="70"/>
      <c r="C96" s="674"/>
      <c r="D96" s="674"/>
      <c r="E96" s="674"/>
      <c r="F96" s="674"/>
      <c r="G96" s="674"/>
      <c r="H96" s="674"/>
      <c r="I96" s="674"/>
      <c r="J96" s="674"/>
      <c r="K96" s="674"/>
      <c r="L96" s="674"/>
      <c r="M96" s="674"/>
      <c r="N96" s="674"/>
      <c r="O96" s="674"/>
      <c r="P96" s="674"/>
      <c r="Q96" s="102"/>
      <c r="R96" s="102"/>
      <c r="S96" s="102"/>
      <c r="T96" s="102"/>
      <c r="U96" s="102"/>
      <c r="V96" s="102"/>
      <c r="W96" s="102"/>
      <c r="X96" s="102"/>
      <c r="Y96" s="102"/>
      <c r="Z96" s="102"/>
    </row>
    <row r="97" customFormat="false" ht="12.75" hidden="false" customHeight="false" outlineLevel="1" collapsed="false">
      <c r="A97" s="395"/>
      <c r="B97" s="70"/>
      <c r="C97" s="674"/>
      <c r="D97" s="674"/>
      <c r="E97" s="674"/>
      <c r="F97" s="674"/>
      <c r="G97" s="674"/>
      <c r="H97" s="674"/>
      <c r="I97" s="674"/>
      <c r="J97" s="674"/>
      <c r="K97" s="674"/>
      <c r="L97" s="674"/>
      <c r="M97" s="674"/>
      <c r="N97" s="674"/>
      <c r="O97" s="674"/>
      <c r="P97" s="674"/>
      <c r="Q97" s="102"/>
      <c r="R97" s="102"/>
      <c r="S97" s="102"/>
      <c r="T97" s="102"/>
      <c r="U97" s="102"/>
      <c r="V97" s="102"/>
      <c r="W97" s="102"/>
      <c r="X97" s="102"/>
      <c r="Y97" s="102"/>
      <c r="Z97" s="102"/>
    </row>
    <row r="98" customFormat="false" ht="12.75" hidden="false" customHeight="false" outlineLevel="1" collapsed="false">
      <c r="A98" s="70"/>
      <c r="B98" s="70"/>
      <c r="C98" s="674"/>
      <c r="D98" s="674"/>
      <c r="E98" s="674"/>
      <c r="F98" s="674"/>
      <c r="G98" s="674"/>
      <c r="H98" s="674"/>
      <c r="I98" s="674"/>
      <c r="J98" s="674"/>
      <c r="K98" s="674"/>
      <c r="L98" s="674"/>
      <c r="M98" s="674"/>
      <c r="N98" s="674"/>
      <c r="O98" s="674"/>
      <c r="P98" s="674"/>
      <c r="Q98" s="102"/>
      <c r="R98" s="102"/>
      <c r="S98" s="102"/>
      <c r="T98" s="102"/>
      <c r="U98" s="102"/>
      <c r="V98" s="102"/>
      <c r="W98" s="102"/>
      <c r="X98" s="102"/>
      <c r="Y98" s="102"/>
      <c r="Z98" s="102"/>
    </row>
    <row r="99" customFormat="false" ht="12.75" hidden="false" customHeight="false" outlineLevel="1" collapsed="false">
      <c r="A99" s="70"/>
      <c r="B99" s="395"/>
      <c r="C99" s="675"/>
      <c r="D99" s="675"/>
      <c r="E99" s="675"/>
      <c r="F99" s="675"/>
      <c r="G99" s="675"/>
      <c r="H99" s="675"/>
      <c r="I99" s="675"/>
      <c r="J99" s="675"/>
      <c r="K99" s="675"/>
      <c r="L99" s="675"/>
      <c r="M99" s="675"/>
      <c r="N99" s="675"/>
      <c r="O99" s="675"/>
      <c r="P99" s="675"/>
      <c r="Q99" s="102"/>
      <c r="R99" s="102"/>
      <c r="S99" s="102"/>
      <c r="T99" s="102"/>
      <c r="U99" s="102"/>
      <c r="V99" s="102"/>
      <c r="W99" s="102"/>
      <c r="X99" s="102"/>
      <c r="Y99" s="102"/>
      <c r="Z99" s="102"/>
    </row>
    <row r="100" customFormat="false" ht="12.75" hidden="false" customHeight="false" outlineLevel="1" collapsed="false">
      <c r="A100" s="70"/>
      <c r="B100" s="395"/>
      <c r="C100" s="675"/>
      <c r="D100" s="675"/>
      <c r="E100" s="675"/>
      <c r="F100" s="675"/>
      <c r="G100" s="675"/>
      <c r="H100" s="675"/>
      <c r="I100" s="675"/>
      <c r="J100" s="675"/>
      <c r="K100" s="675"/>
      <c r="L100" s="675"/>
      <c r="M100" s="675"/>
      <c r="N100" s="675"/>
      <c r="O100" s="675"/>
      <c r="P100" s="675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</row>
    <row r="101" customFormat="false" ht="12.75" hidden="false" customHeight="false" outlineLevel="1" collapsed="false">
      <c r="A101" s="395"/>
      <c r="B101" s="395"/>
      <c r="C101" s="675"/>
      <c r="D101" s="675"/>
      <c r="E101" s="675"/>
      <c r="F101" s="675"/>
      <c r="G101" s="675"/>
      <c r="H101" s="675"/>
      <c r="I101" s="675"/>
      <c r="J101" s="675"/>
      <c r="K101" s="675"/>
      <c r="L101" s="675"/>
      <c r="M101" s="675"/>
      <c r="N101" s="675"/>
      <c r="O101" s="675"/>
      <c r="P101" s="675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</row>
    <row r="102" customFormat="false" ht="12.75" hidden="false" customHeight="false" outlineLevel="1" collapsed="false">
      <c r="A102" s="395"/>
      <c r="B102" s="70"/>
      <c r="C102" s="675"/>
      <c r="D102" s="675"/>
      <c r="E102" s="675"/>
      <c r="F102" s="675"/>
      <c r="G102" s="675"/>
      <c r="H102" s="675"/>
      <c r="I102" s="675"/>
      <c r="J102" s="675"/>
      <c r="K102" s="675"/>
      <c r="L102" s="675"/>
      <c r="M102" s="675"/>
      <c r="N102" s="675"/>
      <c r="O102" s="675"/>
      <c r="P102" s="675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</row>
    <row r="103" customFormat="false" ht="14.25" hidden="false" customHeight="false" outlineLevel="1" collapsed="false">
      <c r="A103" s="676"/>
      <c r="B103" s="70"/>
      <c r="C103" s="675"/>
      <c r="D103" s="675"/>
      <c r="E103" s="675"/>
      <c r="F103" s="675"/>
      <c r="G103" s="675"/>
      <c r="H103" s="675"/>
      <c r="I103" s="675"/>
      <c r="J103" s="675"/>
      <c r="K103" s="675"/>
      <c r="L103" s="675"/>
      <c r="M103" s="675"/>
      <c r="N103" s="675"/>
      <c r="O103" s="675"/>
      <c r="P103" s="675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</row>
    <row r="104" customFormat="false" ht="14.25" hidden="false" customHeight="false" outlineLevel="1" collapsed="false">
      <c r="A104" s="70"/>
      <c r="B104" s="676"/>
      <c r="C104" s="675"/>
      <c r="D104" s="675"/>
      <c r="E104" s="675"/>
      <c r="F104" s="675"/>
      <c r="G104" s="675"/>
      <c r="H104" s="675"/>
      <c r="I104" s="675"/>
      <c r="J104" s="675"/>
      <c r="K104" s="675"/>
      <c r="L104" s="675"/>
      <c r="M104" s="675"/>
      <c r="N104" s="675"/>
      <c r="O104" s="675"/>
      <c r="P104" s="675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</row>
    <row r="105" customFormat="false" ht="15.75" hidden="false" customHeight="false" outlineLevel="1" collapsed="false">
      <c r="A105" s="673"/>
      <c r="B105" s="70"/>
      <c r="C105" s="70"/>
      <c r="D105" s="70"/>
      <c r="E105" s="674"/>
      <c r="F105" s="70"/>
      <c r="G105" s="70"/>
      <c r="H105" s="674"/>
      <c r="I105" s="70"/>
      <c r="J105" s="70"/>
      <c r="K105" s="70"/>
      <c r="L105" s="70"/>
      <c r="M105" s="70"/>
      <c r="N105" s="70"/>
      <c r="O105" s="70"/>
      <c r="P105" s="70"/>
      <c r="Q105" s="102"/>
      <c r="R105" s="102"/>
      <c r="S105" s="102"/>
      <c r="T105" s="102"/>
      <c r="U105" s="102"/>
      <c r="V105" s="102"/>
      <c r="W105" s="102"/>
      <c r="X105" s="102"/>
      <c r="Y105" s="102"/>
      <c r="Z105" s="102"/>
    </row>
    <row r="106" customFormat="false" ht="12.75" hidden="false" customHeight="false" outlineLevel="1" collapsed="false">
      <c r="A106" s="395"/>
      <c r="B106" s="70"/>
      <c r="C106" s="677"/>
      <c r="D106" s="677"/>
      <c r="E106" s="674"/>
      <c r="F106" s="674"/>
      <c r="G106" s="674"/>
      <c r="H106" s="678"/>
      <c r="I106" s="679"/>
      <c r="J106" s="679"/>
      <c r="K106" s="679"/>
      <c r="L106" s="679"/>
      <c r="M106" s="679"/>
      <c r="N106" s="679"/>
      <c r="O106" s="679"/>
      <c r="P106" s="679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</row>
    <row r="107" customFormat="false" ht="12.75" hidden="false" customHeight="false" outlineLevel="1" collapsed="false">
      <c r="A107" s="395"/>
      <c r="B107" s="198"/>
      <c r="C107" s="680"/>
      <c r="D107" s="680"/>
      <c r="E107" s="680"/>
      <c r="F107" s="680"/>
      <c r="G107" s="680"/>
      <c r="H107" s="680"/>
      <c r="I107" s="680"/>
      <c r="J107" s="680"/>
      <c r="K107" s="680"/>
      <c r="L107" s="680"/>
      <c r="M107" s="680"/>
      <c r="N107" s="680"/>
      <c r="O107" s="680"/>
      <c r="P107" s="680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</row>
    <row r="108" customFormat="false" ht="12.75" hidden="false" customHeight="false" outlineLevel="1" collapsed="false">
      <c r="A108" s="198"/>
      <c r="B108" s="198"/>
      <c r="C108" s="680"/>
      <c r="D108" s="680"/>
      <c r="E108" s="680"/>
      <c r="F108" s="680"/>
      <c r="G108" s="680"/>
      <c r="H108" s="680"/>
      <c r="I108" s="680"/>
      <c r="J108" s="680"/>
      <c r="K108" s="680"/>
      <c r="L108" s="680"/>
      <c r="M108" s="680"/>
      <c r="N108" s="680"/>
      <c r="O108" s="680"/>
      <c r="P108" s="680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</row>
    <row r="109" customFormat="false" ht="12.75" hidden="false" customHeight="false" outlineLevel="1" collapsed="false">
      <c r="A109" s="198"/>
      <c r="B109" s="198"/>
      <c r="C109" s="680"/>
      <c r="D109" s="680"/>
      <c r="E109" s="680"/>
      <c r="F109" s="680"/>
      <c r="G109" s="680"/>
      <c r="H109" s="680"/>
      <c r="I109" s="680"/>
      <c r="J109" s="680"/>
      <c r="K109" s="680"/>
      <c r="L109" s="680"/>
      <c r="M109" s="680"/>
      <c r="N109" s="680"/>
      <c r="O109" s="680"/>
      <c r="P109" s="680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</row>
    <row r="110" customFormat="false" ht="12.75" hidden="false" customHeight="false" outlineLevel="1" collapsed="false">
      <c r="A110" s="198"/>
      <c r="B110" s="70"/>
      <c r="C110" s="674"/>
      <c r="D110" s="674"/>
      <c r="E110" s="674"/>
      <c r="F110" s="674"/>
      <c r="G110" s="674"/>
      <c r="H110" s="674"/>
      <c r="I110" s="674"/>
      <c r="J110" s="674"/>
      <c r="K110" s="674"/>
      <c r="L110" s="674"/>
      <c r="M110" s="674"/>
      <c r="N110" s="674"/>
      <c r="O110" s="674"/>
      <c r="P110" s="674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</row>
    <row r="111" customFormat="false" ht="12.75" hidden="false" customHeight="false" outlineLevel="1" collapsed="false">
      <c r="A111" s="70"/>
      <c r="B111" s="395"/>
      <c r="C111" s="675"/>
      <c r="D111" s="675"/>
      <c r="E111" s="675"/>
      <c r="F111" s="675"/>
      <c r="G111" s="675"/>
      <c r="H111" s="675"/>
      <c r="I111" s="675"/>
      <c r="J111" s="675"/>
      <c r="K111" s="675"/>
      <c r="L111" s="675"/>
      <c r="M111" s="675"/>
      <c r="N111" s="675"/>
      <c r="O111" s="675"/>
      <c r="P111" s="675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</row>
    <row r="112" customFormat="false" ht="12.75" hidden="false" customHeight="false" outlineLevel="1" collapsed="false">
      <c r="A112" s="395"/>
      <c r="B112" s="395"/>
      <c r="C112" s="675"/>
      <c r="D112" s="675"/>
      <c r="E112" s="675"/>
      <c r="F112" s="675"/>
      <c r="G112" s="675"/>
      <c r="H112" s="675"/>
      <c r="I112" s="675"/>
      <c r="J112" s="675"/>
      <c r="K112" s="675"/>
      <c r="L112" s="675"/>
      <c r="M112" s="675"/>
      <c r="N112" s="675"/>
      <c r="O112" s="675"/>
      <c r="P112" s="675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</row>
    <row r="113" customFormat="false" ht="12.75" hidden="false" customHeight="false" outlineLevel="1" collapsed="false">
      <c r="A113" s="395"/>
      <c r="B113" s="70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</row>
    <row r="114" customFormat="false" ht="12.75" hidden="false" customHeight="false" outlineLevel="1" collapsed="false">
      <c r="A114" s="70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</row>
    <row r="115" customFormat="false" ht="12.75" hidden="false" customHeight="false" outlineLevel="1" collapsed="false">
      <c r="A115" s="70"/>
      <c r="B115" s="395"/>
      <c r="C115" s="675"/>
      <c r="D115" s="675"/>
      <c r="E115" s="675"/>
      <c r="F115" s="675"/>
      <c r="G115" s="675"/>
      <c r="H115" s="675"/>
      <c r="I115" s="675"/>
      <c r="J115" s="675"/>
      <c r="K115" s="675"/>
      <c r="L115" s="675"/>
      <c r="M115" s="675"/>
      <c r="N115" s="675"/>
      <c r="O115" s="675"/>
      <c r="P115" s="675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</row>
    <row r="116" customFormat="false" ht="14.25" hidden="false" customHeight="false" outlineLevel="1" collapsed="false">
      <c r="A116" s="676"/>
      <c r="B116" s="70"/>
      <c r="C116" s="674"/>
      <c r="D116" s="674"/>
      <c r="E116" s="674"/>
      <c r="F116" s="674"/>
      <c r="G116" s="674"/>
      <c r="H116" s="674"/>
      <c r="I116" s="674"/>
      <c r="J116" s="674"/>
      <c r="K116" s="674"/>
      <c r="L116" s="674"/>
      <c r="M116" s="674"/>
      <c r="N116" s="674"/>
      <c r="O116" s="674"/>
      <c r="P116" s="674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</row>
    <row r="117" customFormat="false" ht="12.75" hidden="false" customHeight="false" outlineLevel="1" collapsed="false">
      <c r="A117" s="366"/>
      <c r="B117" s="70"/>
      <c r="C117" s="70"/>
      <c r="D117" s="70"/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</row>
    <row r="118" customFormat="false" ht="12.75" hidden="false" customHeight="false" outlineLevel="1" collapsed="false">
      <c r="A118" s="367"/>
      <c r="B118" s="70"/>
      <c r="C118" s="70"/>
      <c r="D118" s="70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</row>
    <row r="119" customFormat="false" ht="12.75" hidden="false" customHeight="false" outlineLevel="1" collapsed="false">
      <c r="A119" s="367"/>
      <c r="B119" s="70"/>
      <c r="C119" s="70"/>
      <c r="D119" s="70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</row>
    <row r="120" customFormat="false" ht="12.75" hidden="false" customHeight="false" outlineLevel="1" collapsed="false">
      <c r="A120" s="367"/>
      <c r="B120" s="70"/>
      <c r="C120" s="70"/>
      <c r="D120" s="70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  <c r="Z120" s="102"/>
    </row>
    <row r="121" customFormat="false" ht="12.75" hidden="false" customHeight="false" outlineLevel="1" collapsed="false">
      <c r="A121" s="367"/>
      <c r="B121" s="70"/>
      <c r="C121" s="70"/>
      <c r="D121" s="70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</row>
    <row r="122" customFormat="false" ht="12.75" hidden="false" customHeight="false" outlineLevel="1" collapsed="false">
      <c r="A122" s="367"/>
      <c r="B122" s="70"/>
      <c r="C122" s="70"/>
      <c r="D122" s="70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</row>
    <row r="123" customFormat="false" ht="12.75" hidden="false" customHeight="false" outlineLevel="1" collapsed="false">
      <c r="A123" s="367"/>
      <c r="B123" s="70"/>
      <c r="C123" s="70"/>
      <c r="D123" s="70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</row>
    <row r="124" customFormat="false" ht="12.75" hidden="false" customHeight="false" outlineLevel="1" collapsed="false">
      <c r="A124" s="367"/>
      <c r="B124" s="70"/>
      <c r="C124" s="70"/>
      <c r="D124" s="70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</row>
    <row r="125" customFormat="false" ht="12.75" hidden="false" customHeight="false" outlineLevel="1" collapsed="false">
      <c r="A125" s="388"/>
      <c r="B125" s="70"/>
      <c r="C125" s="70"/>
      <c r="D125" s="70"/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</row>
    <row r="126" customFormat="false" ht="12.75" hidden="false" customHeight="false" outlineLevel="1" collapsed="false">
      <c r="A126" s="670"/>
      <c r="B126" s="70"/>
      <c r="C126" s="70"/>
      <c r="D126" s="70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</row>
    <row r="127" customFormat="false" ht="12.75" hidden="false" customHeight="false" outlineLevel="1" collapsed="false">
      <c r="A127" s="367"/>
      <c r="B127" s="70"/>
      <c r="C127" s="70"/>
      <c r="D127" s="70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</row>
    <row r="128" customFormat="false" ht="12.75" hidden="false" customHeight="false" outlineLevel="1" collapsed="false">
      <c r="A128" s="367"/>
      <c r="B128" s="70"/>
      <c r="C128" s="70"/>
      <c r="D128" s="70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</row>
    <row r="129" customFormat="false" ht="12.75" hidden="false" customHeight="false" outlineLevel="1" collapsed="false">
      <c r="A129" s="681"/>
      <c r="B129" s="70"/>
      <c r="C129" s="70"/>
      <c r="D129" s="70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  <c r="Z129" s="102"/>
    </row>
    <row r="130" customFormat="false" ht="12.75" hidden="false" customHeight="false" outlineLevel="1" collapsed="false">
      <c r="A130" s="681"/>
      <c r="B130" s="70"/>
      <c r="C130" s="70"/>
      <c r="D130" s="70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  <c r="Z130" s="102"/>
    </row>
    <row r="131" customFormat="false" ht="12.75" hidden="false" customHeight="false" outlineLevel="1" collapsed="false">
      <c r="A131" s="367"/>
      <c r="B131" s="70"/>
      <c r="C131" s="70"/>
      <c r="D131" s="70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</row>
    <row r="132" customFormat="false" ht="12.75" hidden="false" customHeight="false" outlineLevel="1" collapsed="false">
      <c r="A132" s="681"/>
      <c r="B132" s="70"/>
      <c r="C132" s="70"/>
      <c r="D132" s="70"/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</row>
    <row r="133" customFormat="false" ht="12.75" hidden="false" customHeight="false" outlineLevel="1" collapsed="false">
      <c r="A133" s="367"/>
      <c r="B133" s="70"/>
      <c r="C133" s="70"/>
      <c r="D133" s="70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</row>
    <row r="134" customFormat="false" ht="12.75" hidden="false" customHeight="false" outlineLevel="1" collapsed="false">
      <c r="A134" s="367"/>
      <c r="B134" s="70"/>
      <c r="C134" s="70"/>
      <c r="D134" s="70"/>
      <c r="E134" s="102"/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</row>
    <row r="135" customFormat="false" ht="12.75" hidden="false" customHeight="false" outlineLevel="1" collapsed="false">
      <c r="A135" s="367"/>
      <c r="B135" s="70"/>
      <c r="C135" s="70"/>
      <c r="D135" s="70"/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102"/>
      <c r="Y135" s="102"/>
      <c r="Z135" s="102"/>
    </row>
    <row r="136" customFormat="false" ht="12.75" hidden="false" customHeight="false" outlineLevel="1" collapsed="false">
      <c r="A136" s="681"/>
      <c r="B136" s="70"/>
      <c r="C136" s="70"/>
      <c r="D136" s="70"/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102"/>
      <c r="Y136" s="102"/>
      <c r="Z136" s="102"/>
    </row>
    <row r="137" customFormat="false" ht="12.75" hidden="false" customHeight="false" outlineLevel="1" collapsed="false">
      <c r="A137" s="366"/>
      <c r="B137" s="70"/>
      <c r="C137" s="70"/>
      <c r="D137" s="70"/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  <c r="Z137" s="102"/>
    </row>
    <row r="138" customFormat="false" ht="12.75" hidden="false" customHeight="false" outlineLevel="1" collapsed="false">
      <c r="A138" s="388"/>
      <c r="B138" s="70"/>
      <c r="C138" s="70"/>
      <c r="D138" s="70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</row>
    <row r="139" customFormat="false" ht="12.75" hidden="false" customHeight="false" outlineLevel="1" collapsed="false">
      <c r="A139" s="388"/>
      <c r="B139" s="70"/>
      <c r="C139" s="70"/>
      <c r="D139" s="70"/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  <c r="Z139" s="102"/>
    </row>
    <row r="140" customFormat="false" ht="15" hidden="false" customHeight="true" outlineLevel="1" collapsed="false">
      <c r="A140" s="388"/>
      <c r="B140" s="70"/>
      <c r="C140" s="70"/>
      <c r="D140" s="70"/>
      <c r="E140" s="70"/>
      <c r="F140" s="245"/>
      <c r="G140" s="245"/>
      <c r="H140" s="245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</row>
    <row r="141" customFormat="false" ht="12.75" hidden="false" customHeight="false" outlineLevel="1" collapsed="false">
      <c r="A141" s="388"/>
      <c r="B141" s="70"/>
      <c r="C141" s="70"/>
      <c r="D141" s="70"/>
      <c r="E141" s="70"/>
      <c r="F141" s="245"/>
      <c r="G141" s="245"/>
      <c r="H141" s="245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102"/>
      <c r="Y141" s="102"/>
      <c r="Z141" s="102"/>
    </row>
    <row r="142" customFormat="false" ht="14.25" hidden="false" customHeight="true" outlineLevel="1" collapsed="false">
      <c r="A142" s="388"/>
      <c r="B142" s="70"/>
      <c r="C142" s="70"/>
      <c r="D142" s="70"/>
      <c r="E142" s="70"/>
      <c r="F142" s="245"/>
      <c r="G142" s="245"/>
      <c r="H142" s="245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  <c r="Z142" s="102"/>
    </row>
    <row r="143" customFormat="false" ht="12.75" hidden="false" customHeight="false" outlineLevel="1" collapsed="false">
      <c r="A143" s="388"/>
      <c r="B143" s="70"/>
      <c r="C143" s="70"/>
      <c r="D143" s="70"/>
      <c r="E143" s="70"/>
      <c r="F143" s="245"/>
      <c r="G143" s="245"/>
      <c r="H143" s="245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</row>
    <row r="144" customFormat="false" ht="12.75" hidden="false" customHeight="false" outlineLevel="1" collapsed="false">
      <c r="A144" s="388"/>
      <c r="B144" s="70"/>
      <c r="C144" s="70"/>
      <c r="D144" s="70"/>
      <c r="E144" s="70"/>
      <c r="F144" s="245"/>
      <c r="G144" s="245"/>
      <c r="H144" s="245"/>
      <c r="I144" s="245"/>
      <c r="J144" s="245"/>
      <c r="K144" s="245"/>
      <c r="L144" s="245"/>
      <c r="M144" s="245"/>
      <c r="N144" s="245"/>
      <c r="O144" s="245"/>
      <c r="P144" s="245"/>
      <c r="Q144" s="245"/>
      <c r="R144" s="245"/>
      <c r="S144" s="245"/>
      <c r="T144" s="245"/>
      <c r="U144" s="245"/>
      <c r="V144" s="245"/>
      <c r="W144" s="245"/>
      <c r="X144" s="245"/>
      <c r="Y144" s="245"/>
      <c r="Z144" s="245"/>
    </row>
    <row r="145" customFormat="false" ht="12.75" hidden="false" customHeight="false" outlineLevel="1" collapsed="false">
      <c r="A145" s="398"/>
      <c r="B145" s="70"/>
      <c r="C145" s="70"/>
      <c r="D145" s="70"/>
      <c r="E145" s="70"/>
      <c r="F145" s="245"/>
      <c r="G145" s="245"/>
      <c r="H145" s="245"/>
      <c r="I145" s="245"/>
      <c r="J145" s="245"/>
      <c r="K145" s="245"/>
      <c r="L145" s="245"/>
      <c r="M145" s="245"/>
      <c r="N145" s="245"/>
      <c r="O145" s="245"/>
      <c r="P145" s="245"/>
      <c r="Q145" s="245"/>
      <c r="R145" s="245"/>
      <c r="S145" s="245"/>
      <c r="T145" s="245"/>
      <c r="U145" s="245"/>
      <c r="V145" s="245"/>
      <c r="W145" s="245"/>
      <c r="X145" s="245"/>
      <c r="Y145" s="245"/>
      <c r="Z145" s="245"/>
    </row>
    <row r="146" customFormat="false" ht="12.75" hidden="false" customHeight="false" outlineLevel="1" collapsed="false">
      <c r="A146" s="398"/>
      <c r="B146" s="70"/>
      <c r="C146" s="70"/>
      <c r="D146" s="70"/>
      <c r="E146" s="70"/>
      <c r="F146" s="245"/>
      <c r="G146" s="245"/>
      <c r="H146" s="245"/>
      <c r="I146" s="245"/>
      <c r="J146" s="245"/>
      <c r="K146" s="245"/>
      <c r="L146" s="245"/>
      <c r="M146" s="245"/>
      <c r="N146" s="245"/>
      <c r="O146" s="245"/>
      <c r="P146" s="245"/>
      <c r="Q146" s="245"/>
      <c r="R146" s="245"/>
      <c r="S146" s="245"/>
      <c r="T146" s="245"/>
      <c r="U146" s="245"/>
      <c r="V146" s="245"/>
      <c r="W146" s="245"/>
      <c r="X146" s="245"/>
      <c r="Y146" s="245"/>
      <c r="Z146" s="245"/>
    </row>
    <row r="147" customFormat="false" ht="12.75" hidden="false" customHeight="false" outlineLevel="1" collapsed="false">
      <c r="A147" s="398"/>
      <c r="B147" s="70"/>
      <c r="C147" s="70"/>
      <c r="D147" s="70"/>
      <c r="E147" s="70"/>
      <c r="F147" s="245"/>
      <c r="G147" s="245"/>
      <c r="H147" s="245"/>
      <c r="I147" s="245"/>
      <c r="J147" s="245"/>
      <c r="K147" s="245"/>
      <c r="L147" s="245"/>
      <c r="M147" s="245"/>
      <c r="N147" s="245"/>
      <c r="O147" s="245"/>
      <c r="P147" s="245"/>
      <c r="Q147" s="245"/>
      <c r="R147" s="245"/>
      <c r="S147" s="245"/>
      <c r="T147" s="245"/>
      <c r="U147" s="245"/>
      <c r="V147" s="245"/>
      <c r="W147" s="245"/>
      <c r="X147" s="245"/>
      <c r="Y147" s="245"/>
      <c r="Z147" s="245"/>
    </row>
    <row r="148" customFormat="false" ht="12.75" hidden="false" customHeight="false" outlineLevel="1" collapsed="false">
      <c r="A148" s="245"/>
      <c r="B148" s="70"/>
      <c r="C148" s="70"/>
      <c r="D148" s="70"/>
      <c r="E148" s="70"/>
      <c r="F148" s="245"/>
      <c r="G148" s="245"/>
      <c r="H148" s="245"/>
      <c r="I148" s="245"/>
      <c r="J148" s="245"/>
      <c r="K148" s="245"/>
      <c r="L148" s="245"/>
      <c r="M148" s="245"/>
      <c r="N148" s="245"/>
      <c r="O148" s="245"/>
      <c r="P148" s="245"/>
      <c r="Q148" s="245"/>
      <c r="R148" s="245"/>
      <c r="S148" s="245"/>
      <c r="T148" s="245"/>
      <c r="U148" s="245"/>
      <c r="V148" s="245"/>
      <c r="W148" s="245"/>
      <c r="X148" s="245"/>
      <c r="Y148" s="245"/>
      <c r="Z148" s="245"/>
    </row>
    <row r="149" customFormat="false" ht="12.75" hidden="false" customHeight="false" outlineLevel="1" collapsed="false">
      <c r="A149" s="70"/>
      <c r="B149" s="70"/>
      <c r="C149" s="70"/>
      <c r="D149" s="70"/>
      <c r="E149" s="70"/>
      <c r="F149" s="245"/>
      <c r="G149" s="245"/>
      <c r="H149" s="245"/>
      <c r="I149" s="245"/>
      <c r="J149" s="245"/>
      <c r="K149" s="245"/>
      <c r="L149" s="245"/>
      <c r="M149" s="245"/>
      <c r="N149" s="245"/>
      <c r="O149" s="245"/>
      <c r="P149" s="245"/>
      <c r="Q149" s="245"/>
      <c r="R149" s="245"/>
      <c r="S149" s="245"/>
      <c r="T149" s="245"/>
      <c r="U149" s="245"/>
      <c r="V149" s="245"/>
      <c r="W149" s="245"/>
      <c r="X149" s="245"/>
      <c r="Y149" s="245"/>
      <c r="Z149" s="245"/>
    </row>
    <row r="150" customFormat="false" ht="12.75" hidden="false" customHeight="false" outlineLevel="1" collapsed="false">
      <c r="A150" s="70"/>
      <c r="B150" s="70"/>
      <c r="C150" s="70"/>
      <c r="D150" s="70"/>
      <c r="E150" s="70"/>
      <c r="F150" s="245"/>
      <c r="G150" s="245"/>
      <c r="H150" s="245"/>
      <c r="I150" s="245"/>
      <c r="J150" s="245"/>
      <c r="K150" s="245"/>
      <c r="L150" s="245"/>
      <c r="M150" s="245"/>
      <c r="N150" s="245"/>
      <c r="O150" s="245"/>
      <c r="P150" s="245"/>
      <c r="Q150" s="245"/>
      <c r="R150" s="245"/>
      <c r="S150" s="245"/>
      <c r="T150" s="245"/>
      <c r="U150" s="245"/>
      <c r="V150" s="245"/>
      <c r="W150" s="245"/>
      <c r="X150" s="245"/>
      <c r="Y150" s="245"/>
      <c r="Z150" s="245"/>
    </row>
    <row r="151" customFormat="false" ht="12.75" hidden="false" customHeight="false" outlineLevel="1" collapsed="false">
      <c r="A151" s="70"/>
      <c r="B151" s="70"/>
      <c r="C151" s="70"/>
      <c r="D151" s="70"/>
      <c r="E151" s="70"/>
      <c r="F151" s="245"/>
      <c r="G151" s="245"/>
      <c r="H151" s="245"/>
      <c r="I151" s="245"/>
      <c r="J151" s="245"/>
      <c r="K151" s="245"/>
      <c r="L151" s="245"/>
      <c r="M151" s="245"/>
      <c r="N151" s="245"/>
      <c r="O151" s="245"/>
      <c r="P151" s="245"/>
      <c r="Q151" s="245"/>
      <c r="R151" s="245"/>
      <c r="S151" s="245"/>
      <c r="T151" s="245"/>
      <c r="U151" s="245"/>
      <c r="V151" s="245"/>
      <c r="W151" s="245"/>
      <c r="X151" s="245"/>
      <c r="Y151" s="245"/>
      <c r="Z151" s="245"/>
    </row>
    <row r="152" customFormat="false" ht="18.75" hidden="false" customHeight="false" outlineLevel="1" collapsed="false">
      <c r="A152" s="682"/>
      <c r="B152" s="70"/>
      <c r="C152" s="70"/>
      <c r="D152" s="70"/>
      <c r="E152" s="70"/>
      <c r="F152" s="245"/>
      <c r="G152" s="245"/>
      <c r="H152" s="245"/>
      <c r="I152" s="245"/>
      <c r="J152" s="245"/>
      <c r="K152" s="245"/>
      <c r="L152" s="245"/>
      <c r="M152" s="245"/>
      <c r="N152" s="245"/>
      <c r="O152" s="245"/>
      <c r="P152" s="245"/>
      <c r="Q152" s="245"/>
      <c r="R152" s="245"/>
      <c r="S152" s="245"/>
      <c r="T152" s="245"/>
      <c r="U152" s="245"/>
      <c r="V152" s="245"/>
      <c r="W152" s="245"/>
      <c r="X152" s="245"/>
      <c r="Y152" s="245"/>
      <c r="Z152" s="245"/>
    </row>
    <row r="153" customFormat="false" ht="12.75" hidden="false" customHeight="false" outlineLevel="1" collapsed="false">
      <c r="A153" s="395"/>
      <c r="B153" s="70"/>
      <c r="C153" s="70"/>
      <c r="D153" s="70"/>
      <c r="E153" s="70"/>
      <c r="F153" s="245"/>
      <c r="G153" s="245"/>
      <c r="H153" s="245"/>
      <c r="I153" s="245"/>
      <c r="J153" s="245"/>
      <c r="K153" s="245"/>
      <c r="L153" s="245"/>
      <c r="M153" s="245"/>
      <c r="N153" s="245"/>
      <c r="O153" s="245"/>
      <c r="P153" s="245"/>
      <c r="Q153" s="245"/>
      <c r="R153" s="245"/>
      <c r="S153" s="245"/>
      <c r="T153" s="245"/>
      <c r="U153" s="245"/>
      <c r="V153" s="245"/>
      <c r="W153" s="245"/>
      <c r="X153" s="245"/>
      <c r="Y153" s="245"/>
      <c r="Z153" s="245"/>
    </row>
    <row r="154" customFormat="false" ht="12.75" hidden="false" customHeight="false" outlineLevel="1" collapsed="false">
      <c r="A154" s="395"/>
      <c r="B154" s="70"/>
      <c r="C154" s="70"/>
      <c r="D154" s="70"/>
      <c r="E154" s="70"/>
      <c r="F154" s="245"/>
      <c r="G154" s="245"/>
      <c r="H154" s="245"/>
      <c r="I154" s="245"/>
      <c r="J154" s="245"/>
      <c r="K154" s="245"/>
      <c r="L154" s="245"/>
      <c r="M154" s="245"/>
      <c r="N154" s="245"/>
      <c r="O154" s="245"/>
      <c r="P154" s="245"/>
      <c r="Q154" s="245"/>
      <c r="R154" s="245"/>
      <c r="S154" s="245"/>
      <c r="T154" s="245"/>
      <c r="U154" s="245"/>
      <c r="V154" s="245"/>
      <c r="W154" s="245"/>
      <c r="X154" s="245"/>
      <c r="Y154" s="245"/>
      <c r="Z154" s="245"/>
    </row>
    <row r="155" customFormat="false" ht="12.75" hidden="false" customHeight="false" outlineLevel="1" collapsed="false">
      <c r="A155" s="70"/>
      <c r="B155" s="70"/>
      <c r="C155" s="70"/>
      <c r="D155" s="70"/>
      <c r="E155" s="70"/>
      <c r="F155" s="245"/>
      <c r="G155" s="245"/>
      <c r="H155" s="245"/>
      <c r="I155" s="245"/>
      <c r="J155" s="245"/>
      <c r="K155" s="245"/>
      <c r="L155" s="245"/>
      <c r="M155" s="245"/>
      <c r="N155" s="245"/>
      <c r="O155" s="245"/>
      <c r="P155" s="245"/>
      <c r="Q155" s="245"/>
      <c r="R155" s="245"/>
      <c r="S155" s="245"/>
      <c r="T155" s="245"/>
      <c r="U155" s="245"/>
      <c r="V155" s="245"/>
      <c r="W155" s="245"/>
      <c r="X155" s="245"/>
      <c r="Y155" s="245"/>
      <c r="Z155" s="245"/>
    </row>
    <row r="156" customFormat="false" ht="12.75" hidden="false" customHeight="false" outlineLevel="1" collapsed="false">
      <c r="A156" s="70"/>
      <c r="B156" s="70"/>
      <c r="C156" s="70"/>
      <c r="D156" s="70"/>
      <c r="E156" s="70"/>
      <c r="F156" s="245"/>
      <c r="G156" s="245"/>
      <c r="H156" s="245"/>
      <c r="I156" s="245"/>
      <c r="J156" s="245"/>
      <c r="K156" s="245"/>
      <c r="L156" s="245"/>
      <c r="M156" s="245"/>
      <c r="N156" s="245"/>
      <c r="O156" s="245"/>
      <c r="P156" s="245"/>
      <c r="Q156" s="245"/>
      <c r="R156" s="245"/>
      <c r="S156" s="245"/>
      <c r="T156" s="245"/>
      <c r="U156" s="245"/>
      <c r="V156" s="245"/>
      <c r="W156" s="245"/>
      <c r="X156" s="245"/>
      <c r="Y156" s="245"/>
      <c r="Z156" s="245"/>
    </row>
    <row r="157" customFormat="false" ht="12.75" hidden="false" customHeight="false" outlineLevel="1" collapsed="false">
      <c r="A157" s="322"/>
      <c r="B157" s="322"/>
      <c r="C157" s="322"/>
      <c r="D157" s="322"/>
      <c r="E157" s="321"/>
      <c r="F157" s="321"/>
      <c r="G157" s="321"/>
      <c r="H157" s="321"/>
      <c r="I157" s="321"/>
      <c r="J157" s="321"/>
      <c r="K157" s="321"/>
      <c r="L157" s="321"/>
      <c r="M157" s="321"/>
      <c r="N157" s="321"/>
      <c r="O157" s="321"/>
      <c r="P157" s="321"/>
      <c r="Q157" s="321"/>
      <c r="R157" s="321"/>
      <c r="S157" s="321"/>
      <c r="T157" s="321"/>
      <c r="U157" s="321"/>
      <c r="V157" s="321"/>
      <c r="W157" s="321"/>
      <c r="X157" s="321"/>
      <c r="Y157" s="321"/>
      <c r="Z157" s="321"/>
    </row>
    <row r="158" customFormat="false" ht="12.75" hidden="false" customHeight="false" outlineLevel="1" collapsed="false">
      <c r="A158" s="388"/>
      <c r="B158" s="70"/>
      <c r="C158" s="70"/>
      <c r="D158" s="70"/>
      <c r="E158" s="70"/>
      <c r="F158" s="245"/>
      <c r="G158" s="245"/>
      <c r="H158" s="245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</row>
    <row r="159" customFormat="false" ht="12.75" hidden="false" customHeight="false" outlineLevel="1" collapsed="false">
      <c r="A159" s="367"/>
      <c r="B159" s="70"/>
      <c r="C159" s="70"/>
      <c r="D159" s="70"/>
      <c r="E159" s="70"/>
      <c r="F159" s="245"/>
      <c r="G159" s="245"/>
      <c r="H159" s="245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</row>
    <row r="160" customFormat="false" ht="12.75" hidden="false" customHeight="false" outlineLevel="1" collapsed="false">
      <c r="A160" s="367"/>
      <c r="B160" s="70"/>
      <c r="C160" s="70"/>
      <c r="D160" s="70"/>
      <c r="E160" s="70"/>
      <c r="F160" s="245"/>
      <c r="G160" s="245"/>
      <c r="H160" s="245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</row>
    <row r="161" customFormat="false" ht="12.75" hidden="false" customHeight="false" outlineLevel="1" collapsed="false">
      <c r="A161" s="366"/>
      <c r="B161" s="70"/>
      <c r="C161" s="70"/>
      <c r="D161" s="70"/>
      <c r="E161" s="70"/>
      <c r="F161" s="245"/>
      <c r="G161" s="245"/>
      <c r="H161" s="245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</row>
    <row r="162" customFormat="false" ht="12.75" hidden="false" customHeight="false" outlineLevel="1" collapsed="false">
      <c r="A162" s="245"/>
      <c r="B162" s="70"/>
      <c r="C162" s="70"/>
      <c r="D162" s="70"/>
      <c r="E162" s="70"/>
      <c r="F162" s="245"/>
      <c r="G162" s="245"/>
      <c r="H162" s="245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</row>
    <row r="163" customFormat="false" ht="12.75" hidden="false" customHeight="false" outlineLevel="1" collapsed="false">
      <c r="A163" s="388"/>
      <c r="B163" s="70"/>
      <c r="C163" s="70"/>
      <c r="D163" s="70"/>
      <c r="E163" s="70"/>
      <c r="F163" s="245"/>
      <c r="G163" s="245"/>
      <c r="H163" s="245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</row>
    <row r="164" customFormat="false" ht="12.75" hidden="false" customHeight="false" outlineLevel="1" collapsed="false">
      <c r="A164" s="367"/>
      <c r="B164" s="70"/>
      <c r="C164" s="70"/>
      <c r="D164" s="70"/>
      <c r="E164" s="70"/>
      <c r="F164" s="245"/>
      <c r="G164" s="245"/>
      <c r="H164" s="245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</row>
    <row r="165" customFormat="false" ht="12.75" hidden="false" customHeight="false" outlineLevel="1" collapsed="false">
      <c r="A165" s="367"/>
      <c r="B165" s="70"/>
      <c r="C165" s="70"/>
      <c r="D165" s="70"/>
      <c r="E165" s="70"/>
      <c r="F165" s="245"/>
      <c r="G165" s="245"/>
      <c r="H165" s="245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</row>
    <row r="166" customFormat="false" ht="12.75" hidden="false" customHeight="false" outlineLevel="1" collapsed="false">
      <c r="A166" s="367"/>
      <c r="B166" s="70"/>
      <c r="C166" s="70"/>
      <c r="D166" s="70"/>
      <c r="E166" s="102"/>
      <c r="F166" s="245"/>
      <c r="G166" s="245"/>
      <c r="H166" s="245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</row>
    <row r="167" customFormat="false" ht="12.75" hidden="false" customHeight="false" outlineLevel="1" collapsed="false">
      <c r="A167" s="367"/>
      <c r="B167" s="70"/>
      <c r="C167" s="70"/>
      <c r="D167" s="70"/>
      <c r="E167" s="70"/>
      <c r="F167" s="245"/>
      <c r="G167" s="245"/>
      <c r="H167" s="245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</row>
    <row r="168" customFormat="false" ht="12.75" hidden="false" customHeight="false" outlineLevel="1" collapsed="false">
      <c r="A168" s="245"/>
      <c r="B168" s="70"/>
      <c r="C168" s="70"/>
      <c r="D168" s="70"/>
      <c r="E168" s="70"/>
      <c r="F168" s="245"/>
      <c r="G168" s="245"/>
      <c r="H168" s="245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</row>
    <row r="169" customFormat="false" ht="12.75" hidden="false" customHeight="false" outlineLevel="1" collapsed="false">
      <c r="A169" s="388"/>
      <c r="B169" s="70"/>
      <c r="C169" s="70"/>
      <c r="D169" s="70"/>
      <c r="E169" s="70"/>
      <c r="F169" s="245"/>
      <c r="G169" s="245"/>
      <c r="H169" s="245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</row>
    <row r="170" customFormat="false" ht="12.75" hidden="false" customHeight="false" outlineLevel="1" collapsed="false">
      <c r="A170" s="245"/>
      <c r="B170" s="70"/>
      <c r="C170" s="70"/>
      <c r="D170" s="70"/>
      <c r="E170" s="70"/>
      <c r="F170" s="245"/>
      <c r="G170" s="245"/>
      <c r="H170" s="245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</row>
    <row r="171" customFormat="false" ht="12.75" hidden="false" customHeight="false" outlineLevel="1" collapsed="false">
      <c r="A171" s="388"/>
      <c r="B171" s="70"/>
      <c r="C171" s="70"/>
      <c r="D171" s="70"/>
      <c r="E171" s="70"/>
      <c r="F171" s="245"/>
      <c r="G171" s="245"/>
      <c r="H171" s="245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</row>
    <row r="172" customFormat="false" ht="12.75" hidden="false" customHeight="false" outlineLevel="1" collapsed="false">
      <c r="A172" s="367"/>
      <c r="B172" s="70"/>
      <c r="C172" s="70"/>
      <c r="D172" s="70"/>
      <c r="E172" s="70"/>
      <c r="F172" s="245"/>
      <c r="G172" s="245"/>
      <c r="H172" s="245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</row>
    <row r="173" customFormat="false" ht="12.75" hidden="false" customHeight="false" outlineLevel="1" collapsed="false">
      <c r="A173" s="388"/>
      <c r="B173" s="70"/>
      <c r="C173" s="70"/>
      <c r="D173" s="70"/>
      <c r="E173" s="70"/>
      <c r="F173" s="245"/>
      <c r="G173" s="245"/>
      <c r="H173" s="245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</row>
    <row r="174" customFormat="false" ht="12.75" hidden="false" customHeight="false" outlineLevel="1" collapsed="false">
      <c r="A174" s="681"/>
      <c r="B174" s="70"/>
      <c r="C174" s="70"/>
      <c r="D174" s="70"/>
      <c r="E174" s="70"/>
      <c r="F174" s="245"/>
      <c r="G174" s="245"/>
      <c r="H174" s="245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</row>
    <row r="175" customFormat="false" ht="12.75" hidden="false" customHeight="false" outlineLevel="1" collapsed="false">
      <c r="A175" s="367"/>
      <c r="B175" s="70"/>
      <c r="C175" s="70"/>
      <c r="D175" s="70"/>
      <c r="E175" s="70"/>
      <c r="F175" s="245"/>
      <c r="G175" s="245"/>
      <c r="H175" s="245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</row>
    <row r="176" customFormat="false" ht="12.75" hidden="false" customHeight="false" outlineLevel="1" collapsed="false">
      <c r="A176" s="366"/>
      <c r="B176" s="70"/>
      <c r="C176" s="70"/>
      <c r="D176" s="70"/>
      <c r="E176" s="70"/>
      <c r="F176" s="245"/>
      <c r="G176" s="245"/>
      <c r="H176" s="245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</row>
    <row r="177" customFormat="false" ht="12.75" hidden="false" customHeight="false" outlineLevel="1" collapsed="false">
      <c r="A177" s="367"/>
      <c r="B177" s="70"/>
      <c r="C177" s="70"/>
      <c r="D177" s="70"/>
      <c r="E177" s="70"/>
      <c r="F177" s="245"/>
      <c r="G177" s="245"/>
      <c r="H177" s="245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</row>
    <row r="178" customFormat="false" ht="12.75" hidden="false" customHeight="false" outlineLevel="1" collapsed="false">
      <c r="A178" s="366"/>
      <c r="B178" s="70"/>
      <c r="C178" s="70"/>
      <c r="D178" s="70"/>
      <c r="E178" s="70"/>
      <c r="F178" s="245"/>
      <c r="G178" s="245"/>
      <c r="H178" s="245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</row>
    <row r="179" customFormat="false" ht="12.75" hidden="false" customHeight="false" outlineLevel="1" collapsed="false">
      <c r="A179" s="367"/>
      <c r="B179" s="70"/>
      <c r="C179" s="70"/>
      <c r="D179" s="70"/>
      <c r="E179" s="70"/>
      <c r="F179" s="245"/>
      <c r="G179" s="245"/>
      <c r="H179" s="245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</row>
    <row r="180" customFormat="false" ht="12.75" hidden="false" customHeight="false" outlineLevel="1" collapsed="false">
      <c r="A180" s="367"/>
      <c r="B180" s="70"/>
      <c r="C180" s="70"/>
      <c r="D180" s="70"/>
      <c r="E180" s="70"/>
      <c r="F180" s="245"/>
      <c r="G180" s="245"/>
      <c r="H180" s="245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</row>
    <row r="181" customFormat="false" ht="12.75" hidden="false" customHeight="false" outlineLevel="1" collapsed="false">
      <c r="A181" s="367"/>
      <c r="B181" s="70"/>
      <c r="C181" s="70"/>
      <c r="D181" s="70"/>
      <c r="E181" s="70"/>
      <c r="F181" s="245"/>
      <c r="G181" s="245"/>
      <c r="H181" s="245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</row>
    <row r="182" customFormat="false" ht="12.75" hidden="false" customHeight="false" outlineLevel="1" collapsed="false">
      <c r="A182" s="367"/>
      <c r="B182" s="70"/>
      <c r="C182" s="70"/>
      <c r="D182" s="70"/>
      <c r="E182" s="70"/>
      <c r="F182" s="245"/>
      <c r="G182" s="245"/>
      <c r="H182" s="245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</row>
    <row r="183" customFormat="false" ht="12.75" hidden="false" customHeight="false" outlineLevel="1" collapsed="false">
      <c r="A183" s="367"/>
      <c r="B183" s="70"/>
      <c r="C183" s="70"/>
      <c r="D183" s="70"/>
      <c r="E183" s="70"/>
      <c r="F183" s="245"/>
      <c r="G183" s="245"/>
      <c r="H183" s="245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</row>
    <row r="184" customFormat="false" ht="12.75" hidden="false" customHeight="false" outlineLevel="1" collapsed="false">
      <c r="A184" s="367"/>
      <c r="B184" s="70"/>
      <c r="C184" s="70"/>
      <c r="D184" s="70"/>
      <c r="E184" s="70"/>
      <c r="F184" s="245"/>
      <c r="G184" s="245"/>
      <c r="H184" s="245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</row>
    <row r="185" customFormat="false" ht="12.75" hidden="false" customHeight="false" outlineLevel="1" collapsed="false">
      <c r="A185" s="388"/>
      <c r="B185" s="70"/>
      <c r="C185" s="70"/>
      <c r="D185" s="70"/>
      <c r="E185" s="70"/>
      <c r="F185" s="245"/>
      <c r="G185" s="245"/>
      <c r="H185" s="245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</row>
    <row r="186" customFormat="false" ht="12.75" hidden="false" customHeight="false" outlineLevel="1" collapsed="false">
      <c r="A186" s="670"/>
      <c r="B186" s="70"/>
      <c r="C186" s="70"/>
      <c r="D186" s="70"/>
      <c r="E186" s="70"/>
      <c r="F186" s="245"/>
      <c r="G186" s="245"/>
      <c r="H186" s="245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</row>
    <row r="187" customFormat="false" ht="12.75" hidden="false" customHeight="false" outlineLevel="1" collapsed="false">
      <c r="A187" s="367"/>
      <c r="B187" s="70"/>
      <c r="C187" s="70"/>
      <c r="D187" s="70"/>
      <c r="E187" s="70"/>
      <c r="F187" s="245"/>
      <c r="G187" s="245"/>
      <c r="H187" s="245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</row>
    <row r="188" customFormat="false" ht="12.75" hidden="false" customHeight="false" outlineLevel="1" collapsed="false">
      <c r="A188" s="681"/>
      <c r="B188" s="70"/>
      <c r="C188" s="70"/>
      <c r="D188" s="70"/>
      <c r="E188" s="70"/>
      <c r="F188" s="245"/>
      <c r="G188" s="245"/>
      <c r="H188" s="245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</row>
    <row r="189" customFormat="false" ht="12.75" hidden="false" customHeight="false" outlineLevel="1" collapsed="false">
      <c r="A189" s="681"/>
      <c r="B189" s="70"/>
      <c r="C189" s="70"/>
      <c r="D189" s="70"/>
      <c r="E189" s="70"/>
      <c r="F189" s="245"/>
      <c r="G189" s="245"/>
      <c r="H189" s="245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</row>
    <row r="190" customFormat="false" ht="12.75" hidden="false" customHeight="false" outlineLevel="1" collapsed="false">
      <c r="A190" s="367"/>
      <c r="B190" s="70"/>
      <c r="C190" s="70"/>
      <c r="D190" s="70"/>
      <c r="E190" s="70"/>
      <c r="F190" s="245"/>
      <c r="G190" s="245"/>
      <c r="H190" s="245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</row>
    <row r="191" customFormat="false" ht="12.75" hidden="false" customHeight="false" outlineLevel="1" collapsed="false">
      <c r="A191" s="367"/>
      <c r="B191" s="70"/>
      <c r="C191" s="70"/>
      <c r="D191" s="70"/>
      <c r="E191" s="70"/>
      <c r="F191" s="245"/>
      <c r="G191" s="245"/>
      <c r="H191" s="245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</row>
    <row r="192" customFormat="false" ht="12.75" hidden="false" customHeight="false" outlineLevel="1" collapsed="false">
      <c r="A192" s="366"/>
      <c r="B192" s="70"/>
      <c r="C192" s="70"/>
      <c r="D192" s="70"/>
      <c r="E192" s="70"/>
      <c r="F192" s="245"/>
      <c r="G192" s="245"/>
      <c r="H192" s="245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</row>
    <row r="193" customFormat="false" ht="12.75" hidden="false" customHeight="false" outlineLevel="1" collapsed="false">
      <c r="A193" s="388"/>
      <c r="B193" s="70"/>
      <c r="C193" s="70"/>
      <c r="D193" s="70"/>
      <c r="E193" s="70"/>
      <c r="F193" s="245"/>
      <c r="G193" s="245"/>
      <c r="H193" s="245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</row>
    <row r="194" customFormat="false" ht="12.75" hidden="false" customHeight="false" outlineLevel="1" collapsed="false">
      <c r="A194" s="388"/>
      <c r="B194" s="70"/>
      <c r="C194" s="70"/>
      <c r="D194" s="70"/>
      <c r="E194" s="70"/>
      <c r="F194" s="245"/>
      <c r="G194" s="245"/>
      <c r="H194" s="245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</row>
    <row r="195" customFormat="false" ht="12.75" hidden="false" customHeight="false" outlineLevel="1" collapsed="false">
      <c r="A195" s="388"/>
      <c r="B195" s="70"/>
      <c r="C195" s="70"/>
      <c r="D195" s="70"/>
      <c r="E195" s="70"/>
      <c r="F195" s="245"/>
      <c r="G195" s="245"/>
      <c r="H195" s="245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</row>
    <row r="196" customFormat="false" ht="12.75" hidden="false" customHeight="false" outlineLevel="1" collapsed="false">
      <c r="A196" s="388"/>
      <c r="B196" s="70"/>
      <c r="C196" s="70"/>
      <c r="D196" s="70"/>
      <c r="E196" s="70"/>
      <c r="F196" s="245"/>
      <c r="G196" s="245"/>
      <c r="H196" s="245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</row>
    <row r="197" customFormat="false" ht="12.75" hidden="false" customHeight="false" outlineLevel="1" collapsed="false">
      <c r="A197" s="388"/>
      <c r="B197" s="70"/>
      <c r="C197" s="70"/>
      <c r="D197" s="70"/>
      <c r="E197" s="70"/>
      <c r="F197" s="245"/>
      <c r="G197" s="245"/>
      <c r="H197" s="245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</row>
    <row r="198" customFormat="false" ht="12.75" hidden="false" customHeight="false" outlineLevel="1" collapsed="false">
      <c r="A198" s="388"/>
      <c r="B198" s="70"/>
      <c r="C198" s="70"/>
      <c r="D198" s="70"/>
      <c r="E198" s="70"/>
      <c r="F198" s="245"/>
      <c r="G198" s="245"/>
      <c r="H198" s="245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</row>
    <row r="199" customFormat="false" ht="12.75" hidden="false" customHeight="false" outlineLevel="1" collapsed="false">
      <c r="A199" s="388"/>
      <c r="B199" s="70"/>
      <c r="C199" s="70"/>
      <c r="D199" s="70"/>
      <c r="E199" s="70"/>
      <c r="F199" s="245"/>
      <c r="G199" s="245"/>
      <c r="H199" s="245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</row>
    <row r="200" customFormat="false" ht="12.75" hidden="false" customHeight="false" outlineLevel="1" collapsed="false">
      <c r="A200" s="70"/>
      <c r="B200" s="70"/>
      <c r="C200" s="70"/>
      <c r="D200" s="70"/>
      <c r="E200" s="70"/>
      <c r="F200" s="245"/>
      <c r="G200" s="245"/>
      <c r="H200" s="245"/>
      <c r="I200" s="245"/>
      <c r="J200" s="245"/>
      <c r="K200" s="245"/>
      <c r="L200" s="245"/>
      <c r="M200" s="245"/>
      <c r="N200" s="245"/>
      <c r="O200" s="245"/>
      <c r="P200" s="245"/>
      <c r="Q200" s="245"/>
      <c r="R200" s="245"/>
      <c r="S200" s="245"/>
      <c r="T200" s="245"/>
      <c r="U200" s="245"/>
      <c r="V200" s="245"/>
      <c r="W200" s="245"/>
      <c r="X200" s="245"/>
      <c r="Y200" s="245"/>
      <c r="Z200" s="245"/>
    </row>
    <row r="201" customFormat="false" ht="12.75" hidden="false" customHeight="false" outlineLevel="1" collapsed="false">
      <c r="A201" s="70"/>
      <c r="B201" s="70"/>
      <c r="C201" s="70"/>
      <c r="D201" s="70"/>
      <c r="E201" s="70"/>
      <c r="F201" s="245"/>
      <c r="G201" s="245"/>
      <c r="H201" s="245"/>
      <c r="I201" s="245"/>
      <c r="J201" s="245"/>
      <c r="K201" s="245"/>
      <c r="L201" s="245"/>
      <c r="M201" s="245"/>
      <c r="N201" s="245"/>
      <c r="O201" s="245"/>
      <c r="P201" s="245"/>
      <c r="Q201" s="245"/>
      <c r="R201" s="245"/>
      <c r="S201" s="245"/>
      <c r="T201" s="245"/>
      <c r="U201" s="245"/>
      <c r="V201" s="245"/>
      <c r="W201" s="245"/>
      <c r="X201" s="245"/>
      <c r="Y201" s="245"/>
      <c r="Z201" s="245"/>
    </row>
    <row r="202" customFormat="false" ht="12.75" hidden="false" customHeight="false" outlineLevel="1" collapsed="false">
      <c r="A202" s="70"/>
      <c r="B202" s="70"/>
      <c r="C202" s="70"/>
      <c r="D202" s="70"/>
      <c r="E202" s="70"/>
      <c r="F202" s="70"/>
      <c r="G202" s="70"/>
      <c r="H202" s="70"/>
      <c r="I202" s="245"/>
      <c r="J202" s="245"/>
      <c r="K202" s="245"/>
      <c r="L202" s="245"/>
      <c r="M202" s="245"/>
      <c r="N202" s="245"/>
      <c r="O202" s="245"/>
      <c r="P202" s="245"/>
      <c r="Q202" s="245"/>
      <c r="R202" s="245"/>
      <c r="S202" s="245"/>
      <c r="T202" s="245"/>
      <c r="U202" s="245"/>
      <c r="V202" s="245"/>
      <c r="W202" s="245"/>
      <c r="X202" s="245"/>
      <c r="Y202" s="245"/>
      <c r="Z202" s="245"/>
    </row>
    <row r="203" customFormat="false" ht="18.75" hidden="false" customHeight="false" outlineLevel="1" collapsed="false">
      <c r="A203" s="683"/>
      <c r="B203" s="683"/>
      <c r="C203" s="683"/>
      <c r="D203" s="683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</row>
    <row r="204" customFormat="false" ht="12.75" hidden="false" customHeight="false" outlineLevel="1" collapsed="false">
      <c r="A204" s="395"/>
      <c r="B204" s="395"/>
      <c r="C204" s="395"/>
      <c r="D204" s="395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</row>
    <row r="205" customFormat="false" ht="12.75" hidden="false" customHeight="false" outlineLevel="1" collapsed="false">
      <c r="A205" s="395"/>
      <c r="B205" s="684"/>
      <c r="C205" s="684"/>
      <c r="D205" s="684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</row>
    <row r="206" customFormat="false" ht="12.75" hidden="false" customHeight="false" outlineLevel="1" collapsed="false">
      <c r="A206" s="70"/>
      <c r="B206" s="70"/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</row>
    <row r="207" customFormat="false" ht="12.75" hidden="false" customHeight="false" outlineLevel="1" collapsed="false">
      <c r="A207" s="322"/>
      <c r="B207" s="321"/>
      <c r="C207" s="321"/>
      <c r="D207" s="321"/>
      <c r="E207" s="321"/>
      <c r="F207" s="321"/>
      <c r="G207" s="321"/>
      <c r="H207" s="321"/>
      <c r="I207" s="321"/>
      <c r="J207" s="321"/>
      <c r="K207" s="321"/>
      <c r="L207" s="321"/>
      <c r="M207" s="321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</row>
    <row r="208" customFormat="false" ht="12.75" hidden="false" customHeight="false" outlineLevel="1" collapsed="false">
      <c r="A208" s="395"/>
      <c r="B208" s="395"/>
      <c r="C208" s="395"/>
      <c r="D208" s="395"/>
      <c r="E208" s="395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</row>
    <row r="209" customFormat="false" ht="12.75" hidden="false" customHeight="false" outlineLevel="1" collapsed="false">
      <c r="A209" s="685"/>
      <c r="B209" s="395"/>
      <c r="C209" s="395"/>
      <c r="D209" s="395"/>
      <c r="E209" s="395"/>
      <c r="F209" s="686"/>
      <c r="G209" s="686"/>
      <c r="H209" s="686"/>
      <c r="I209" s="686"/>
      <c r="J209" s="686"/>
      <c r="K209" s="686"/>
      <c r="L209" s="686"/>
      <c r="M209" s="686"/>
      <c r="N209" s="70"/>
      <c r="O209" s="686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</row>
    <row r="210" customFormat="false" ht="12.75" hidden="false" customHeight="false" outlineLevel="1" collapsed="false">
      <c r="A210" s="685"/>
      <c r="B210" s="395"/>
      <c r="C210" s="395"/>
      <c r="D210" s="395"/>
      <c r="E210" s="395"/>
      <c r="F210" s="686"/>
      <c r="G210" s="686"/>
      <c r="H210" s="686"/>
      <c r="I210" s="686"/>
      <c r="J210" s="686"/>
      <c r="K210" s="686"/>
      <c r="L210" s="686"/>
      <c r="M210" s="686"/>
      <c r="N210" s="70"/>
      <c r="O210" s="686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</row>
    <row r="211" customFormat="false" ht="12.75" hidden="false" customHeight="false" outlineLevel="1" collapsed="false">
      <c r="A211" s="685"/>
      <c r="B211" s="685"/>
      <c r="C211" s="685"/>
      <c r="D211" s="685"/>
      <c r="E211" s="685"/>
      <c r="F211" s="686"/>
      <c r="G211" s="686"/>
      <c r="H211" s="686"/>
      <c r="I211" s="686"/>
      <c r="J211" s="686"/>
      <c r="K211" s="686"/>
      <c r="L211" s="686"/>
      <c r="M211" s="686"/>
      <c r="N211" s="70"/>
      <c r="O211" s="686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</row>
    <row r="212" customFormat="false" ht="12.75" hidden="false" customHeight="false" outlineLevel="1" collapsed="false">
      <c r="A212" s="685"/>
      <c r="B212" s="685"/>
      <c r="C212" s="685"/>
      <c r="D212" s="685"/>
      <c r="E212" s="685"/>
      <c r="F212" s="686"/>
      <c r="G212" s="686"/>
      <c r="H212" s="686"/>
      <c r="I212" s="686"/>
      <c r="J212" s="686"/>
      <c r="K212" s="686"/>
      <c r="L212" s="686"/>
      <c r="M212" s="686"/>
      <c r="N212" s="70"/>
      <c r="O212" s="686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</row>
    <row r="213" customFormat="false" ht="12.75" hidden="false" customHeight="false" outlineLevel="1" collapsed="false">
      <c r="A213" s="685"/>
      <c r="B213" s="322"/>
      <c r="C213" s="322"/>
      <c r="D213" s="322"/>
      <c r="E213" s="322"/>
      <c r="F213" s="686"/>
      <c r="G213" s="686"/>
      <c r="H213" s="686"/>
      <c r="I213" s="686"/>
      <c r="J213" s="686"/>
      <c r="K213" s="686"/>
      <c r="L213" s="686"/>
      <c r="M213" s="686"/>
      <c r="N213" s="70"/>
      <c r="O213" s="686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</row>
    <row r="214" customFormat="false" ht="12.75" hidden="false" customHeight="false" outlineLevel="1" collapsed="false">
      <c r="A214" s="70"/>
      <c r="B214" s="70"/>
      <c r="C214" s="70"/>
      <c r="D214" s="70"/>
      <c r="E214" s="70"/>
      <c r="F214" s="686"/>
      <c r="G214" s="686"/>
      <c r="H214" s="686"/>
      <c r="I214" s="686"/>
      <c r="J214" s="686"/>
      <c r="K214" s="686"/>
      <c r="L214" s="686"/>
      <c r="M214" s="686"/>
      <c r="N214" s="70"/>
      <c r="O214" s="686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</row>
    <row r="215" customFormat="false" ht="12.75" hidden="false" customHeight="false" outlineLevel="1" collapsed="false">
      <c r="A215" s="395"/>
      <c r="B215" s="395"/>
      <c r="C215" s="395"/>
      <c r="D215" s="395"/>
      <c r="E215" s="395"/>
      <c r="F215" s="686"/>
      <c r="G215" s="686"/>
      <c r="H215" s="686"/>
      <c r="I215" s="686"/>
      <c r="J215" s="686"/>
      <c r="K215" s="686"/>
      <c r="L215" s="686"/>
      <c r="M215" s="686"/>
      <c r="N215" s="70"/>
      <c r="O215" s="686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</row>
    <row r="216" customFormat="false" ht="12.75" hidden="false" customHeight="false" outlineLevel="1" collapsed="false">
      <c r="A216" s="685"/>
      <c r="B216" s="395"/>
      <c r="C216" s="395"/>
      <c r="D216" s="395"/>
      <c r="E216" s="395"/>
      <c r="F216" s="686"/>
      <c r="G216" s="686"/>
      <c r="H216" s="686"/>
      <c r="I216" s="686"/>
      <c r="J216" s="686"/>
      <c r="K216" s="686"/>
      <c r="L216" s="686"/>
      <c r="M216" s="686"/>
      <c r="N216" s="70"/>
      <c r="O216" s="686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</row>
    <row r="217" customFormat="false" ht="12.75" hidden="false" customHeight="false" outlineLevel="1" collapsed="false">
      <c r="A217" s="685"/>
      <c r="B217" s="395"/>
      <c r="C217" s="395"/>
      <c r="D217" s="395"/>
      <c r="E217" s="395"/>
      <c r="F217" s="686"/>
      <c r="G217" s="686"/>
      <c r="H217" s="686"/>
      <c r="I217" s="686"/>
      <c r="J217" s="686"/>
      <c r="K217" s="686"/>
      <c r="L217" s="686"/>
      <c r="M217" s="686"/>
      <c r="N217" s="70"/>
      <c r="O217" s="686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</row>
    <row r="218" customFormat="false" ht="12.75" hidden="false" customHeight="false" outlineLevel="1" collapsed="false">
      <c r="A218" s="685"/>
      <c r="B218" s="395"/>
      <c r="C218" s="395"/>
      <c r="D218" s="395"/>
      <c r="E218" s="395"/>
      <c r="F218" s="686"/>
      <c r="G218" s="686"/>
      <c r="H218" s="686"/>
      <c r="I218" s="686"/>
      <c r="J218" s="686"/>
      <c r="K218" s="686"/>
      <c r="L218" s="686"/>
      <c r="M218" s="686"/>
      <c r="N218" s="70"/>
      <c r="O218" s="686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</row>
    <row r="219" customFormat="false" ht="12.75" hidden="false" customHeight="false" outlineLevel="1" collapsed="false">
      <c r="A219" s="685"/>
      <c r="B219" s="395"/>
      <c r="C219" s="395"/>
      <c r="D219" s="395"/>
      <c r="E219" s="395"/>
      <c r="F219" s="686"/>
      <c r="G219" s="686"/>
      <c r="H219" s="686"/>
      <c r="I219" s="686"/>
      <c r="J219" s="686"/>
      <c r="K219" s="686"/>
      <c r="L219" s="686"/>
      <c r="M219" s="686"/>
      <c r="N219" s="70"/>
      <c r="O219" s="686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</row>
    <row r="220" customFormat="false" ht="12.75" hidden="false" customHeight="false" outlineLevel="1" collapsed="false">
      <c r="A220" s="685"/>
      <c r="B220" s="395"/>
      <c r="C220" s="395"/>
      <c r="D220" s="395"/>
      <c r="E220" s="395"/>
      <c r="F220" s="686"/>
      <c r="G220" s="686"/>
      <c r="H220" s="686"/>
      <c r="I220" s="686"/>
      <c r="J220" s="686"/>
      <c r="K220" s="686"/>
      <c r="L220" s="686"/>
      <c r="M220" s="686"/>
      <c r="N220" s="70"/>
      <c r="O220" s="686"/>
      <c r="P220" s="70"/>
      <c r="Q220" s="70"/>
      <c r="R220" s="70"/>
      <c r="S220" s="70"/>
      <c r="T220" s="70"/>
      <c r="U220" s="70"/>
      <c r="V220" s="70"/>
      <c r="W220" s="70"/>
      <c r="X220" s="70"/>
      <c r="Y220" s="70"/>
      <c r="Z220" s="70"/>
    </row>
    <row r="221" customFormat="false" ht="12.75" hidden="false" customHeight="false" outlineLevel="1" collapsed="false">
      <c r="A221" s="685"/>
      <c r="B221" s="395"/>
      <c r="C221" s="395"/>
      <c r="D221" s="395"/>
      <c r="E221" s="395"/>
      <c r="F221" s="686"/>
      <c r="G221" s="686"/>
      <c r="H221" s="686"/>
      <c r="I221" s="686"/>
      <c r="J221" s="686"/>
      <c r="K221" s="686"/>
      <c r="L221" s="686"/>
      <c r="M221" s="686"/>
      <c r="N221" s="70"/>
      <c r="O221" s="686"/>
      <c r="P221" s="70"/>
      <c r="Q221" s="70"/>
      <c r="R221" s="70"/>
      <c r="S221" s="70"/>
      <c r="T221" s="70"/>
      <c r="U221" s="70"/>
      <c r="V221" s="70"/>
      <c r="W221" s="70"/>
      <c r="X221" s="70"/>
      <c r="Y221" s="70"/>
      <c r="Z221" s="70"/>
    </row>
    <row r="222" customFormat="false" ht="12.75" hidden="false" customHeight="false" outlineLevel="1" collapsed="false">
      <c r="A222" s="685"/>
      <c r="B222" s="395"/>
      <c r="C222" s="395"/>
      <c r="D222" s="395"/>
      <c r="E222" s="395"/>
      <c r="F222" s="686"/>
      <c r="G222" s="686"/>
      <c r="H222" s="686"/>
      <c r="I222" s="686"/>
      <c r="J222" s="686"/>
      <c r="K222" s="686"/>
      <c r="L222" s="686"/>
      <c r="M222" s="686"/>
      <c r="N222" s="70"/>
      <c r="O222" s="686"/>
      <c r="P222" s="70"/>
      <c r="Q222" s="70"/>
      <c r="R222" s="70"/>
      <c r="S222" s="70"/>
      <c r="T222" s="70"/>
      <c r="U222" s="70"/>
      <c r="V222" s="70"/>
      <c r="W222" s="70"/>
      <c r="X222" s="70"/>
      <c r="Y222" s="70"/>
      <c r="Z222" s="70"/>
    </row>
    <row r="223" customFormat="false" ht="12.75" hidden="false" customHeight="false" outlineLevel="1" collapsed="false">
      <c r="A223" s="685"/>
      <c r="B223" s="395"/>
      <c r="C223" s="395"/>
      <c r="D223" s="395"/>
      <c r="E223" s="395"/>
      <c r="F223" s="686"/>
      <c r="G223" s="686"/>
      <c r="H223" s="686"/>
      <c r="I223" s="686"/>
      <c r="J223" s="686"/>
      <c r="K223" s="686"/>
      <c r="L223" s="686"/>
      <c r="M223" s="686"/>
      <c r="N223" s="70"/>
      <c r="O223" s="686"/>
      <c r="P223" s="70"/>
      <c r="Q223" s="70"/>
      <c r="R223" s="70"/>
      <c r="S223" s="70"/>
      <c r="T223" s="70"/>
      <c r="U223" s="70"/>
      <c r="V223" s="70"/>
      <c r="W223" s="70"/>
      <c r="X223" s="70"/>
      <c r="Y223" s="70"/>
      <c r="Z223" s="70"/>
    </row>
    <row r="224" customFormat="false" ht="12.75" hidden="false" customHeight="false" outlineLevel="1" collapsed="false">
      <c r="A224" s="685"/>
      <c r="B224" s="395"/>
      <c r="C224" s="395"/>
      <c r="D224" s="395"/>
      <c r="E224" s="395"/>
      <c r="F224" s="686"/>
      <c r="G224" s="686"/>
      <c r="H224" s="686"/>
      <c r="I224" s="686"/>
      <c r="J224" s="686"/>
      <c r="K224" s="686"/>
      <c r="L224" s="686"/>
      <c r="M224" s="686"/>
      <c r="N224" s="70"/>
      <c r="O224" s="686"/>
      <c r="P224" s="70"/>
      <c r="Q224" s="70"/>
      <c r="R224" s="70"/>
      <c r="S224" s="70"/>
      <c r="T224" s="70"/>
      <c r="U224" s="70"/>
      <c r="V224" s="70"/>
      <c r="W224" s="70"/>
      <c r="X224" s="70"/>
      <c r="Y224" s="70"/>
      <c r="Z224" s="70"/>
    </row>
    <row r="225" customFormat="false" ht="12.75" hidden="false" customHeight="false" outlineLevel="1" collapsed="false">
      <c r="A225" s="685"/>
      <c r="B225" s="685"/>
      <c r="C225" s="685"/>
      <c r="D225" s="685"/>
      <c r="E225" s="685"/>
      <c r="F225" s="686"/>
      <c r="G225" s="686"/>
      <c r="H225" s="686"/>
      <c r="I225" s="686"/>
      <c r="J225" s="686"/>
      <c r="K225" s="686"/>
      <c r="L225" s="686"/>
      <c r="M225" s="686"/>
      <c r="N225" s="70"/>
      <c r="O225" s="686"/>
      <c r="P225" s="70"/>
      <c r="Q225" s="70"/>
      <c r="R225" s="70"/>
      <c r="S225" s="70"/>
      <c r="T225" s="70"/>
      <c r="U225" s="70"/>
      <c r="V225" s="70"/>
      <c r="W225" s="70"/>
      <c r="X225" s="70"/>
      <c r="Y225" s="70"/>
      <c r="Z225" s="70"/>
    </row>
    <row r="226" customFormat="false" ht="12.75" hidden="false" customHeight="false" outlineLevel="1" collapsed="false">
      <c r="A226" s="685"/>
      <c r="B226" s="685"/>
      <c r="C226" s="685"/>
      <c r="D226" s="685"/>
      <c r="E226" s="685"/>
      <c r="F226" s="686"/>
      <c r="G226" s="686"/>
      <c r="H226" s="686"/>
      <c r="I226" s="686"/>
      <c r="J226" s="686"/>
      <c r="K226" s="686"/>
      <c r="L226" s="686"/>
      <c r="M226" s="686"/>
      <c r="N226" s="70"/>
      <c r="O226" s="686"/>
      <c r="P226" s="70"/>
      <c r="Q226" s="70"/>
      <c r="R226" s="70"/>
      <c r="S226" s="70"/>
      <c r="T226" s="70"/>
      <c r="U226" s="70"/>
      <c r="V226" s="70"/>
      <c r="W226" s="70"/>
      <c r="X226" s="70"/>
      <c r="Y226" s="70"/>
      <c r="Z226" s="70"/>
    </row>
    <row r="227" customFormat="false" ht="12.75" hidden="false" customHeight="false" outlineLevel="1" collapsed="false">
      <c r="A227" s="395"/>
      <c r="B227" s="395"/>
      <c r="C227" s="395"/>
      <c r="D227" s="395"/>
      <c r="E227" s="395"/>
      <c r="F227" s="686"/>
      <c r="G227" s="686"/>
      <c r="H227" s="686"/>
      <c r="I227" s="686"/>
      <c r="J227" s="686"/>
      <c r="K227" s="686"/>
      <c r="L227" s="686"/>
      <c r="M227" s="686"/>
      <c r="N227" s="70"/>
      <c r="O227" s="686"/>
      <c r="P227" s="70"/>
      <c r="Q227" s="70"/>
      <c r="R227" s="70"/>
      <c r="S227" s="70"/>
      <c r="T227" s="70"/>
      <c r="U227" s="70"/>
      <c r="V227" s="70"/>
      <c r="W227" s="70"/>
      <c r="X227" s="70"/>
      <c r="Y227" s="70"/>
      <c r="Z227" s="70"/>
    </row>
    <row r="228" customFormat="false" ht="12.75" hidden="false" customHeight="false" outlineLevel="1" collapsed="false">
      <c r="A228" s="685"/>
      <c r="B228" s="685"/>
      <c r="C228" s="685"/>
      <c r="D228" s="685"/>
      <c r="E228" s="685"/>
      <c r="F228" s="686"/>
      <c r="G228" s="686"/>
      <c r="H228" s="686"/>
      <c r="I228" s="686"/>
      <c r="J228" s="686"/>
      <c r="K228" s="686"/>
      <c r="L228" s="686"/>
      <c r="M228" s="686"/>
      <c r="N228" s="70"/>
      <c r="O228" s="686"/>
      <c r="P228" s="70"/>
      <c r="Q228" s="70"/>
      <c r="R228" s="70"/>
      <c r="S228" s="70"/>
      <c r="T228" s="70"/>
      <c r="U228" s="70"/>
      <c r="V228" s="70"/>
      <c r="W228" s="70"/>
      <c r="X228" s="70"/>
      <c r="Y228" s="70"/>
      <c r="Z228" s="70"/>
    </row>
    <row r="229" customFormat="false" ht="12.75" hidden="false" customHeight="false" outlineLevel="1" collapsed="false">
      <c r="A229" s="685"/>
      <c r="B229" s="685"/>
      <c r="C229" s="685"/>
      <c r="D229" s="685"/>
      <c r="E229" s="685"/>
      <c r="F229" s="686"/>
      <c r="G229" s="686"/>
      <c r="H229" s="686"/>
      <c r="I229" s="686"/>
      <c r="J229" s="686"/>
      <c r="K229" s="686"/>
      <c r="L229" s="686"/>
      <c r="M229" s="686"/>
      <c r="N229" s="70"/>
      <c r="O229" s="686"/>
      <c r="P229" s="70"/>
      <c r="Q229" s="70"/>
      <c r="R229" s="70"/>
      <c r="S229" s="70"/>
      <c r="T229" s="70"/>
      <c r="U229" s="70"/>
      <c r="V229" s="70"/>
      <c r="W229" s="70"/>
      <c r="X229" s="70"/>
      <c r="Y229" s="70"/>
      <c r="Z229" s="70"/>
    </row>
    <row r="230" customFormat="false" ht="12.75" hidden="false" customHeight="false" outlineLevel="1" collapsed="false">
      <c r="A230" s="395"/>
      <c r="B230" s="395"/>
      <c r="C230" s="395"/>
      <c r="D230" s="395"/>
      <c r="E230" s="395"/>
      <c r="F230" s="686"/>
      <c r="G230" s="686"/>
      <c r="H230" s="686"/>
      <c r="I230" s="686"/>
      <c r="J230" s="686"/>
      <c r="K230" s="686"/>
      <c r="L230" s="686"/>
      <c r="M230" s="686"/>
      <c r="N230" s="70"/>
      <c r="O230" s="686"/>
      <c r="P230" s="70"/>
      <c r="Q230" s="70"/>
      <c r="R230" s="70"/>
      <c r="S230" s="70"/>
      <c r="T230" s="70"/>
      <c r="U230" s="70"/>
      <c r="V230" s="70"/>
      <c r="W230" s="70"/>
      <c r="X230" s="70"/>
      <c r="Y230" s="70"/>
      <c r="Z230" s="70"/>
    </row>
    <row r="231" customFormat="false" ht="12.75" hidden="false" customHeight="false" outlineLevel="1" collapsed="false">
      <c r="A231" s="395"/>
      <c r="B231" s="395"/>
      <c r="C231" s="395"/>
      <c r="D231" s="395"/>
      <c r="E231" s="395"/>
      <c r="F231" s="686"/>
      <c r="G231" s="686"/>
      <c r="H231" s="686"/>
      <c r="I231" s="686"/>
      <c r="J231" s="686"/>
      <c r="K231" s="686"/>
      <c r="L231" s="686"/>
      <c r="M231" s="686"/>
      <c r="N231" s="70"/>
      <c r="O231" s="686"/>
      <c r="P231" s="70"/>
      <c r="Q231" s="70"/>
      <c r="R231" s="70"/>
      <c r="S231" s="70"/>
      <c r="T231" s="70"/>
      <c r="U231" s="70"/>
      <c r="V231" s="70"/>
      <c r="W231" s="70"/>
      <c r="X231" s="70"/>
      <c r="Y231" s="70"/>
      <c r="Z231" s="70"/>
    </row>
    <row r="232" customFormat="false" ht="12.75" hidden="false" customHeight="false" outlineLevel="1" collapsed="false">
      <c r="A232" s="70"/>
      <c r="B232" s="395"/>
      <c r="C232" s="395"/>
      <c r="D232" s="395"/>
      <c r="E232" s="395"/>
      <c r="F232" s="686"/>
      <c r="G232" s="686"/>
      <c r="H232" s="686"/>
      <c r="I232" s="686"/>
      <c r="J232" s="686"/>
      <c r="K232" s="686"/>
      <c r="L232" s="686"/>
      <c r="M232" s="686"/>
      <c r="N232" s="70"/>
      <c r="O232" s="686"/>
      <c r="P232" s="70"/>
      <c r="Q232" s="70"/>
      <c r="R232" s="70"/>
      <c r="S232" s="70"/>
      <c r="T232" s="70"/>
      <c r="U232" s="70"/>
      <c r="V232" s="70"/>
      <c r="W232" s="70"/>
      <c r="X232" s="70"/>
      <c r="Y232" s="70"/>
      <c r="Z232" s="70"/>
    </row>
    <row r="233" customFormat="false" ht="12.75" hidden="false" customHeight="false" outlineLevel="1" collapsed="false">
      <c r="A233" s="70"/>
      <c r="B233" s="687"/>
      <c r="C233" s="687"/>
      <c r="D233" s="687"/>
      <c r="E233" s="687"/>
      <c r="F233" s="686"/>
      <c r="G233" s="686"/>
      <c r="H233" s="686"/>
      <c r="I233" s="686"/>
      <c r="J233" s="686"/>
      <c r="K233" s="686"/>
      <c r="L233" s="686"/>
      <c r="M233" s="686"/>
      <c r="N233" s="70"/>
      <c r="O233" s="686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</row>
    <row r="234" customFormat="false" ht="12.75" hidden="false" customHeight="false" outlineLevel="1" collapsed="false">
      <c r="A234" s="395"/>
      <c r="B234" s="687"/>
      <c r="C234" s="687"/>
      <c r="D234" s="687"/>
      <c r="E234" s="687"/>
      <c r="F234" s="686"/>
      <c r="G234" s="686"/>
      <c r="H234" s="686"/>
      <c r="I234" s="686"/>
      <c r="J234" s="686"/>
      <c r="K234" s="686"/>
      <c r="L234" s="686"/>
      <c r="M234" s="686"/>
      <c r="N234" s="70"/>
      <c r="O234" s="686"/>
      <c r="P234" s="70"/>
      <c r="Q234" s="70"/>
      <c r="R234" s="70"/>
      <c r="S234" s="70"/>
      <c r="T234" s="70"/>
      <c r="U234" s="70"/>
      <c r="V234" s="70"/>
      <c r="W234" s="70"/>
      <c r="X234" s="70"/>
      <c r="Y234" s="70"/>
      <c r="Z234" s="70"/>
    </row>
    <row r="235" customFormat="false" ht="12.75" hidden="false" customHeight="false" outlineLevel="1" collapsed="false">
      <c r="A235" s="685"/>
      <c r="B235" s="687"/>
      <c r="C235" s="687"/>
      <c r="D235" s="687"/>
      <c r="E235" s="687"/>
      <c r="F235" s="686"/>
      <c r="G235" s="686"/>
      <c r="H235" s="686"/>
      <c r="I235" s="686"/>
      <c r="J235" s="686"/>
      <c r="K235" s="686"/>
      <c r="L235" s="686"/>
      <c r="M235" s="686"/>
      <c r="N235" s="70"/>
      <c r="O235" s="686"/>
      <c r="P235" s="70"/>
      <c r="Q235" s="70"/>
      <c r="R235" s="70"/>
      <c r="S235" s="70"/>
      <c r="T235" s="70"/>
      <c r="U235" s="70"/>
      <c r="V235" s="70"/>
      <c r="W235" s="70"/>
      <c r="X235" s="70"/>
      <c r="Y235" s="70"/>
      <c r="Z235" s="70"/>
    </row>
    <row r="236" customFormat="false" ht="12.75" hidden="false" customHeight="false" outlineLevel="1" collapsed="false">
      <c r="A236" s="395"/>
      <c r="B236" s="395"/>
      <c r="C236" s="395"/>
      <c r="D236" s="395"/>
      <c r="E236" s="395"/>
      <c r="F236" s="686"/>
      <c r="G236" s="686"/>
      <c r="H236" s="686"/>
      <c r="I236" s="686"/>
      <c r="J236" s="686"/>
      <c r="K236" s="686"/>
      <c r="L236" s="686"/>
      <c r="M236" s="686"/>
      <c r="N236" s="70"/>
      <c r="O236" s="686"/>
      <c r="P236" s="70"/>
      <c r="Q236" s="70"/>
      <c r="R236" s="70"/>
      <c r="S236" s="70"/>
      <c r="T236" s="70"/>
      <c r="U236" s="70"/>
      <c r="V236" s="70"/>
      <c r="W236" s="70"/>
      <c r="X236" s="70"/>
      <c r="Y236" s="70"/>
      <c r="Z236" s="70"/>
    </row>
    <row r="237" customFormat="false" ht="12.75" hidden="false" customHeight="false" outlineLevel="1" collapsed="false">
      <c r="A237" s="70"/>
      <c r="B237" s="70"/>
      <c r="C237" s="70"/>
      <c r="D237" s="70"/>
      <c r="E237" s="70"/>
      <c r="F237" s="686"/>
      <c r="G237" s="686"/>
      <c r="H237" s="686"/>
      <c r="I237" s="686"/>
      <c r="J237" s="686"/>
      <c r="K237" s="686"/>
      <c r="L237" s="686"/>
      <c r="M237" s="686"/>
      <c r="N237" s="70"/>
      <c r="O237" s="686"/>
      <c r="P237" s="70"/>
      <c r="Q237" s="70"/>
      <c r="R237" s="70"/>
      <c r="S237" s="70"/>
      <c r="T237" s="70"/>
      <c r="U237" s="70"/>
      <c r="V237" s="70"/>
      <c r="W237" s="70"/>
      <c r="X237" s="70"/>
      <c r="Y237" s="70"/>
      <c r="Z237" s="70"/>
    </row>
    <row r="238" customFormat="false" ht="12.75" hidden="false" customHeight="false" outlineLevel="1" collapsed="false">
      <c r="A238" s="395"/>
      <c r="B238" s="395"/>
      <c r="C238" s="395"/>
      <c r="D238" s="395"/>
      <c r="E238" s="395"/>
      <c r="F238" s="686"/>
      <c r="G238" s="686"/>
      <c r="H238" s="686"/>
      <c r="I238" s="686"/>
      <c r="J238" s="686"/>
      <c r="K238" s="686"/>
      <c r="L238" s="686"/>
      <c r="M238" s="686"/>
      <c r="N238" s="70"/>
      <c r="O238" s="686"/>
      <c r="P238" s="70"/>
      <c r="Q238" s="70"/>
      <c r="R238" s="70"/>
      <c r="S238" s="70"/>
      <c r="T238" s="70"/>
      <c r="U238" s="70"/>
      <c r="V238" s="70"/>
      <c r="W238" s="70"/>
      <c r="X238" s="70"/>
      <c r="Y238" s="70"/>
      <c r="Z238" s="70"/>
    </row>
    <row r="239" customFormat="false" ht="12.75" hidden="false" customHeight="false" outlineLevel="1" collapsed="false">
      <c r="A239" s="685"/>
      <c r="B239" s="685"/>
      <c r="C239" s="685"/>
      <c r="D239" s="685"/>
      <c r="E239" s="685"/>
      <c r="F239" s="686"/>
      <c r="G239" s="686"/>
      <c r="H239" s="686"/>
      <c r="I239" s="686"/>
      <c r="J239" s="686"/>
      <c r="K239" s="686"/>
      <c r="L239" s="686"/>
      <c r="M239" s="686"/>
      <c r="N239" s="70"/>
      <c r="O239" s="686"/>
      <c r="P239" s="70"/>
      <c r="Q239" s="70"/>
      <c r="R239" s="70"/>
      <c r="S239" s="70"/>
      <c r="T239" s="70"/>
      <c r="U239" s="70"/>
      <c r="V239" s="70"/>
      <c r="W239" s="70"/>
      <c r="X239" s="70"/>
      <c r="Y239" s="70"/>
      <c r="Z239" s="70"/>
    </row>
    <row r="240" customFormat="false" ht="12.75" hidden="false" customHeight="false" outlineLevel="1" collapsed="false">
      <c r="A240" s="685"/>
      <c r="B240" s="685"/>
      <c r="C240" s="685"/>
      <c r="D240" s="685"/>
      <c r="E240" s="685"/>
      <c r="F240" s="686"/>
      <c r="G240" s="686"/>
      <c r="H240" s="686"/>
      <c r="I240" s="686"/>
      <c r="J240" s="686"/>
      <c r="K240" s="686"/>
      <c r="L240" s="686"/>
      <c r="M240" s="686"/>
      <c r="N240" s="70"/>
      <c r="O240" s="686"/>
      <c r="P240" s="70"/>
      <c r="Q240" s="70"/>
      <c r="R240" s="70"/>
      <c r="S240" s="70"/>
      <c r="T240" s="70"/>
      <c r="U240" s="70"/>
      <c r="V240" s="70"/>
      <c r="W240" s="70"/>
      <c r="X240" s="70"/>
      <c r="Y240" s="70"/>
      <c r="Z240" s="70"/>
    </row>
    <row r="241" customFormat="false" ht="12.75" hidden="false" customHeight="false" outlineLevel="1" collapsed="false">
      <c r="A241" s="685"/>
      <c r="B241" s="685"/>
      <c r="C241" s="685"/>
      <c r="D241" s="685"/>
      <c r="E241" s="685"/>
      <c r="F241" s="686"/>
      <c r="G241" s="686"/>
      <c r="H241" s="686"/>
      <c r="I241" s="686"/>
      <c r="J241" s="686"/>
      <c r="K241" s="686"/>
      <c r="L241" s="686"/>
      <c r="M241" s="686"/>
      <c r="N241" s="70"/>
      <c r="O241" s="686"/>
      <c r="P241" s="70"/>
      <c r="Q241" s="70"/>
      <c r="R241" s="70"/>
      <c r="S241" s="70"/>
      <c r="T241" s="70"/>
      <c r="U241" s="70"/>
      <c r="V241" s="70"/>
      <c r="W241" s="70"/>
      <c r="X241" s="70"/>
      <c r="Y241" s="70"/>
      <c r="Z241" s="70"/>
    </row>
    <row r="242" customFormat="false" ht="12.75" hidden="false" customHeight="false" outlineLevel="1" collapsed="false">
      <c r="A242" s="685"/>
      <c r="B242" s="685"/>
      <c r="C242" s="685"/>
      <c r="D242" s="685"/>
      <c r="E242" s="685"/>
      <c r="F242" s="686"/>
      <c r="G242" s="686"/>
      <c r="H242" s="686"/>
      <c r="I242" s="686"/>
      <c r="J242" s="686"/>
      <c r="K242" s="686"/>
      <c r="L242" s="686"/>
      <c r="M242" s="686"/>
      <c r="N242" s="70"/>
      <c r="O242" s="686"/>
      <c r="P242" s="70"/>
      <c r="Q242" s="70"/>
      <c r="R242" s="70"/>
      <c r="S242" s="70"/>
      <c r="T242" s="70"/>
      <c r="U242" s="70"/>
      <c r="V242" s="70"/>
      <c r="W242" s="70"/>
      <c r="X242" s="70"/>
      <c r="Y242" s="70"/>
      <c r="Z242" s="70"/>
    </row>
    <row r="243" customFormat="false" ht="12.75" hidden="false" customHeight="false" outlineLevel="1" collapsed="false">
      <c r="A243" s="685"/>
      <c r="B243" s="685"/>
      <c r="C243" s="685"/>
      <c r="D243" s="685"/>
      <c r="E243" s="685"/>
      <c r="F243" s="686"/>
      <c r="G243" s="686"/>
      <c r="H243" s="686"/>
      <c r="I243" s="686"/>
      <c r="J243" s="686"/>
      <c r="K243" s="686"/>
      <c r="L243" s="686"/>
      <c r="M243" s="686"/>
      <c r="N243" s="70"/>
      <c r="O243" s="686"/>
      <c r="P243" s="70"/>
      <c r="Q243" s="70"/>
      <c r="R243" s="70"/>
      <c r="S243" s="70"/>
      <c r="T243" s="70"/>
      <c r="U243" s="70"/>
      <c r="V243" s="70"/>
      <c r="W243" s="70"/>
      <c r="X243" s="70"/>
      <c r="Y243" s="70"/>
      <c r="Z243" s="70"/>
    </row>
    <row r="244" customFormat="false" ht="12.75" hidden="false" customHeight="false" outlineLevel="1" collapsed="false">
      <c r="A244" s="685"/>
      <c r="B244" s="70"/>
      <c r="C244" s="70"/>
      <c r="D244" s="70"/>
      <c r="E244" s="70"/>
      <c r="F244" s="686"/>
      <c r="G244" s="686"/>
      <c r="H244" s="686"/>
      <c r="I244" s="686"/>
      <c r="J244" s="686"/>
      <c r="K244" s="686"/>
      <c r="L244" s="686"/>
      <c r="M244" s="686"/>
      <c r="N244" s="70"/>
      <c r="O244" s="686"/>
      <c r="P244" s="70"/>
      <c r="Q244" s="70"/>
      <c r="R244" s="70"/>
      <c r="S244" s="70"/>
      <c r="T244" s="70"/>
      <c r="U244" s="70"/>
      <c r="V244" s="70"/>
      <c r="W244" s="70"/>
      <c r="X244" s="70"/>
      <c r="Y244" s="70"/>
      <c r="Z244" s="70"/>
    </row>
    <row r="245" customFormat="false" ht="12.75" hidden="false" customHeight="false" outlineLevel="1" collapsed="false">
      <c r="A245" s="395"/>
      <c r="B245" s="395"/>
      <c r="C245" s="395"/>
      <c r="D245" s="395"/>
      <c r="E245" s="395"/>
      <c r="F245" s="686"/>
      <c r="G245" s="686"/>
      <c r="H245" s="686"/>
      <c r="I245" s="686"/>
      <c r="J245" s="686"/>
      <c r="K245" s="686"/>
      <c r="L245" s="686"/>
      <c r="M245" s="686"/>
      <c r="N245" s="70"/>
      <c r="O245" s="686"/>
      <c r="P245" s="70"/>
      <c r="Q245" s="70"/>
      <c r="R245" s="70"/>
      <c r="S245" s="70"/>
      <c r="T245" s="70"/>
      <c r="U245" s="70"/>
      <c r="V245" s="70"/>
      <c r="W245" s="70"/>
      <c r="X245" s="70"/>
      <c r="Y245" s="70"/>
      <c r="Z245" s="70"/>
    </row>
    <row r="246" customFormat="false" ht="12.75" hidden="false" customHeight="false" outlineLevel="1" collapsed="false">
      <c r="A246" s="395"/>
      <c r="B246" s="395"/>
      <c r="C246" s="395"/>
      <c r="D246" s="395"/>
      <c r="E246" s="395"/>
      <c r="F246" s="686"/>
      <c r="G246" s="686"/>
      <c r="H246" s="686"/>
      <c r="I246" s="686"/>
      <c r="J246" s="686"/>
      <c r="K246" s="686"/>
      <c r="L246" s="686"/>
      <c r="M246" s="686"/>
      <c r="N246" s="70"/>
      <c r="O246" s="686"/>
      <c r="P246" s="70"/>
      <c r="Q246" s="70"/>
      <c r="R246" s="70"/>
      <c r="S246" s="70"/>
      <c r="T246" s="70"/>
      <c r="U246" s="70"/>
      <c r="V246" s="70"/>
      <c r="W246" s="70"/>
      <c r="X246" s="70"/>
      <c r="Y246" s="70"/>
      <c r="Z246" s="70"/>
    </row>
    <row r="247" customFormat="false" ht="12.75" hidden="false" customHeight="false" outlineLevel="1" collapsed="false">
      <c r="A247" s="70"/>
      <c r="B247" s="70"/>
      <c r="C247" s="70"/>
      <c r="D247" s="70"/>
      <c r="E247" s="70"/>
      <c r="F247" s="686"/>
      <c r="G247" s="686"/>
      <c r="H247" s="686"/>
      <c r="I247" s="686"/>
      <c r="J247" s="686"/>
      <c r="K247" s="686"/>
      <c r="L247" s="686"/>
      <c r="M247" s="686"/>
      <c r="N247" s="70"/>
      <c r="O247" s="686"/>
      <c r="P247" s="70"/>
      <c r="Q247" s="70"/>
      <c r="R247" s="70"/>
      <c r="S247" s="70"/>
      <c r="T247" s="70"/>
      <c r="U247" s="70"/>
      <c r="V247" s="70"/>
      <c r="W247" s="70"/>
      <c r="X247" s="70"/>
      <c r="Y247" s="70"/>
      <c r="Z247" s="70"/>
    </row>
    <row r="248" customFormat="false" ht="12.75" hidden="false" customHeight="false" outlineLevel="1" collapsed="false">
      <c r="A248" s="395"/>
      <c r="B248" s="688"/>
      <c r="C248" s="688"/>
      <c r="D248" s="688"/>
      <c r="E248" s="70"/>
      <c r="F248" s="686"/>
      <c r="G248" s="686"/>
      <c r="H248" s="686"/>
      <c r="I248" s="686"/>
      <c r="J248" s="686"/>
      <c r="K248" s="686"/>
      <c r="L248" s="686"/>
      <c r="M248" s="686"/>
      <c r="N248" s="70"/>
      <c r="O248" s="686"/>
      <c r="P248" s="70"/>
      <c r="Q248" s="70"/>
      <c r="R248" s="70"/>
      <c r="S248" s="70"/>
      <c r="T248" s="70"/>
      <c r="U248" s="70"/>
      <c r="V248" s="70"/>
      <c r="W248" s="70"/>
      <c r="X248" s="70"/>
      <c r="Y248" s="70"/>
      <c r="Z248" s="70"/>
    </row>
    <row r="249" customFormat="false" ht="12.75" hidden="false" customHeight="false" outlineLevel="1" collapsed="false">
      <c r="A249" s="395"/>
      <c r="B249" s="684"/>
      <c r="C249" s="684"/>
      <c r="D249" s="684"/>
      <c r="E249" s="684"/>
      <c r="F249" s="686"/>
      <c r="G249" s="686"/>
      <c r="H249" s="686"/>
      <c r="I249" s="686"/>
      <c r="J249" s="686"/>
      <c r="K249" s="686"/>
      <c r="L249" s="686"/>
      <c r="M249" s="686"/>
      <c r="N249" s="70"/>
      <c r="O249" s="686"/>
      <c r="P249" s="70"/>
      <c r="Q249" s="70"/>
      <c r="R249" s="70"/>
      <c r="S249" s="70"/>
      <c r="T249" s="70"/>
      <c r="U249" s="70"/>
      <c r="V249" s="70"/>
      <c r="W249" s="70"/>
      <c r="X249" s="70"/>
      <c r="Y249" s="70"/>
      <c r="Z249" s="70"/>
    </row>
    <row r="250" customFormat="false" ht="12.75" hidden="false" customHeight="false" outlineLevel="1" collapsed="false">
      <c r="A250" s="70"/>
      <c r="B250" s="70"/>
      <c r="C250" s="70"/>
      <c r="D250" s="70"/>
      <c r="E250" s="70"/>
      <c r="F250" s="70"/>
      <c r="G250" s="70"/>
      <c r="H250" s="70"/>
      <c r="I250" s="70"/>
      <c r="J250" s="70"/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  <c r="Z250" s="70"/>
    </row>
    <row r="251" customFormat="false" ht="12.75" hidden="false" customHeight="false" outlineLevel="1" collapsed="false">
      <c r="A251" s="395"/>
      <c r="B251" s="689"/>
      <c r="C251" s="689"/>
      <c r="D251" s="689"/>
      <c r="E251" s="70"/>
      <c r="F251" s="70"/>
      <c r="G251" s="70"/>
      <c r="H251" s="102"/>
      <c r="I251" s="102"/>
      <c r="J251" s="102"/>
      <c r="K251" s="102"/>
      <c r="L251" s="102"/>
      <c r="M251" s="102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  <c r="Z251" s="70"/>
    </row>
    <row r="252" customFormat="false" ht="12.75" hidden="false" customHeight="false" outlineLevel="1" collapsed="false">
      <c r="A252" s="395"/>
      <c r="B252" s="70"/>
      <c r="C252" s="70"/>
      <c r="D252" s="70"/>
      <c r="E252" s="70"/>
      <c r="F252" s="70"/>
      <c r="G252" s="70"/>
      <c r="H252" s="102"/>
      <c r="I252" s="102"/>
      <c r="J252" s="102"/>
      <c r="K252" s="102"/>
      <c r="L252" s="102"/>
      <c r="M252" s="102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  <c r="Z252" s="70"/>
    </row>
    <row r="253" customFormat="false" ht="12.75" hidden="false" customHeight="false" outlineLevel="1" collapsed="false">
      <c r="A253" s="395"/>
      <c r="B253" s="70"/>
      <c r="C253" s="70"/>
      <c r="D253" s="70"/>
      <c r="E253" s="70"/>
      <c r="F253" s="70"/>
      <c r="G253" s="70"/>
      <c r="H253" s="102"/>
      <c r="I253" s="102"/>
      <c r="J253" s="102"/>
      <c r="K253" s="102"/>
      <c r="L253" s="102"/>
      <c r="M253" s="102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  <c r="Z253" s="70"/>
    </row>
    <row r="254" customFormat="false" ht="12.75" hidden="false" customHeight="false" outlineLevel="1" collapsed="false">
      <c r="A254" s="395"/>
      <c r="B254" s="70"/>
      <c r="C254" s="70"/>
      <c r="D254" s="70"/>
      <c r="E254" s="70"/>
      <c r="F254" s="70"/>
      <c r="G254" s="70"/>
      <c r="H254" s="102"/>
      <c r="I254" s="102"/>
      <c r="J254" s="102"/>
      <c r="K254" s="102"/>
      <c r="L254" s="102"/>
      <c r="M254" s="102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  <c r="Z254" s="70"/>
    </row>
    <row r="255" customFormat="false" ht="12.75" hidden="false" customHeight="false" outlineLevel="1" collapsed="false">
      <c r="A255" s="70"/>
      <c r="B255" s="70"/>
      <c r="C255" s="70"/>
      <c r="D255" s="70"/>
      <c r="E255" s="70"/>
      <c r="F255" s="70"/>
      <c r="G255" s="70"/>
      <c r="H255" s="70"/>
      <c r="I255" s="70"/>
      <c r="J255" s="70"/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  <c r="Z255" s="70"/>
    </row>
    <row r="256" customFormat="false" ht="18.75" hidden="false" customHeight="false" outlineLevel="1" collapsed="false">
      <c r="A256" s="682"/>
      <c r="B256" s="70"/>
      <c r="C256" s="70"/>
      <c r="D256" s="70"/>
      <c r="E256" s="70"/>
      <c r="F256" s="70"/>
      <c r="G256" s="70"/>
      <c r="H256" s="70"/>
      <c r="I256" s="70"/>
      <c r="J256" s="70"/>
      <c r="K256" s="70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  <c r="Z256" s="70"/>
    </row>
    <row r="257" customFormat="false" ht="12.75" hidden="false" customHeight="false" outlineLevel="1" collapsed="false">
      <c r="A257" s="395"/>
      <c r="B257" s="70"/>
      <c r="C257" s="70"/>
      <c r="D257" s="70"/>
      <c r="E257" s="70"/>
      <c r="F257" s="70"/>
      <c r="G257" s="70"/>
      <c r="H257" s="70"/>
      <c r="I257" s="70"/>
      <c r="J257" s="70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  <c r="Z257" s="70"/>
    </row>
    <row r="258" customFormat="false" ht="12.75" hidden="false" customHeight="false" outlineLevel="1" collapsed="false">
      <c r="A258" s="70"/>
      <c r="B258" s="70"/>
      <c r="C258" s="70"/>
      <c r="D258" s="70"/>
      <c r="E258" s="70"/>
      <c r="F258" s="70"/>
      <c r="G258" s="70"/>
      <c r="H258" s="70"/>
      <c r="I258" s="70"/>
      <c r="J258" s="70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  <c r="Z258" s="70"/>
    </row>
    <row r="259" customFormat="false" ht="12.75" hidden="false" customHeight="false" outlineLevel="1" collapsed="false">
      <c r="A259" s="70"/>
      <c r="B259" s="70"/>
      <c r="C259" s="70"/>
      <c r="D259" s="70"/>
      <c r="E259" s="70"/>
      <c r="F259" s="70"/>
      <c r="G259" s="70"/>
      <c r="H259" s="70"/>
      <c r="I259" s="70"/>
      <c r="J259" s="70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  <c r="Z259" s="70"/>
    </row>
    <row r="260" customFormat="false" ht="12.75" hidden="false" customHeight="false" outlineLevel="1" collapsed="false">
      <c r="A260" s="690"/>
      <c r="B260" s="691"/>
      <c r="C260" s="691"/>
      <c r="D260" s="691"/>
      <c r="E260" s="691"/>
      <c r="F260" s="691"/>
      <c r="G260" s="691"/>
      <c r="H260" s="691"/>
      <c r="I260" s="691"/>
      <c r="J260" s="691"/>
      <c r="K260" s="691"/>
      <c r="L260" s="691"/>
      <c r="M260" s="691"/>
      <c r="N260" s="691"/>
      <c r="O260" s="691"/>
      <c r="P260" s="691"/>
      <c r="Q260" s="691"/>
      <c r="R260" s="691"/>
      <c r="S260" s="691"/>
      <c r="T260" s="691"/>
      <c r="U260" s="691"/>
      <c r="V260" s="691"/>
      <c r="W260" s="691"/>
      <c r="X260" s="691"/>
      <c r="Y260" s="691"/>
      <c r="Z260" s="691"/>
      <c r="AA260" s="691"/>
      <c r="AB260" s="691"/>
      <c r="AC260" s="691"/>
      <c r="AD260" s="691"/>
      <c r="AE260" s="691"/>
      <c r="AF260" s="691"/>
      <c r="AG260" s="691"/>
      <c r="AH260" s="691"/>
      <c r="AI260" s="691"/>
      <c r="AJ260" s="691"/>
      <c r="AK260" s="691"/>
      <c r="AL260" s="691"/>
      <c r="AM260" s="691"/>
      <c r="AN260" s="691"/>
      <c r="AO260" s="691"/>
      <c r="AP260" s="691"/>
      <c r="AQ260" s="691"/>
      <c r="AR260" s="691"/>
      <c r="AS260" s="691"/>
      <c r="AT260" s="691"/>
      <c r="AU260" s="691"/>
      <c r="AV260" s="691"/>
      <c r="AW260" s="691"/>
      <c r="AX260" s="691"/>
      <c r="AY260" s="691"/>
      <c r="AZ260" s="691"/>
      <c r="BA260" s="691"/>
      <c r="BB260" s="691"/>
      <c r="BC260" s="691"/>
      <c r="BD260" s="691"/>
      <c r="BE260" s="691"/>
      <c r="BF260" s="691"/>
      <c r="BG260" s="691"/>
      <c r="BH260" s="691"/>
      <c r="BI260" s="691"/>
      <c r="BJ260" s="691"/>
      <c r="BK260" s="691"/>
      <c r="BL260" s="691"/>
      <c r="BM260" s="691"/>
      <c r="BN260" s="691"/>
      <c r="BO260" s="691"/>
      <c r="BP260" s="691"/>
      <c r="BQ260" s="691"/>
      <c r="BR260" s="691"/>
      <c r="BS260" s="691"/>
      <c r="BT260" s="691"/>
      <c r="BU260" s="691"/>
      <c r="BV260" s="691"/>
      <c r="BW260" s="691"/>
      <c r="BX260" s="691"/>
      <c r="BY260" s="691"/>
      <c r="BZ260" s="691"/>
      <c r="CA260" s="691"/>
      <c r="CB260" s="691"/>
      <c r="CC260" s="691"/>
      <c r="CD260" s="691"/>
      <c r="CE260" s="691"/>
      <c r="CF260" s="691"/>
      <c r="CG260" s="691"/>
      <c r="CH260" s="691"/>
      <c r="CI260" s="691"/>
      <c r="CJ260" s="691"/>
      <c r="CK260" s="691"/>
      <c r="CL260" s="691"/>
      <c r="CM260" s="691"/>
      <c r="CN260" s="691"/>
      <c r="CO260" s="691"/>
      <c r="CP260" s="691"/>
      <c r="CQ260" s="691"/>
      <c r="CR260" s="691"/>
      <c r="CS260" s="691"/>
      <c r="CT260" s="691"/>
      <c r="CU260" s="691"/>
      <c r="CV260" s="691"/>
      <c r="CW260" s="691"/>
      <c r="CX260" s="691"/>
      <c r="CY260" s="691"/>
      <c r="CZ260" s="691"/>
      <c r="DA260" s="691"/>
      <c r="DB260" s="691"/>
      <c r="DC260" s="691"/>
      <c r="DD260" s="691"/>
      <c r="DE260" s="691"/>
      <c r="DF260" s="691"/>
      <c r="DG260" s="691"/>
      <c r="DH260" s="691"/>
      <c r="DI260" s="691"/>
      <c r="DJ260" s="691"/>
      <c r="DK260" s="691"/>
      <c r="DL260" s="691"/>
      <c r="DM260" s="691"/>
      <c r="DN260" s="691"/>
      <c r="DO260" s="691"/>
      <c r="DP260" s="691"/>
      <c r="DQ260" s="691"/>
      <c r="DR260" s="691"/>
      <c r="DS260" s="691"/>
      <c r="DT260" s="691"/>
      <c r="DU260" s="691"/>
      <c r="DV260" s="691"/>
      <c r="DW260" s="691"/>
      <c r="DX260" s="691"/>
      <c r="DY260" s="691"/>
      <c r="DZ260" s="691"/>
      <c r="EA260" s="691"/>
      <c r="EB260" s="691"/>
      <c r="EC260" s="691"/>
      <c r="ED260" s="691"/>
      <c r="EE260" s="691"/>
      <c r="EF260" s="691"/>
      <c r="EG260" s="691"/>
      <c r="EH260" s="691"/>
      <c r="EI260" s="691"/>
      <c r="EJ260" s="691"/>
      <c r="EK260" s="691"/>
      <c r="EL260" s="691"/>
      <c r="EM260" s="691"/>
      <c r="EN260" s="691"/>
      <c r="EO260" s="691"/>
      <c r="EP260" s="691"/>
      <c r="EQ260" s="691"/>
      <c r="ER260" s="691"/>
      <c r="ES260" s="691"/>
      <c r="ET260" s="691"/>
      <c r="EU260" s="691"/>
      <c r="EV260" s="691"/>
      <c r="EW260" s="691"/>
      <c r="EX260" s="691"/>
      <c r="EY260" s="691"/>
      <c r="EZ260" s="691"/>
      <c r="FA260" s="691"/>
      <c r="FB260" s="691"/>
      <c r="FC260" s="691"/>
      <c r="FD260" s="691"/>
      <c r="FE260" s="691"/>
      <c r="FF260" s="691"/>
      <c r="FG260" s="691"/>
      <c r="FH260" s="691"/>
      <c r="FI260" s="691"/>
      <c r="FJ260" s="691"/>
      <c r="FK260" s="691"/>
      <c r="FL260" s="691"/>
      <c r="FM260" s="691"/>
      <c r="FN260" s="691"/>
      <c r="FO260" s="691"/>
      <c r="FP260" s="691"/>
      <c r="FQ260" s="691"/>
      <c r="FR260" s="691"/>
      <c r="FS260" s="691"/>
      <c r="FT260" s="691"/>
      <c r="FU260" s="691"/>
      <c r="FV260" s="691"/>
      <c r="FW260" s="691"/>
      <c r="FX260" s="691"/>
      <c r="FY260" s="691"/>
      <c r="FZ260" s="691"/>
      <c r="GA260" s="691"/>
      <c r="GB260" s="691"/>
      <c r="GC260" s="691"/>
      <c r="GD260" s="691"/>
      <c r="GE260" s="691"/>
      <c r="GF260" s="691"/>
      <c r="GG260" s="691"/>
      <c r="GH260" s="691"/>
      <c r="GI260" s="691"/>
      <c r="GJ260" s="691"/>
      <c r="GK260" s="691"/>
      <c r="GL260" s="691"/>
      <c r="GM260" s="691"/>
      <c r="GN260" s="691"/>
      <c r="GO260" s="691"/>
      <c r="GP260" s="691"/>
      <c r="GQ260" s="691"/>
      <c r="GR260" s="691"/>
      <c r="GS260" s="691"/>
      <c r="GT260" s="691"/>
      <c r="GU260" s="691"/>
      <c r="GV260" s="691"/>
      <c r="GW260" s="691"/>
      <c r="GX260" s="691"/>
      <c r="GY260" s="691"/>
      <c r="GZ260" s="691"/>
      <c r="HA260" s="691"/>
      <c r="HB260" s="691"/>
      <c r="HC260" s="691"/>
      <c r="HD260" s="691"/>
      <c r="HE260" s="691"/>
      <c r="HF260" s="691"/>
      <c r="HG260" s="691"/>
      <c r="HH260" s="691"/>
      <c r="HI260" s="691"/>
      <c r="HJ260" s="691"/>
      <c r="HK260" s="691"/>
      <c r="HL260" s="691"/>
      <c r="HM260" s="691"/>
      <c r="HN260" s="691"/>
      <c r="HO260" s="691"/>
      <c r="HP260" s="691"/>
      <c r="HQ260" s="691"/>
      <c r="HR260" s="691"/>
      <c r="HS260" s="691"/>
      <c r="HT260" s="691"/>
      <c r="HU260" s="691"/>
      <c r="HV260" s="691"/>
      <c r="HW260" s="691"/>
      <c r="HX260" s="691"/>
      <c r="HY260" s="691"/>
      <c r="HZ260" s="691"/>
      <c r="IA260" s="691"/>
      <c r="IB260" s="691"/>
      <c r="IC260" s="691"/>
      <c r="ID260" s="691"/>
      <c r="IE260" s="691"/>
      <c r="IF260" s="691"/>
      <c r="IG260" s="691"/>
      <c r="IH260" s="691"/>
      <c r="II260" s="691"/>
      <c r="IJ260" s="691"/>
      <c r="IK260" s="691"/>
      <c r="IL260" s="691"/>
      <c r="IM260" s="691"/>
      <c r="IN260" s="691"/>
      <c r="IO260" s="691"/>
      <c r="IP260" s="691"/>
      <c r="IQ260" s="691"/>
      <c r="IR260" s="691"/>
      <c r="IS260" s="691"/>
      <c r="IT260" s="691"/>
      <c r="IU260" s="691"/>
      <c r="IV260" s="691"/>
      <c r="IW260" s="691"/>
    </row>
    <row r="261" customFormat="false" ht="12.75" hidden="false" customHeight="false" outlineLevel="1" collapsed="false">
      <c r="A261" s="395"/>
      <c r="B261" s="70"/>
      <c r="C261" s="70"/>
      <c r="D261" s="70"/>
      <c r="E261" s="70"/>
      <c r="F261" s="70"/>
      <c r="G261" s="70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  <c r="Z261" s="70"/>
    </row>
    <row r="262" customFormat="false" ht="12.75" hidden="false" customHeight="false" outlineLevel="1" collapsed="false">
      <c r="A262" s="395"/>
      <c r="B262" s="70"/>
      <c r="C262" s="70"/>
      <c r="D262" s="70"/>
      <c r="E262" s="70"/>
      <c r="F262" s="70"/>
      <c r="G262" s="70"/>
      <c r="H262" s="417"/>
      <c r="I262" s="417"/>
      <c r="J262" s="417"/>
      <c r="K262" s="417"/>
      <c r="L262" s="417"/>
      <c r="M262" s="417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  <c r="Y262" s="70"/>
      <c r="Z262" s="70"/>
    </row>
    <row r="263" customFormat="false" ht="12.75" hidden="false" customHeight="false" outlineLevel="1" collapsed="false">
      <c r="A263" s="395"/>
      <c r="B263" s="70"/>
      <c r="C263" s="70"/>
      <c r="D263" s="70"/>
      <c r="E263" s="70"/>
      <c r="F263" s="70"/>
      <c r="G263" s="70"/>
      <c r="H263" s="417"/>
      <c r="I263" s="417"/>
      <c r="J263" s="417"/>
      <c r="K263" s="417"/>
      <c r="L263" s="417"/>
      <c r="M263" s="417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  <c r="Z263" s="70"/>
    </row>
    <row r="264" customFormat="false" ht="12.75" hidden="false" customHeight="false" outlineLevel="1" collapsed="false">
      <c r="A264" s="70"/>
      <c r="B264" s="692"/>
      <c r="C264" s="692"/>
      <c r="D264" s="692"/>
      <c r="E264" s="692"/>
      <c r="F264" s="70"/>
      <c r="G264" s="70"/>
      <c r="H264" s="693"/>
      <c r="I264" s="693"/>
      <c r="J264" s="693"/>
      <c r="K264" s="693"/>
      <c r="L264" s="693"/>
      <c r="M264" s="693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  <c r="Z264" s="70"/>
    </row>
    <row r="265" customFormat="false" ht="12.75" hidden="false" customHeight="false" outlineLevel="1" collapsed="false">
      <c r="A265" s="395"/>
      <c r="B265" s="694"/>
      <c r="C265" s="694"/>
      <c r="D265" s="694"/>
      <c r="E265" s="694"/>
      <c r="F265" s="70"/>
      <c r="G265" s="70"/>
      <c r="H265" s="70"/>
      <c r="I265" s="70"/>
      <c r="J265" s="70"/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  <c r="Z265" s="70"/>
    </row>
    <row r="266" customFormat="false" ht="12.75" hidden="false" customHeight="false" outlineLevel="1" collapsed="false">
      <c r="A266" s="690"/>
      <c r="B266" s="70"/>
      <c r="C266" s="70"/>
      <c r="D266" s="70"/>
      <c r="E266" s="70"/>
      <c r="F266" s="70"/>
      <c r="G266" s="70"/>
      <c r="H266" s="70"/>
      <c r="I266" s="70"/>
      <c r="J266" s="70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  <c r="Z266" s="70"/>
    </row>
    <row r="267" customFormat="false" ht="12.75" hidden="false" customHeight="false" outlineLevel="1" collapsed="false">
      <c r="A267" s="695"/>
      <c r="B267" s="70"/>
      <c r="C267" s="70"/>
      <c r="D267" s="70"/>
      <c r="E267" s="70"/>
      <c r="F267" s="70"/>
      <c r="G267" s="70"/>
      <c r="H267" s="102"/>
      <c r="I267" s="102"/>
      <c r="J267" s="102"/>
      <c r="K267" s="102"/>
      <c r="L267" s="102"/>
      <c r="M267" s="102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  <c r="Z267" s="70"/>
    </row>
    <row r="268" customFormat="false" ht="12.75" hidden="false" customHeight="false" outlineLevel="1" collapsed="false">
      <c r="A268" s="695"/>
      <c r="B268" s="70"/>
      <c r="C268" s="70"/>
      <c r="D268" s="70"/>
      <c r="E268" s="70"/>
      <c r="F268" s="70"/>
      <c r="G268" s="70"/>
      <c r="H268" s="102"/>
      <c r="I268" s="102"/>
      <c r="J268" s="102"/>
      <c r="K268" s="102"/>
      <c r="L268" s="102"/>
      <c r="M268" s="102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  <c r="Y268" s="70"/>
      <c r="Z268" s="70"/>
    </row>
    <row r="269" customFormat="false" ht="12.75" hidden="false" customHeight="false" outlineLevel="1" collapsed="false">
      <c r="A269" s="695"/>
      <c r="B269" s="70"/>
      <c r="C269" s="70"/>
      <c r="D269" s="70"/>
      <c r="E269" s="70"/>
      <c r="F269" s="70"/>
      <c r="G269" s="70"/>
      <c r="H269" s="102"/>
      <c r="I269" s="102"/>
      <c r="J269" s="102"/>
      <c r="K269" s="102"/>
      <c r="L269" s="102"/>
      <c r="M269" s="102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  <c r="Z269" s="70"/>
    </row>
    <row r="270" customFormat="false" ht="12.75" hidden="false" customHeight="false" outlineLevel="1" collapsed="false">
      <c r="A270" s="695"/>
      <c r="B270" s="70"/>
      <c r="C270" s="70"/>
      <c r="D270" s="70"/>
      <c r="E270" s="70"/>
      <c r="F270" s="70"/>
      <c r="G270" s="70"/>
      <c r="H270" s="102"/>
      <c r="I270" s="102"/>
      <c r="J270" s="102"/>
      <c r="K270" s="102"/>
      <c r="L270" s="102"/>
      <c r="M270" s="102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  <c r="Z270" s="70"/>
    </row>
    <row r="271" customFormat="false" ht="12.75" hidden="false" customHeight="false" outlineLevel="1" collapsed="false">
      <c r="A271" s="695"/>
      <c r="B271" s="70"/>
      <c r="C271" s="70"/>
      <c r="D271" s="70"/>
      <c r="E271" s="70"/>
      <c r="F271" s="70"/>
      <c r="G271" s="70"/>
      <c r="H271" s="417"/>
      <c r="I271" s="417"/>
      <c r="J271" s="417"/>
      <c r="K271" s="417"/>
      <c r="L271" s="417"/>
      <c r="M271" s="417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  <c r="Z271" s="70"/>
    </row>
    <row r="272" customFormat="false" ht="12.75" hidden="false" customHeight="false" outlineLevel="1" collapsed="false">
      <c r="A272" s="395"/>
      <c r="B272" s="70"/>
      <c r="C272" s="70"/>
      <c r="D272" s="70"/>
      <c r="E272" s="70"/>
      <c r="F272" s="70"/>
      <c r="G272" s="70"/>
      <c r="H272" s="696"/>
      <c r="I272" s="696"/>
      <c r="J272" s="696"/>
      <c r="K272" s="696"/>
      <c r="L272" s="696"/>
      <c r="M272" s="696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  <c r="Z272" s="70"/>
    </row>
    <row r="273" customFormat="false" ht="12.75" hidden="false" customHeight="false" outlineLevel="1" collapsed="false">
      <c r="A273" s="695"/>
      <c r="B273" s="697"/>
      <c r="C273" s="697"/>
      <c r="D273" s="697"/>
      <c r="E273" s="697"/>
      <c r="F273" s="70"/>
      <c r="G273" s="70"/>
      <c r="H273" s="698"/>
      <c r="I273" s="698"/>
      <c r="J273" s="698"/>
      <c r="K273" s="698"/>
      <c r="L273" s="698"/>
      <c r="M273" s="698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  <c r="Z273" s="70"/>
    </row>
    <row r="274" customFormat="false" ht="12.75" hidden="false" customHeight="false" outlineLevel="1" collapsed="false">
      <c r="A274" s="695"/>
      <c r="B274" s="70"/>
      <c r="C274" s="70"/>
      <c r="D274" s="70"/>
      <c r="E274" s="70"/>
      <c r="F274" s="70"/>
      <c r="G274" s="70"/>
      <c r="H274" s="698"/>
      <c r="I274" s="698"/>
      <c r="J274" s="698"/>
      <c r="K274" s="698"/>
      <c r="L274" s="698"/>
      <c r="M274" s="698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  <c r="Z274" s="70"/>
    </row>
    <row r="275" customFormat="false" ht="12.75" hidden="false" customHeight="false" outlineLevel="1" collapsed="false">
      <c r="A275" s="695"/>
      <c r="B275" s="70"/>
      <c r="C275" s="70"/>
      <c r="D275" s="70"/>
      <c r="E275" s="70"/>
      <c r="F275" s="70"/>
      <c r="G275" s="70"/>
      <c r="H275" s="698"/>
      <c r="I275" s="698"/>
      <c r="J275" s="698"/>
      <c r="K275" s="698"/>
      <c r="L275" s="698"/>
      <c r="M275" s="698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  <c r="Z275" s="70"/>
    </row>
    <row r="276" customFormat="false" ht="12.75" hidden="false" customHeight="false" outlineLevel="1" collapsed="false">
      <c r="A276" s="695"/>
      <c r="B276" s="70"/>
      <c r="C276" s="70"/>
      <c r="D276" s="70"/>
      <c r="E276" s="70"/>
      <c r="F276" s="70"/>
      <c r="G276" s="70"/>
      <c r="H276" s="698"/>
      <c r="I276" s="698"/>
      <c r="J276" s="698"/>
      <c r="K276" s="698"/>
      <c r="L276" s="698"/>
      <c r="M276" s="698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/>
    </row>
    <row r="277" customFormat="false" ht="12.75" hidden="false" customHeight="false" outlineLevel="1" collapsed="false">
      <c r="A277" s="695"/>
      <c r="B277" s="70"/>
      <c r="C277" s="70"/>
      <c r="D277" s="70"/>
      <c r="E277" s="70"/>
      <c r="F277" s="70"/>
      <c r="G277" s="70"/>
      <c r="H277" s="696"/>
      <c r="I277" s="696"/>
      <c r="J277" s="696"/>
      <c r="K277" s="696"/>
      <c r="L277" s="696"/>
      <c r="M277" s="696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/>
    </row>
    <row r="278" customFormat="false" ht="12.75" hidden="false" customHeight="false" outlineLevel="1" collapsed="false">
      <c r="A278" s="395"/>
      <c r="B278" s="70"/>
      <c r="C278" s="70"/>
      <c r="D278" s="70"/>
      <c r="E278" s="70"/>
      <c r="F278" s="70"/>
      <c r="G278" s="70"/>
      <c r="H278" s="70"/>
      <c r="I278" s="70"/>
      <c r="J278" s="70"/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/>
    </row>
    <row r="279" customFormat="false" ht="12.75" hidden="false" customHeight="false" outlineLevel="1" collapsed="false">
      <c r="A279" s="70"/>
      <c r="B279" s="70"/>
      <c r="C279" s="70"/>
      <c r="D279" s="70"/>
      <c r="E279" s="70"/>
      <c r="F279" s="70"/>
      <c r="G279" s="70"/>
      <c r="H279" s="102"/>
      <c r="I279" s="102"/>
      <c r="J279" s="102"/>
      <c r="K279" s="102"/>
      <c r="L279" s="102"/>
      <c r="M279" s="102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/>
    </row>
    <row r="280" customFormat="false" ht="12.75" hidden="false" customHeight="false" outlineLevel="1" collapsed="false">
      <c r="A280" s="70"/>
      <c r="B280" s="70"/>
      <c r="C280" s="70"/>
      <c r="D280" s="70"/>
      <c r="E280" s="70"/>
      <c r="F280" s="70"/>
      <c r="G280" s="70"/>
      <c r="H280" s="102"/>
      <c r="I280" s="102"/>
      <c r="J280" s="102"/>
      <c r="K280" s="102"/>
      <c r="L280" s="102"/>
      <c r="M280" s="102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  <c r="Z280" s="70"/>
    </row>
    <row r="281" customFormat="false" ht="12.75" hidden="false" customHeight="false" outlineLevel="1" collapsed="false">
      <c r="A281" s="70"/>
      <c r="B281" s="70"/>
      <c r="C281" s="70"/>
      <c r="D281" s="70"/>
      <c r="E281" s="70"/>
      <c r="F281" s="70"/>
      <c r="G281" s="70"/>
      <c r="H281" s="102"/>
      <c r="I281" s="102"/>
      <c r="J281" s="102"/>
      <c r="K281" s="102"/>
      <c r="L281" s="102"/>
      <c r="M281" s="102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  <c r="Z281" s="70"/>
    </row>
    <row r="282" customFormat="false" ht="12.75" hidden="false" customHeight="false" outlineLevel="1" collapsed="false">
      <c r="A282" s="70"/>
      <c r="B282" s="70"/>
      <c r="C282" s="70"/>
      <c r="D282" s="70"/>
      <c r="E282" s="70"/>
      <c r="F282" s="639"/>
      <c r="G282" s="639"/>
      <c r="H282" s="102"/>
      <c r="I282" s="102"/>
      <c r="J282" s="102"/>
      <c r="K282" s="102"/>
      <c r="L282" s="102"/>
      <c r="M282" s="102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  <c r="Z282" s="70"/>
    </row>
    <row r="283" customFormat="false" ht="12.75" hidden="false" customHeight="false" outlineLevel="1" collapsed="false">
      <c r="A283" s="70"/>
      <c r="B283" s="70"/>
      <c r="C283" s="70"/>
      <c r="D283" s="70"/>
      <c r="E283" s="70"/>
      <c r="F283" s="70"/>
      <c r="G283" s="70"/>
      <c r="H283" s="70"/>
      <c r="I283" s="70"/>
      <c r="J283" s="70"/>
      <c r="K283" s="70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  <c r="Z283" s="70"/>
    </row>
    <row r="284" customFormat="false" ht="12.75" hidden="false" customHeight="false" outlineLevel="1" collapsed="false">
      <c r="A284" s="395"/>
      <c r="B284" s="70"/>
      <c r="C284" s="70"/>
      <c r="D284" s="70"/>
      <c r="E284" s="70"/>
      <c r="F284" s="70"/>
      <c r="G284" s="70"/>
      <c r="H284" s="70"/>
      <c r="I284" s="70"/>
      <c r="J284" s="70"/>
      <c r="K284" s="70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  <c r="Z284" s="70"/>
    </row>
    <row r="285" customFormat="false" ht="12.75" hidden="false" customHeight="false" outlineLevel="1" collapsed="false">
      <c r="A285" s="70"/>
      <c r="B285" s="70"/>
      <c r="C285" s="70"/>
      <c r="D285" s="70"/>
      <c r="E285" s="70"/>
      <c r="F285" s="70"/>
      <c r="G285" s="70"/>
      <c r="H285" s="417"/>
      <c r="I285" s="417"/>
      <c r="J285" s="417"/>
      <c r="K285" s="417"/>
      <c r="L285" s="417"/>
      <c r="M285" s="417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  <c r="Z285" s="70"/>
    </row>
    <row r="286" customFormat="false" ht="12.75" hidden="false" customHeight="false" outlineLevel="1" collapsed="false">
      <c r="A286" s="695"/>
      <c r="B286" s="70"/>
      <c r="C286" s="70"/>
      <c r="D286" s="70"/>
      <c r="E286" s="70"/>
      <c r="F286" s="70"/>
      <c r="G286" s="70"/>
      <c r="H286" s="417"/>
      <c r="I286" s="417"/>
      <c r="J286" s="417"/>
      <c r="K286" s="417"/>
      <c r="L286" s="417"/>
      <c r="M286" s="417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  <c r="Z286" s="70"/>
    </row>
    <row r="287" customFormat="false" ht="12.75" hidden="false" customHeight="false" outlineLevel="1" collapsed="false">
      <c r="A287" s="695"/>
      <c r="B287" s="70"/>
      <c r="C287" s="70"/>
      <c r="D287" s="70"/>
      <c r="E287" s="70"/>
      <c r="F287" s="70"/>
      <c r="G287" s="70"/>
      <c r="H287" s="417"/>
      <c r="I287" s="417"/>
      <c r="J287" s="417"/>
      <c r="K287" s="417"/>
      <c r="L287" s="417"/>
      <c r="M287" s="417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  <c r="Z287" s="70"/>
    </row>
    <row r="288" customFormat="false" ht="12.75" hidden="false" customHeight="false" outlineLevel="1" collapsed="false">
      <c r="A288" s="695"/>
      <c r="B288" s="70"/>
      <c r="C288" s="70"/>
      <c r="D288" s="70"/>
      <c r="E288" s="70"/>
      <c r="F288" s="639"/>
      <c r="G288" s="639"/>
      <c r="H288" s="417"/>
      <c r="I288" s="417"/>
      <c r="J288" s="417"/>
      <c r="K288" s="417"/>
      <c r="L288" s="417"/>
      <c r="M288" s="417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  <c r="Z288" s="70"/>
    </row>
    <row r="289" customFormat="false" ht="12.75" hidden="false" customHeight="false" outlineLevel="1" collapsed="false">
      <c r="A289" s="70"/>
      <c r="B289" s="70"/>
      <c r="C289" s="70"/>
      <c r="D289" s="70"/>
      <c r="E289" s="70"/>
      <c r="F289" s="70"/>
      <c r="G289" s="70"/>
      <c r="H289" s="417"/>
      <c r="I289" s="417"/>
      <c r="J289" s="417"/>
      <c r="K289" s="417"/>
      <c r="L289" s="417"/>
      <c r="M289" s="417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  <c r="Z289" s="70"/>
    </row>
    <row r="290" customFormat="false" ht="12.75" hidden="false" customHeight="false" outlineLevel="1" collapsed="false">
      <c r="A290" s="70"/>
      <c r="B290" s="70"/>
      <c r="C290" s="70"/>
      <c r="D290" s="70"/>
      <c r="E290" s="70"/>
      <c r="F290" s="70"/>
      <c r="G290" s="70"/>
      <c r="H290" s="417"/>
      <c r="I290" s="417"/>
      <c r="J290" s="417"/>
      <c r="K290" s="417"/>
      <c r="L290" s="417"/>
      <c r="M290" s="417"/>
      <c r="N290" s="70"/>
      <c r="O290" s="70"/>
      <c r="P290" s="70"/>
      <c r="Q290" s="70"/>
      <c r="R290" s="70"/>
      <c r="S290" s="70"/>
      <c r="T290" s="70"/>
      <c r="U290" s="70"/>
      <c r="V290" s="70"/>
      <c r="W290" s="70"/>
      <c r="X290" s="70"/>
      <c r="Y290" s="70"/>
      <c r="Z290" s="70"/>
    </row>
    <row r="291" customFormat="false" ht="12.75" hidden="false" customHeight="false" outlineLevel="1" collapsed="false">
      <c r="A291" s="70"/>
      <c r="B291" s="70"/>
      <c r="C291" s="70"/>
      <c r="D291" s="70"/>
      <c r="E291" s="70"/>
      <c r="F291" s="70"/>
      <c r="G291" s="70"/>
      <c r="H291" s="417"/>
      <c r="I291" s="417"/>
      <c r="J291" s="417"/>
      <c r="K291" s="417"/>
      <c r="L291" s="417"/>
      <c r="M291" s="417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  <c r="Y291" s="70"/>
      <c r="Z291" s="70"/>
    </row>
    <row r="292" customFormat="false" ht="12.75" hidden="false" customHeight="false" outlineLevel="1" collapsed="false">
      <c r="A292" s="70"/>
      <c r="B292" s="70"/>
      <c r="C292" s="70"/>
      <c r="D292" s="70"/>
      <c r="E292" s="70"/>
      <c r="F292" s="70"/>
      <c r="G292" s="70"/>
      <c r="H292" s="417"/>
      <c r="I292" s="417"/>
      <c r="J292" s="417"/>
      <c r="K292" s="417"/>
      <c r="L292" s="417"/>
      <c r="M292" s="417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  <c r="Z292" s="70"/>
    </row>
    <row r="293" customFormat="false" ht="12.75" hidden="false" customHeight="false" outlineLevel="1" collapsed="false">
      <c r="A293" s="70"/>
      <c r="B293" s="70"/>
      <c r="C293" s="70"/>
      <c r="D293" s="70"/>
      <c r="E293" s="70"/>
      <c r="F293" s="70"/>
      <c r="G293" s="70"/>
      <c r="H293" s="417"/>
      <c r="I293" s="417"/>
      <c r="J293" s="417"/>
      <c r="K293" s="417"/>
      <c r="L293" s="417"/>
      <c r="M293" s="417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  <c r="Z293" s="70"/>
    </row>
    <row r="294" customFormat="false" ht="12.75" hidden="false" customHeight="false" outlineLevel="1" collapsed="false">
      <c r="A294" s="70"/>
      <c r="B294" s="70"/>
      <c r="C294" s="70"/>
      <c r="D294" s="70"/>
      <c r="E294" s="70"/>
      <c r="F294" s="70"/>
      <c r="G294" s="70"/>
      <c r="H294" s="417"/>
      <c r="I294" s="417"/>
      <c r="J294" s="417"/>
      <c r="K294" s="417"/>
      <c r="L294" s="417"/>
      <c r="M294" s="417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  <c r="Y294" s="70"/>
      <c r="Z294" s="70"/>
    </row>
    <row r="295" customFormat="false" ht="12.75" hidden="false" customHeight="false" outlineLevel="1" collapsed="false">
      <c r="A295" s="70"/>
      <c r="B295" s="70"/>
      <c r="C295" s="70"/>
      <c r="D295" s="70"/>
      <c r="E295" s="70"/>
      <c r="F295" s="70"/>
      <c r="G295" s="70"/>
      <c r="H295" s="70"/>
      <c r="I295" s="70"/>
      <c r="J295" s="70"/>
      <c r="K295" s="70"/>
      <c r="L295" s="70"/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  <c r="Y295" s="70"/>
      <c r="Z295" s="70"/>
    </row>
    <row r="296" customFormat="false" ht="12.75" hidden="false" customHeight="false" outlineLevel="1" collapsed="false">
      <c r="A296" s="395"/>
      <c r="B296" s="70"/>
      <c r="C296" s="70"/>
      <c r="D296" s="70"/>
      <c r="E296" s="70"/>
      <c r="F296" s="399"/>
      <c r="G296" s="399"/>
      <c r="H296" s="399"/>
      <c r="I296" s="399"/>
      <c r="J296" s="399"/>
      <c r="K296" s="399"/>
      <c r="L296" s="399"/>
      <c r="M296" s="399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  <c r="Y296" s="70"/>
      <c r="Z296" s="70"/>
    </row>
    <row r="297" customFormat="false" ht="12.75" hidden="false" customHeight="false" outlineLevel="1" collapsed="false">
      <c r="A297" s="395"/>
      <c r="B297" s="70"/>
      <c r="C297" s="70"/>
      <c r="D297" s="70"/>
      <c r="E297" s="697"/>
      <c r="F297" s="639"/>
      <c r="G297" s="639"/>
      <c r="H297" s="399"/>
      <c r="I297" s="399"/>
      <c r="J297" s="399"/>
      <c r="K297" s="399"/>
      <c r="L297" s="399"/>
      <c r="M297" s="399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  <c r="Y297" s="70"/>
      <c r="Z297" s="70"/>
    </row>
    <row r="298" customFormat="false" ht="12.75" hidden="false" customHeight="false" outlineLevel="1" collapsed="false">
      <c r="A298" s="395"/>
      <c r="B298" s="70"/>
      <c r="C298" s="70"/>
      <c r="D298" s="70"/>
      <c r="E298" s="70"/>
      <c r="F298" s="399"/>
      <c r="G298" s="399"/>
      <c r="H298" s="399"/>
      <c r="I298" s="399"/>
      <c r="J298" s="399"/>
      <c r="K298" s="399"/>
      <c r="L298" s="399"/>
      <c r="M298" s="399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  <c r="Y298" s="70"/>
      <c r="Z298" s="70"/>
    </row>
    <row r="299" customFormat="false" ht="12.75" hidden="false" customHeight="false" outlineLevel="1" collapsed="false">
      <c r="A299" s="395"/>
      <c r="B299" s="70"/>
      <c r="C299" s="70"/>
      <c r="D299" s="70"/>
      <c r="E299" s="70"/>
      <c r="F299" s="70"/>
      <c r="G299" s="70"/>
      <c r="H299" s="399"/>
      <c r="I299" s="399"/>
      <c r="J299" s="399"/>
      <c r="K299" s="399"/>
      <c r="L299" s="399"/>
      <c r="M299" s="399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  <c r="Y299" s="70"/>
      <c r="Z299" s="70"/>
    </row>
    <row r="300" customFormat="false" ht="12.75" hidden="false" customHeight="false" outlineLevel="1" collapsed="false">
      <c r="A300" s="70"/>
      <c r="B300" s="70"/>
      <c r="C300" s="70"/>
      <c r="D300" s="70"/>
      <c r="E300" s="70"/>
      <c r="F300" s="70"/>
      <c r="G300" s="70"/>
      <c r="H300" s="70"/>
      <c r="I300" s="70"/>
      <c r="J300" s="70"/>
      <c r="K300" s="70"/>
      <c r="L300" s="70"/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  <c r="Y300" s="70"/>
      <c r="Z300" s="70"/>
    </row>
    <row r="301" customFormat="false" ht="12.75" hidden="false" customHeight="false" outlineLevel="1" collapsed="false">
      <c r="A301" s="395"/>
      <c r="B301" s="70"/>
      <c r="C301" s="70"/>
      <c r="D301" s="70"/>
      <c r="E301" s="70"/>
      <c r="F301" s="70"/>
      <c r="G301" s="70"/>
      <c r="H301" s="70"/>
      <c r="I301" s="70"/>
      <c r="J301" s="70"/>
      <c r="K301" s="70"/>
      <c r="L301" s="70"/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  <c r="Y301" s="70"/>
      <c r="Z301" s="70"/>
    </row>
    <row r="302" customFormat="false" ht="12.75" hidden="false" customHeight="false" outlineLevel="1" collapsed="false">
      <c r="A302" s="395"/>
      <c r="B302" s="70"/>
      <c r="C302" s="70"/>
      <c r="D302" s="70"/>
      <c r="E302" s="70"/>
      <c r="F302" s="70"/>
      <c r="G302" s="70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  <c r="Y302" s="70"/>
      <c r="Z302" s="70"/>
    </row>
    <row r="303" customFormat="false" ht="12.75" hidden="false" customHeight="false" outlineLevel="1" collapsed="false">
      <c r="A303" s="70"/>
      <c r="B303" s="70"/>
      <c r="C303" s="70"/>
      <c r="D303" s="70"/>
      <c r="E303" s="70"/>
      <c r="F303" s="70"/>
      <c r="G303" s="70"/>
      <c r="H303" s="70"/>
      <c r="I303" s="70"/>
      <c r="J303" s="70"/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  <c r="Y303" s="70"/>
      <c r="Z303" s="70"/>
    </row>
    <row r="304" customFormat="false" ht="12.75" hidden="false" customHeight="false" outlineLevel="1" collapsed="false">
      <c r="A304" s="70"/>
      <c r="B304" s="70"/>
      <c r="C304" s="70"/>
      <c r="D304" s="70"/>
      <c r="E304" s="70"/>
      <c r="F304" s="70"/>
      <c r="G304" s="70"/>
      <c r="H304" s="686"/>
      <c r="I304" s="686"/>
      <c r="J304" s="686"/>
      <c r="K304" s="686"/>
      <c r="L304" s="686"/>
      <c r="M304" s="686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  <c r="Z304" s="70"/>
    </row>
    <row r="305" customFormat="false" ht="12.75" hidden="false" customHeight="false" outlineLevel="1" collapsed="false">
      <c r="A305" s="70"/>
      <c r="B305" s="70"/>
      <c r="C305" s="70"/>
      <c r="D305" s="70"/>
      <c r="E305" s="70"/>
      <c r="F305" s="70"/>
      <c r="G305" s="70"/>
      <c r="H305" s="399"/>
      <c r="I305" s="399"/>
      <c r="J305" s="399"/>
      <c r="K305" s="399"/>
      <c r="L305" s="399"/>
      <c r="M305" s="399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  <c r="Y305" s="70"/>
      <c r="Z305" s="70"/>
    </row>
    <row r="306" customFormat="false" ht="12.75" hidden="false" customHeight="false" outlineLevel="1" collapsed="false">
      <c r="A306" s="70"/>
      <c r="B306" s="70"/>
      <c r="C306" s="70"/>
      <c r="D306" s="70"/>
      <c r="E306" s="70"/>
      <c r="F306" s="70"/>
      <c r="G306" s="70"/>
      <c r="H306" s="699"/>
      <c r="I306" s="699"/>
      <c r="J306" s="699"/>
      <c r="K306" s="699"/>
      <c r="L306" s="699"/>
      <c r="M306" s="699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  <c r="Y306" s="70"/>
      <c r="Z306" s="70"/>
    </row>
    <row r="307" customFormat="false" ht="12.75" hidden="false" customHeight="false" outlineLevel="1" collapsed="false">
      <c r="A307" s="70"/>
      <c r="B307" s="70"/>
      <c r="C307" s="70"/>
      <c r="D307" s="70"/>
      <c r="E307" s="70"/>
      <c r="F307" s="70"/>
      <c r="G307" s="70"/>
      <c r="H307" s="686"/>
      <c r="I307" s="686"/>
      <c r="J307" s="686"/>
      <c r="K307" s="686"/>
      <c r="L307" s="686"/>
      <c r="M307" s="686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  <c r="Z307" s="70"/>
    </row>
    <row r="308" customFormat="false" ht="12.75" hidden="false" customHeight="false" outlineLevel="1" collapsed="false">
      <c r="A308" s="70"/>
      <c r="B308" s="70"/>
      <c r="C308" s="70"/>
      <c r="D308" s="70"/>
      <c r="E308" s="70"/>
      <c r="F308" s="70"/>
      <c r="G308" s="70"/>
      <c r="H308" s="699"/>
      <c r="I308" s="699"/>
      <c r="J308" s="699"/>
      <c r="K308" s="699"/>
      <c r="L308" s="699"/>
      <c r="M308" s="699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  <c r="Y308" s="70"/>
      <c r="Z308" s="70"/>
    </row>
    <row r="309" customFormat="false" ht="12.75" hidden="false" customHeight="false" outlineLevel="1" collapsed="false">
      <c r="A309" s="70"/>
      <c r="B309" s="70"/>
      <c r="C309" s="70"/>
      <c r="D309" s="70"/>
      <c r="E309" s="70"/>
      <c r="F309" s="70"/>
      <c r="G309" s="70"/>
      <c r="H309" s="700"/>
      <c r="I309" s="700"/>
      <c r="J309" s="700"/>
      <c r="K309" s="700"/>
      <c r="L309" s="700"/>
      <c r="M309" s="700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  <c r="Y309" s="70"/>
      <c r="Z309" s="70"/>
    </row>
    <row r="310" customFormat="false" ht="12.75" hidden="false" customHeight="false" outlineLevel="1" collapsed="false">
      <c r="A310" s="70"/>
      <c r="B310" s="70"/>
      <c r="C310" s="70"/>
      <c r="D310" s="70"/>
      <c r="E310" s="70"/>
      <c r="F310" s="70"/>
      <c r="G310" s="70"/>
      <c r="H310" s="700"/>
      <c r="I310" s="700"/>
      <c r="J310" s="700"/>
      <c r="K310" s="700"/>
      <c r="L310" s="700"/>
      <c r="M310" s="700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  <c r="Y310" s="70"/>
      <c r="Z310" s="70"/>
    </row>
    <row r="311" customFormat="false" ht="18.75" hidden="true" customHeight="false" outlineLevel="2" collapsed="false">
      <c r="A311" s="682"/>
      <c r="B311" s="70"/>
      <c r="C311" s="70"/>
      <c r="D311" s="70"/>
      <c r="E311" s="70"/>
      <c r="F311" s="70"/>
      <c r="G311" s="70"/>
      <c r="H311" s="700"/>
      <c r="I311" s="700"/>
      <c r="J311" s="700"/>
      <c r="K311" s="700"/>
      <c r="L311" s="700"/>
      <c r="M311" s="700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  <c r="Y311" s="70"/>
      <c r="Z311" s="70"/>
    </row>
    <row r="312" customFormat="false" ht="12.75" hidden="true" customHeight="false" outlineLevel="2" collapsed="false">
      <c r="A312" s="395"/>
      <c r="B312" s="70"/>
      <c r="C312" s="70"/>
      <c r="D312" s="70"/>
      <c r="E312" s="70"/>
      <c r="F312" s="70"/>
      <c r="G312" s="70"/>
      <c r="H312" s="700"/>
      <c r="I312" s="700"/>
      <c r="J312" s="700"/>
      <c r="K312" s="700"/>
      <c r="L312" s="700"/>
      <c r="M312" s="700"/>
      <c r="N312" s="70"/>
      <c r="O312" s="70"/>
      <c r="P312" s="70"/>
      <c r="Q312" s="70"/>
      <c r="R312" s="70"/>
      <c r="S312" s="70"/>
      <c r="T312" s="70"/>
      <c r="U312" s="70"/>
      <c r="V312" s="70"/>
      <c r="W312" s="70"/>
      <c r="X312" s="70"/>
      <c r="Y312" s="70"/>
      <c r="Z312" s="70"/>
    </row>
    <row r="313" customFormat="false" ht="12.75" hidden="true" customHeight="false" outlineLevel="2" collapsed="false">
      <c r="A313" s="70"/>
      <c r="B313" s="70"/>
      <c r="C313" s="70"/>
      <c r="D313" s="70"/>
      <c r="E313" s="70"/>
      <c r="F313" s="70"/>
      <c r="G313" s="70"/>
      <c r="H313" s="700"/>
      <c r="I313" s="700"/>
      <c r="J313" s="700"/>
      <c r="K313" s="700"/>
      <c r="L313" s="700"/>
      <c r="M313" s="700"/>
      <c r="N313" s="70"/>
      <c r="O313" s="70"/>
      <c r="P313" s="70"/>
      <c r="Q313" s="70"/>
      <c r="R313" s="70"/>
      <c r="S313" s="70"/>
      <c r="T313" s="70"/>
      <c r="U313" s="70"/>
      <c r="V313" s="70"/>
      <c r="W313" s="70"/>
      <c r="X313" s="70"/>
      <c r="Y313" s="70"/>
      <c r="Z313" s="70"/>
    </row>
    <row r="314" customFormat="false" ht="12.75" hidden="true" customHeight="false" outlineLevel="2" collapsed="false">
      <c r="A314" s="395"/>
      <c r="B314" s="321"/>
      <c r="C314" s="321"/>
      <c r="D314" s="321"/>
      <c r="E314" s="321"/>
      <c r="F314" s="474"/>
      <c r="G314" s="474"/>
      <c r="H314" s="474"/>
      <c r="I314" s="321"/>
      <c r="J314" s="321"/>
      <c r="K314" s="474"/>
      <c r="L314" s="474"/>
      <c r="M314" s="321"/>
      <c r="N314" s="474"/>
      <c r="O314" s="474"/>
      <c r="P314" s="474"/>
      <c r="Q314" s="321"/>
      <c r="R314" s="474"/>
      <c r="S314" s="474"/>
      <c r="T314" s="70"/>
      <c r="U314" s="70"/>
      <c r="V314" s="70"/>
      <c r="W314" s="70"/>
      <c r="X314" s="70"/>
      <c r="Y314" s="474"/>
      <c r="Z314" s="70"/>
    </row>
    <row r="315" customFormat="false" ht="12.75" hidden="true" customHeight="false" outlineLevel="2" collapsed="false">
      <c r="A315" s="395"/>
      <c r="B315" s="70"/>
      <c r="C315" s="70"/>
      <c r="D315" s="70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  <c r="Z315" s="70"/>
    </row>
    <row r="316" customFormat="false" ht="12.75" hidden="true" customHeight="false" outlineLevel="2" collapsed="false">
      <c r="A316" s="70"/>
      <c r="B316" s="70"/>
      <c r="C316" s="70"/>
      <c r="D316" s="70"/>
      <c r="E316" s="70"/>
      <c r="F316" s="70"/>
      <c r="G316" s="70"/>
      <c r="H316" s="70"/>
      <c r="I316" s="70"/>
      <c r="J316" s="70"/>
      <c r="K316" s="70"/>
      <c r="L316" s="70"/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  <c r="Y316" s="70"/>
      <c r="Z316" s="70"/>
    </row>
    <row r="317" customFormat="false" ht="12.75" hidden="true" customHeight="false" outlineLevel="2" collapsed="false">
      <c r="A317" s="70"/>
      <c r="B317" s="686"/>
      <c r="C317" s="686"/>
      <c r="D317" s="686"/>
      <c r="E317" s="686"/>
      <c r="F317" s="686"/>
      <c r="G317" s="686"/>
      <c r="H317" s="686"/>
      <c r="I317" s="686"/>
      <c r="J317" s="686"/>
      <c r="K317" s="686"/>
      <c r="L317" s="686"/>
      <c r="M317" s="686"/>
      <c r="N317" s="686"/>
      <c r="O317" s="686"/>
      <c r="P317" s="686"/>
      <c r="Q317" s="686"/>
      <c r="R317" s="686"/>
      <c r="S317" s="686"/>
      <c r="T317" s="70"/>
      <c r="U317" s="70"/>
      <c r="V317" s="70"/>
      <c r="W317" s="70"/>
      <c r="X317" s="70"/>
      <c r="Y317" s="686"/>
      <c r="Z317" s="70"/>
    </row>
    <row r="318" customFormat="false" ht="12.75" hidden="true" customHeight="false" outlineLevel="2" collapsed="false">
      <c r="A318" s="70"/>
      <c r="B318" s="70"/>
      <c r="C318" s="70"/>
      <c r="D318" s="70"/>
      <c r="E318" s="70"/>
      <c r="F318" s="70"/>
      <c r="G318" s="70"/>
      <c r="H318" s="70"/>
      <c r="I318" s="70"/>
      <c r="J318" s="70"/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  <c r="Y318" s="70"/>
      <c r="Z318" s="70"/>
    </row>
    <row r="319" customFormat="false" ht="12.75" hidden="true" customHeight="false" outlineLevel="2" collapsed="false">
      <c r="A319" s="70"/>
      <c r="B319" s="399"/>
      <c r="C319" s="399"/>
      <c r="D319" s="399"/>
      <c r="E319" s="399"/>
      <c r="F319" s="399"/>
      <c r="G319" s="399"/>
      <c r="H319" s="399"/>
      <c r="I319" s="686"/>
      <c r="J319" s="686"/>
      <c r="K319" s="686"/>
      <c r="L319" s="686"/>
      <c r="M319" s="686"/>
      <c r="N319" s="686"/>
      <c r="O319" s="686"/>
      <c r="P319" s="686"/>
      <c r="Q319" s="686"/>
      <c r="R319" s="686"/>
      <c r="S319" s="686"/>
      <c r="T319" s="70"/>
      <c r="U319" s="70"/>
      <c r="V319" s="70"/>
      <c r="W319" s="70"/>
      <c r="X319" s="70"/>
      <c r="Y319" s="686"/>
      <c r="Z319" s="70"/>
    </row>
    <row r="320" customFormat="false" ht="12.75" hidden="true" customHeight="false" outlineLevel="2" collapsed="false">
      <c r="A320" s="70"/>
      <c r="B320" s="70"/>
      <c r="C320" s="70"/>
      <c r="D320" s="70"/>
      <c r="E320" s="70"/>
      <c r="F320" s="70"/>
      <c r="G320" s="70"/>
      <c r="H320" s="70"/>
      <c r="I320" s="70"/>
      <c r="J320" s="70"/>
      <c r="K320" s="70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0"/>
      <c r="X320" s="70"/>
      <c r="Y320" s="70"/>
      <c r="Z320" s="70"/>
    </row>
    <row r="321" customFormat="false" ht="12.75" hidden="true" customHeight="false" outlineLevel="2" collapsed="false">
      <c r="A321" s="70"/>
      <c r="B321" s="686"/>
      <c r="C321" s="686"/>
      <c r="D321" s="686"/>
      <c r="E321" s="686"/>
      <c r="F321" s="686"/>
      <c r="G321" s="686"/>
      <c r="H321" s="686"/>
      <c r="I321" s="686"/>
      <c r="J321" s="686"/>
      <c r="K321" s="686"/>
      <c r="L321" s="686"/>
      <c r="M321" s="686"/>
      <c r="N321" s="686"/>
      <c r="O321" s="686"/>
      <c r="P321" s="686"/>
      <c r="Q321" s="686"/>
      <c r="R321" s="686"/>
      <c r="S321" s="686"/>
      <c r="T321" s="70"/>
      <c r="U321" s="70"/>
      <c r="V321" s="70"/>
      <c r="W321" s="70"/>
      <c r="X321" s="70"/>
      <c r="Y321" s="686"/>
      <c r="Z321" s="686"/>
      <c r="AA321" s="686"/>
      <c r="AB321" s="686"/>
      <c r="AC321" s="686"/>
      <c r="AD321" s="686"/>
      <c r="AE321" s="686"/>
    </row>
    <row r="322" customFormat="false" ht="12.75" hidden="true" customHeight="false" outlineLevel="2" collapsed="false">
      <c r="A322" s="70"/>
      <c r="B322" s="70"/>
      <c r="C322" s="70"/>
      <c r="D322" s="70"/>
      <c r="E322" s="70"/>
      <c r="F322" s="70"/>
      <c r="G322" s="70"/>
      <c r="H322" s="70"/>
      <c r="I322" s="70"/>
      <c r="J322" s="70"/>
      <c r="K322" s="70"/>
      <c r="L322" s="70"/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  <c r="Y322" s="70"/>
      <c r="Z322" s="70"/>
    </row>
    <row r="323" customFormat="false" ht="12.75" hidden="true" customHeight="false" outlineLevel="2" collapsed="false">
      <c r="A323" s="70"/>
      <c r="B323" s="686"/>
      <c r="C323" s="686"/>
      <c r="D323" s="686"/>
      <c r="E323" s="686"/>
      <c r="F323" s="686"/>
      <c r="G323" s="686"/>
      <c r="H323" s="686"/>
      <c r="I323" s="686"/>
      <c r="J323" s="686"/>
      <c r="K323" s="686"/>
      <c r="L323" s="686"/>
      <c r="M323" s="686"/>
      <c r="N323" s="686"/>
      <c r="O323" s="686"/>
      <c r="P323" s="686"/>
      <c r="Q323" s="686"/>
      <c r="R323" s="686"/>
      <c r="S323" s="686"/>
      <c r="T323" s="70"/>
      <c r="U323" s="70"/>
      <c r="V323" s="70"/>
      <c r="W323" s="70"/>
      <c r="X323" s="70"/>
      <c r="Y323" s="686"/>
      <c r="Z323" s="70"/>
    </row>
    <row r="324" customFormat="false" ht="12.75" hidden="true" customHeight="false" outlineLevel="2" collapsed="false">
      <c r="A324" s="70"/>
      <c r="B324" s="70"/>
      <c r="C324" s="70"/>
      <c r="D324" s="70"/>
      <c r="E324" s="70"/>
      <c r="F324" s="70"/>
      <c r="G324" s="70"/>
      <c r="H324" s="70"/>
      <c r="I324" s="70"/>
      <c r="J324" s="70"/>
      <c r="K324" s="70"/>
      <c r="L324" s="70"/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70"/>
      <c r="X324" s="70"/>
      <c r="Y324" s="70"/>
      <c r="Z324" s="70"/>
    </row>
    <row r="325" customFormat="false" ht="12.75" hidden="true" customHeight="false" outlineLevel="2" collapsed="false">
      <c r="A325" s="70"/>
      <c r="B325" s="686"/>
      <c r="C325" s="686"/>
      <c r="D325" s="686"/>
      <c r="E325" s="686"/>
      <c r="F325" s="686"/>
      <c r="G325" s="686"/>
      <c r="H325" s="686"/>
      <c r="I325" s="686"/>
      <c r="J325" s="686"/>
      <c r="K325" s="686"/>
      <c r="L325" s="686"/>
      <c r="M325" s="686"/>
      <c r="N325" s="686"/>
      <c r="O325" s="686"/>
      <c r="P325" s="686"/>
      <c r="Q325" s="686"/>
      <c r="R325" s="686"/>
      <c r="S325" s="686"/>
      <c r="T325" s="70"/>
      <c r="U325" s="70"/>
      <c r="V325" s="70"/>
      <c r="W325" s="70"/>
      <c r="X325" s="70"/>
      <c r="Y325" s="686"/>
      <c r="Z325" s="686"/>
    </row>
    <row r="326" customFormat="false" ht="12.75" hidden="true" customHeight="false" outlineLevel="2" collapsed="false">
      <c r="A326" s="70"/>
      <c r="B326" s="70"/>
      <c r="C326" s="70"/>
      <c r="D326" s="70"/>
      <c r="E326" s="70"/>
      <c r="F326" s="70"/>
      <c r="G326" s="70"/>
      <c r="H326" s="70"/>
      <c r="I326" s="70"/>
      <c r="J326" s="70"/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0"/>
      <c r="X326" s="70"/>
      <c r="Y326" s="70"/>
      <c r="Z326" s="70"/>
    </row>
    <row r="327" customFormat="false" ht="12.75" hidden="true" customHeight="false" outlineLevel="2" collapsed="false">
      <c r="A327" s="70"/>
      <c r="B327" s="686"/>
      <c r="C327" s="686"/>
      <c r="D327" s="686"/>
      <c r="E327" s="686"/>
      <c r="F327" s="686"/>
      <c r="G327" s="686"/>
      <c r="H327" s="686"/>
      <c r="I327" s="686"/>
      <c r="J327" s="686"/>
      <c r="K327" s="686"/>
      <c r="L327" s="686"/>
      <c r="M327" s="686"/>
      <c r="N327" s="686"/>
      <c r="O327" s="686"/>
      <c r="P327" s="686"/>
      <c r="Q327" s="686"/>
      <c r="R327" s="686"/>
      <c r="S327" s="686"/>
      <c r="T327" s="70"/>
      <c r="U327" s="70"/>
      <c r="V327" s="70"/>
      <c r="W327" s="70"/>
      <c r="X327" s="70"/>
      <c r="Y327" s="686"/>
      <c r="Z327" s="686"/>
    </row>
    <row r="328" customFormat="false" ht="12.75" hidden="true" customHeight="false" outlineLevel="2" collapsed="false">
      <c r="A328" s="70"/>
      <c r="B328" s="70"/>
      <c r="C328" s="70"/>
      <c r="D328" s="70"/>
      <c r="E328" s="70"/>
      <c r="F328" s="70"/>
      <c r="G328" s="70"/>
      <c r="H328" s="70"/>
      <c r="I328" s="70"/>
      <c r="J328" s="70"/>
      <c r="K328" s="70"/>
      <c r="L328" s="70"/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70"/>
      <c r="X328" s="70"/>
      <c r="Y328" s="70"/>
      <c r="Z328" s="70"/>
    </row>
    <row r="329" customFormat="false" ht="12.75" hidden="false" customHeight="false" outlineLevel="1" collapsed="true">
      <c r="A329" s="70"/>
      <c r="B329" s="70"/>
      <c r="C329" s="70"/>
      <c r="D329" s="70"/>
      <c r="E329" s="70"/>
      <c r="F329" s="70"/>
      <c r="G329" s="70"/>
      <c r="H329" s="70"/>
      <c r="I329" s="70"/>
      <c r="J329" s="70"/>
      <c r="K329" s="70"/>
      <c r="L329" s="70"/>
      <c r="M329" s="70"/>
      <c r="N329" s="70"/>
      <c r="O329" s="70"/>
      <c r="P329" s="70"/>
      <c r="Q329" s="70"/>
      <c r="R329" s="70"/>
      <c r="S329" s="70"/>
      <c r="T329" s="70"/>
      <c r="U329" s="70"/>
      <c r="V329" s="70"/>
      <c r="W329" s="70"/>
      <c r="X329" s="70"/>
      <c r="Y329" s="70"/>
      <c r="Z329" s="70"/>
    </row>
    <row r="330" customFormat="false" ht="12.75" hidden="false" customHeight="false" outlineLevel="1" collapsed="false">
      <c r="A330" s="70"/>
      <c r="B330" s="70"/>
      <c r="C330" s="70"/>
      <c r="D330" s="70"/>
      <c r="E330" s="70"/>
      <c r="F330" s="70"/>
      <c r="G330" s="70"/>
      <c r="H330" s="70"/>
      <c r="I330" s="70"/>
      <c r="J330" s="70"/>
      <c r="K330" s="70"/>
      <c r="L330" s="70"/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  <c r="Y330" s="70"/>
      <c r="Z330" s="70"/>
    </row>
    <row r="331" customFormat="false" ht="12.75" hidden="false" customHeight="false" outlineLevel="1" collapsed="false">
      <c r="A331" s="70"/>
      <c r="B331" s="70"/>
      <c r="C331" s="70"/>
      <c r="D331" s="70"/>
      <c r="E331" s="70"/>
      <c r="F331" s="70"/>
      <c r="G331" s="70"/>
      <c r="H331" s="70"/>
      <c r="I331" s="70"/>
      <c r="J331" s="70"/>
      <c r="K331" s="70"/>
      <c r="L331" s="70"/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70"/>
      <c r="X331" s="70"/>
      <c r="Y331" s="70"/>
      <c r="Z331" s="70"/>
    </row>
    <row r="332" customFormat="false" ht="18.75" hidden="false" customHeight="false" outlineLevel="1" collapsed="false">
      <c r="A332" s="683"/>
      <c r="B332" s="683"/>
      <c r="C332" s="683"/>
      <c r="D332" s="683"/>
      <c r="E332" s="70"/>
      <c r="F332" s="70"/>
      <c r="G332" s="70"/>
      <c r="H332" s="70"/>
      <c r="I332" s="70"/>
      <c r="J332" s="70"/>
      <c r="K332" s="70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0"/>
      <c r="X332" s="70"/>
      <c r="Y332" s="70"/>
      <c r="Z332" s="70"/>
    </row>
    <row r="333" customFormat="false" ht="12.75" hidden="false" customHeight="false" outlineLevel="1" collapsed="false">
      <c r="A333" s="395"/>
      <c r="B333" s="395"/>
      <c r="C333" s="395"/>
      <c r="D333" s="395"/>
      <c r="E333" s="70"/>
      <c r="F333" s="70"/>
      <c r="G333" s="70"/>
      <c r="H333" s="70"/>
      <c r="I333" s="70"/>
      <c r="J333" s="70"/>
      <c r="K333" s="70"/>
      <c r="L333" s="70"/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70"/>
      <c r="X333" s="70"/>
      <c r="Y333" s="70"/>
      <c r="Z333" s="70"/>
    </row>
    <row r="334" customFormat="false" ht="12.75" hidden="false" customHeight="false" outlineLevel="1" collapsed="false">
      <c r="A334" s="395"/>
      <c r="B334" s="684"/>
      <c r="C334" s="684"/>
      <c r="D334" s="684"/>
      <c r="E334" s="70"/>
      <c r="F334" s="70"/>
      <c r="G334" s="70"/>
      <c r="H334" s="70"/>
      <c r="I334" s="70"/>
      <c r="J334" s="70"/>
      <c r="K334" s="70"/>
      <c r="L334" s="70"/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70"/>
      <c r="X334" s="70"/>
      <c r="Y334" s="70"/>
      <c r="Z334" s="70"/>
    </row>
    <row r="335" customFormat="false" ht="12.75" hidden="false" customHeight="false" outlineLevel="1" collapsed="false">
      <c r="A335" s="70"/>
      <c r="B335" s="70"/>
      <c r="C335" s="70"/>
      <c r="D335" s="70"/>
      <c r="E335" s="70"/>
      <c r="F335" s="70"/>
      <c r="G335" s="70"/>
      <c r="H335" s="70"/>
      <c r="I335" s="70"/>
      <c r="J335" s="70"/>
      <c r="K335" s="70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0"/>
      <c r="X335" s="70"/>
      <c r="Y335" s="70"/>
      <c r="Z335" s="70"/>
    </row>
    <row r="336" customFormat="false" ht="12.75" hidden="false" customHeight="false" outlineLevel="1" collapsed="false">
      <c r="A336" s="322"/>
      <c r="B336" s="321"/>
      <c r="C336" s="321"/>
      <c r="D336" s="321"/>
      <c r="E336" s="321"/>
      <c r="F336" s="321"/>
      <c r="G336" s="321"/>
      <c r="H336" s="321"/>
      <c r="I336" s="321"/>
      <c r="J336" s="321"/>
      <c r="K336" s="321"/>
      <c r="L336" s="321"/>
      <c r="M336" s="321"/>
      <c r="N336" s="321"/>
      <c r="O336" s="321"/>
      <c r="P336" s="321"/>
      <c r="Q336" s="321"/>
      <c r="R336" s="321"/>
      <c r="S336" s="321"/>
      <c r="T336" s="321"/>
      <c r="U336" s="321"/>
      <c r="V336" s="321"/>
      <c r="W336" s="321"/>
      <c r="X336" s="321"/>
      <c r="Y336" s="321"/>
      <c r="Z336" s="321"/>
    </row>
    <row r="337" customFormat="false" ht="12.75" hidden="false" customHeight="false" outlineLevel="1" collapsed="false">
      <c r="A337" s="395"/>
      <c r="B337" s="395"/>
      <c r="C337" s="395"/>
      <c r="D337" s="395"/>
      <c r="E337" s="70"/>
      <c r="F337" s="70"/>
      <c r="G337" s="70"/>
      <c r="H337" s="70"/>
      <c r="I337" s="70"/>
      <c r="J337" s="70"/>
      <c r="K337" s="70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70"/>
      <c r="X337" s="70"/>
      <c r="Y337" s="70"/>
      <c r="Z337" s="70"/>
    </row>
    <row r="338" customFormat="false" ht="12.75" hidden="false" customHeight="false" outlineLevel="1" collapsed="false">
      <c r="A338" s="685"/>
      <c r="B338" s="395"/>
      <c r="C338" s="395"/>
      <c r="D338" s="395"/>
      <c r="E338" s="686"/>
      <c r="F338" s="686"/>
      <c r="G338" s="686"/>
      <c r="H338" s="686"/>
      <c r="I338" s="686"/>
      <c r="J338" s="686"/>
      <c r="K338" s="686"/>
      <c r="L338" s="686"/>
      <c r="M338" s="686"/>
      <c r="N338" s="686"/>
      <c r="O338" s="686"/>
      <c r="P338" s="686"/>
      <c r="Q338" s="686"/>
      <c r="R338" s="686"/>
      <c r="S338" s="686"/>
      <c r="T338" s="686"/>
      <c r="U338" s="686"/>
      <c r="V338" s="686"/>
      <c r="W338" s="686"/>
      <c r="X338" s="686"/>
      <c r="Y338" s="686"/>
      <c r="Z338" s="686"/>
    </row>
    <row r="339" customFormat="false" ht="12.75" hidden="false" customHeight="false" outlineLevel="1" collapsed="false">
      <c r="A339" s="685"/>
      <c r="B339" s="395"/>
      <c r="C339" s="395"/>
      <c r="D339" s="395"/>
      <c r="E339" s="686"/>
      <c r="F339" s="686"/>
      <c r="G339" s="686"/>
      <c r="H339" s="686"/>
      <c r="I339" s="686"/>
      <c r="J339" s="686"/>
      <c r="K339" s="686"/>
      <c r="L339" s="686"/>
      <c r="M339" s="686"/>
      <c r="N339" s="686"/>
      <c r="O339" s="686"/>
      <c r="P339" s="686"/>
      <c r="Q339" s="686"/>
      <c r="R339" s="686"/>
      <c r="S339" s="686"/>
      <c r="T339" s="686"/>
      <c r="U339" s="686"/>
      <c r="V339" s="686"/>
      <c r="W339" s="686"/>
      <c r="X339" s="686"/>
      <c r="Y339" s="686"/>
      <c r="Z339" s="686"/>
    </row>
    <row r="340" customFormat="false" ht="12.75" hidden="false" customHeight="false" outlineLevel="1" collapsed="false">
      <c r="A340" s="685"/>
      <c r="B340" s="685"/>
      <c r="C340" s="685"/>
      <c r="D340" s="685"/>
      <c r="E340" s="686"/>
      <c r="F340" s="686"/>
      <c r="G340" s="686"/>
      <c r="H340" s="686"/>
      <c r="I340" s="686"/>
      <c r="J340" s="686"/>
      <c r="K340" s="686"/>
      <c r="L340" s="686"/>
      <c r="M340" s="686"/>
      <c r="N340" s="686"/>
      <c r="O340" s="686"/>
      <c r="P340" s="686"/>
      <c r="Q340" s="686"/>
      <c r="R340" s="686"/>
      <c r="S340" s="686"/>
      <c r="T340" s="686"/>
      <c r="U340" s="686"/>
      <c r="V340" s="686"/>
      <c r="W340" s="686"/>
      <c r="X340" s="686"/>
      <c r="Y340" s="686"/>
      <c r="Z340" s="686"/>
    </row>
    <row r="341" customFormat="false" ht="12.75" hidden="false" customHeight="false" outlineLevel="1" collapsed="false">
      <c r="A341" s="685"/>
      <c r="B341" s="685"/>
      <c r="C341" s="685"/>
      <c r="D341" s="685"/>
      <c r="E341" s="686"/>
      <c r="F341" s="686"/>
      <c r="G341" s="686"/>
      <c r="H341" s="686"/>
      <c r="I341" s="686"/>
      <c r="J341" s="686"/>
      <c r="K341" s="686"/>
      <c r="L341" s="686"/>
      <c r="M341" s="686"/>
      <c r="N341" s="686"/>
      <c r="O341" s="686"/>
      <c r="P341" s="686"/>
      <c r="Q341" s="686"/>
      <c r="R341" s="686"/>
      <c r="S341" s="686"/>
      <c r="T341" s="686"/>
      <c r="U341" s="686"/>
      <c r="V341" s="686"/>
      <c r="W341" s="686"/>
      <c r="X341" s="686"/>
      <c r="Y341" s="686"/>
      <c r="Z341" s="686"/>
    </row>
    <row r="342" customFormat="false" ht="12.75" hidden="false" customHeight="false" outlineLevel="1" collapsed="false">
      <c r="A342" s="685"/>
      <c r="B342" s="322"/>
      <c r="C342" s="322"/>
      <c r="D342" s="322"/>
      <c r="E342" s="686"/>
      <c r="F342" s="686"/>
      <c r="G342" s="686"/>
      <c r="H342" s="686"/>
      <c r="I342" s="686"/>
      <c r="J342" s="686"/>
      <c r="K342" s="686"/>
      <c r="L342" s="686"/>
      <c r="M342" s="686"/>
      <c r="N342" s="686"/>
      <c r="O342" s="686"/>
      <c r="P342" s="686"/>
      <c r="Q342" s="686"/>
      <c r="R342" s="686"/>
      <c r="S342" s="686"/>
      <c r="T342" s="686"/>
      <c r="U342" s="686"/>
      <c r="V342" s="686"/>
      <c r="W342" s="686"/>
      <c r="X342" s="686"/>
      <c r="Y342" s="686"/>
      <c r="Z342" s="686"/>
    </row>
    <row r="343" customFormat="false" ht="12.75" hidden="false" customHeight="false" outlineLevel="1" collapsed="false">
      <c r="A343" s="70"/>
      <c r="B343" s="70"/>
      <c r="C343" s="70"/>
      <c r="D343" s="70"/>
      <c r="E343" s="686"/>
      <c r="F343" s="686"/>
      <c r="G343" s="686"/>
      <c r="H343" s="686"/>
      <c r="I343" s="686"/>
      <c r="J343" s="686"/>
      <c r="K343" s="686"/>
      <c r="L343" s="686"/>
      <c r="M343" s="686"/>
      <c r="N343" s="686"/>
      <c r="O343" s="686"/>
      <c r="P343" s="686"/>
      <c r="Q343" s="686"/>
      <c r="R343" s="686"/>
      <c r="S343" s="686"/>
      <c r="T343" s="686"/>
      <c r="U343" s="686"/>
      <c r="V343" s="686"/>
      <c r="W343" s="686"/>
      <c r="X343" s="686"/>
      <c r="Y343" s="686"/>
      <c r="Z343" s="686"/>
    </row>
    <row r="344" customFormat="false" ht="12.75" hidden="false" customHeight="false" outlineLevel="1" collapsed="false">
      <c r="A344" s="395"/>
      <c r="B344" s="395"/>
      <c r="C344" s="395"/>
      <c r="D344" s="395"/>
      <c r="E344" s="686"/>
      <c r="F344" s="686"/>
      <c r="G344" s="686"/>
      <c r="H344" s="686"/>
      <c r="I344" s="686"/>
      <c r="J344" s="686"/>
      <c r="K344" s="686"/>
      <c r="L344" s="686"/>
      <c r="M344" s="686"/>
      <c r="N344" s="686"/>
      <c r="O344" s="686"/>
      <c r="P344" s="686"/>
      <c r="Q344" s="686"/>
      <c r="R344" s="686"/>
      <c r="S344" s="686"/>
      <c r="T344" s="686"/>
      <c r="U344" s="686"/>
      <c r="V344" s="686"/>
      <c r="W344" s="686"/>
      <c r="X344" s="686"/>
      <c r="Y344" s="686"/>
      <c r="Z344" s="686"/>
    </row>
    <row r="345" customFormat="false" ht="12.75" hidden="false" customHeight="false" outlineLevel="1" collapsed="false">
      <c r="A345" s="685"/>
      <c r="B345" s="395"/>
      <c r="C345" s="395"/>
      <c r="D345" s="395"/>
      <c r="E345" s="686"/>
      <c r="F345" s="686"/>
      <c r="G345" s="686"/>
      <c r="H345" s="686"/>
      <c r="I345" s="686"/>
      <c r="J345" s="686"/>
      <c r="K345" s="686"/>
      <c r="L345" s="686"/>
      <c r="M345" s="686"/>
      <c r="N345" s="686"/>
      <c r="O345" s="686"/>
      <c r="P345" s="686"/>
      <c r="Q345" s="686"/>
      <c r="R345" s="686"/>
      <c r="S345" s="686"/>
      <c r="T345" s="686"/>
      <c r="U345" s="686"/>
      <c r="V345" s="686"/>
      <c r="W345" s="686"/>
      <c r="X345" s="686"/>
      <c r="Y345" s="686"/>
      <c r="Z345" s="686"/>
    </row>
    <row r="346" customFormat="false" ht="12.75" hidden="false" customHeight="false" outlineLevel="1" collapsed="false">
      <c r="A346" s="685"/>
      <c r="B346" s="395"/>
      <c r="C346" s="395"/>
      <c r="D346" s="395"/>
      <c r="E346" s="686"/>
      <c r="F346" s="686"/>
      <c r="G346" s="686"/>
      <c r="H346" s="686"/>
      <c r="I346" s="686"/>
      <c r="J346" s="686"/>
      <c r="K346" s="686"/>
      <c r="L346" s="686"/>
      <c r="M346" s="686"/>
      <c r="N346" s="686"/>
      <c r="O346" s="686"/>
      <c r="P346" s="686"/>
      <c r="Q346" s="686"/>
      <c r="R346" s="686"/>
      <c r="S346" s="686"/>
      <c r="T346" s="686"/>
      <c r="U346" s="686"/>
      <c r="V346" s="686"/>
      <c r="W346" s="686"/>
      <c r="X346" s="686"/>
      <c r="Y346" s="686"/>
      <c r="Z346" s="686"/>
    </row>
    <row r="347" customFormat="false" ht="12.75" hidden="false" customHeight="false" outlineLevel="1" collapsed="false">
      <c r="A347" s="685"/>
      <c r="B347" s="395"/>
      <c r="C347" s="395"/>
      <c r="D347" s="395"/>
      <c r="E347" s="686"/>
      <c r="F347" s="686"/>
      <c r="G347" s="686"/>
      <c r="H347" s="686"/>
      <c r="I347" s="686"/>
      <c r="J347" s="686"/>
      <c r="K347" s="686"/>
      <c r="L347" s="686"/>
      <c r="M347" s="686"/>
      <c r="N347" s="686"/>
      <c r="O347" s="686"/>
      <c r="P347" s="686"/>
      <c r="Q347" s="686"/>
      <c r="R347" s="686"/>
      <c r="S347" s="686"/>
      <c r="T347" s="686"/>
      <c r="U347" s="686"/>
      <c r="V347" s="686"/>
      <c r="W347" s="686"/>
      <c r="X347" s="686"/>
      <c r="Y347" s="686"/>
      <c r="Z347" s="686"/>
    </row>
    <row r="348" customFormat="false" ht="12.75" hidden="false" customHeight="false" outlineLevel="1" collapsed="false">
      <c r="A348" s="685"/>
      <c r="B348" s="395"/>
      <c r="C348" s="395"/>
      <c r="D348" s="395"/>
      <c r="E348" s="686"/>
      <c r="F348" s="686"/>
      <c r="G348" s="686"/>
      <c r="H348" s="686"/>
      <c r="I348" s="686"/>
      <c r="J348" s="686"/>
      <c r="K348" s="686"/>
      <c r="L348" s="686"/>
      <c r="M348" s="686"/>
      <c r="N348" s="686"/>
      <c r="O348" s="686"/>
      <c r="P348" s="686"/>
      <c r="Q348" s="686"/>
      <c r="R348" s="686"/>
      <c r="S348" s="686"/>
      <c r="T348" s="686"/>
      <c r="U348" s="686"/>
      <c r="V348" s="686"/>
      <c r="W348" s="686"/>
      <c r="X348" s="686"/>
      <c r="Y348" s="686"/>
      <c r="Z348" s="686"/>
    </row>
    <row r="349" customFormat="false" ht="12.75" hidden="false" customHeight="false" outlineLevel="1" collapsed="false">
      <c r="A349" s="685"/>
      <c r="B349" s="395"/>
      <c r="C349" s="395"/>
      <c r="D349" s="395"/>
      <c r="E349" s="686"/>
      <c r="F349" s="686"/>
      <c r="G349" s="686"/>
      <c r="H349" s="686"/>
      <c r="I349" s="686"/>
      <c r="J349" s="686"/>
      <c r="K349" s="686"/>
      <c r="L349" s="686"/>
      <c r="M349" s="686"/>
      <c r="N349" s="686"/>
      <c r="O349" s="686"/>
      <c r="P349" s="686"/>
      <c r="Q349" s="686"/>
      <c r="R349" s="686"/>
      <c r="S349" s="686"/>
      <c r="T349" s="686"/>
      <c r="U349" s="686"/>
      <c r="V349" s="686"/>
      <c r="W349" s="686"/>
      <c r="X349" s="686"/>
      <c r="Y349" s="686"/>
      <c r="Z349" s="686"/>
    </row>
    <row r="350" customFormat="false" ht="12.75" hidden="false" customHeight="false" outlineLevel="1" collapsed="false">
      <c r="A350" s="685"/>
      <c r="B350" s="395"/>
      <c r="C350" s="395"/>
      <c r="D350" s="395"/>
      <c r="E350" s="686"/>
      <c r="F350" s="686"/>
      <c r="G350" s="686"/>
      <c r="H350" s="686"/>
      <c r="I350" s="686"/>
      <c r="J350" s="686"/>
      <c r="K350" s="686"/>
      <c r="L350" s="686"/>
      <c r="M350" s="686"/>
      <c r="N350" s="686"/>
      <c r="O350" s="686"/>
      <c r="P350" s="686"/>
      <c r="Q350" s="686"/>
      <c r="R350" s="686"/>
      <c r="S350" s="686"/>
      <c r="T350" s="686"/>
      <c r="U350" s="686"/>
      <c r="V350" s="686"/>
      <c r="W350" s="686"/>
      <c r="X350" s="686"/>
      <c r="Y350" s="686"/>
      <c r="Z350" s="686"/>
    </row>
    <row r="351" customFormat="false" ht="12.75" hidden="false" customHeight="false" outlineLevel="1" collapsed="false">
      <c r="A351" s="685"/>
      <c r="B351" s="395"/>
      <c r="C351" s="395"/>
      <c r="D351" s="395"/>
      <c r="E351" s="686"/>
      <c r="F351" s="686"/>
      <c r="G351" s="686"/>
      <c r="H351" s="686"/>
      <c r="I351" s="686"/>
      <c r="J351" s="686"/>
      <c r="K351" s="686"/>
      <c r="L351" s="686"/>
      <c r="M351" s="686"/>
      <c r="N351" s="686"/>
      <c r="O351" s="686"/>
      <c r="P351" s="686"/>
      <c r="Q351" s="686"/>
      <c r="R351" s="686"/>
      <c r="S351" s="686"/>
      <c r="T351" s="686"/>
      <c r="U351" s="686"/>
      <c r="V351" s="686"/>
      <c r="W351" s="686"/>
      <c r="X351" s="686"/>
      <c r="Y351" s="686"/>
      <c r="Z351" s="686"/>
    </row>
    <row r="352" customFormat="false" ht="12.75" hidden="false" customHeight="false" outlineLevel="1" collapsed="false">
      <c r="A352" s="685"/>
      <c r="B352" s="395"/>
      <c r="C352" s="395"/>
      <c r="D352" s="395"/>
      <c r="E352" s="686"/>
      <c r="F352" s="686"/>
      <c r="G352" s="686"/>
      <c r="H352" s="686"/>
      <c r="I352" s="686"/>
      <c r="J352" s="686"/>
      <c r="K352" s="686"/>
      <c r="L352" s="686"/>
      <c r="M352" s="686"/>
      <c r="N352" s="686"/>
      <c r="O352" s="686"/>
      <c r="P352" s="686"/>
      <c r="Q352" s="686"/>
      <c r="R352" s="686"/>
      <c r="S352" s="686"/>
      <c r="T352" s="686"/>
      <c r="U352" s="686"/>
      <c r="V352" s="686"/>
      <c r="W352" s="686"/>
      <c r="X352" s="686"/>
      <c r="Y352" s="686"/>
      <c r="Z352" s="686"/>
    </row>
    <row r="353" customFormat="false" ht="12.75" hidden="false" customHeight="false" outlineLevel="1" collapsed="false">
      <c r="A353" s="685"/>
      <c r="B353" s="395"/>
      <c r="C353" s="395"/>
      <c r="D353" s="395"/>
      <c r="E353" s="686"/>
      <c r="F353" s="686"/>
      <c r="G353" s="686"/>
      <c r="H353" s="686"/>
      <c r="I353" s="686"/>
      <c r="J353" s="686"/>
      <c r="K353" s="686"/>
      <c r="L353" s="686"/>
      <c r="M353" s="686"/>
      <c r="N353" s="686"/>
      <c r="O353" s="686"/>
      <c r="P353" s="686"/>
      <c r="Q353" s="686"/>
      <c r="R353" s="686"/>
      <c r="S353" s="686"/>
      <c r="T353" s="686"/>
      <c r="U353" s="686"/>
      <c r="V353" s="686"/>
      <c r="W353" s="686"/>
      <c r="X353" s="686"/>
      <c r="Y353" s="686"/>
      <c r="Z353" s="686"/>
    </row>
    <row r="354" customFormat="false" ht="12.75" hidden="false" customHeight="false" outlineLevel="1" collapsed="false">
      <c r="A354" s="685"/>
      <c r="B354" s="685"/>
      <c r="C354" s="685"/>
      <c r="D354" s="685"/>
      <c r="E354" s="686"/>
      <c r="F354" s="686"/>
      <c r="G354" s="686"/>
      <c r="H354" s="686"/>
      <c r="I354" s="686"/>
      <c r="J354" s="686"/>
      <c r="K354" s="686"/>
      <c r="L354" s="686"/>
      <c r="M354" s="686"/>
      <c r="N354" s="686"/>
      <c r="O354" s="686"/>
      <c r="P354" s="686"/>
      <c r="Q354" s="686"/>
      <c r="R354" s="686"/>
      <c r="S354" s="686"/>
      <c r="T354" s="686"/>
      <c r="U354" s="686"/>
      <c r="V354" s="686"/>
      <c r="W354" s="686"/>
      <c r="X354" s="686"/>
      <c r="Y354" s="686"/>
      <c r="Z354" s="686"/>
    </row>
    <row r="355" customFormat="false" ht="12.75" hidden="false" customHeight="false" outlineLevel="1" collapsed="false">
      <c r="A355" s="685"/>
      <c r="B355" s="685"/>
      <c r="C355" s="685"/>
      <c r="D355" s="685"/>
      <c r="E355" s="686"/>
      <c r="F355" s="686"/>
      <c r="G355" s="686"/>
      <c r="H355" s="686"/>
      <c r="I355" s="686"/>
      <c r="J355" s="686"/>
      <c r="K355" s="686"/>
      <c r="L355" s="686"/>
      <c r="M355" s="686"/>
      <c r="N355" s="686"/>
      <c r="O355" s="686"/>
      <c r="P355" s="686"/>
      <c r="Q355" s="686"/>
      <c r="R355" s="686"/>
      <c r="S355" s="686"/>
      <c r="T355" s="686"/>
      <c r="U355" s="686"/>
      <c r="V355" s="686"/>
      <c r="W355" s="686"/>
      <c r="X355" s="686"/>
      <c r="Y355" s="686"/>
      <c r="Z355" s="686"/>
    </row>
    <row r="356" customFormat="false" ht="12.75" hidden="false" customHeight="false" outlineLevel="1" collapsed="false">
      <c r="A356" s="395"/>
      <c r="B356" s="395"/>
      <c r="C356" s="395"/>
      <c r="D356" s="395"/>
      <c r="E356" s="686"/>
      <c r="F356" s="686"/>
      <c r="G356" s="686"/>
      <c r="H356" s="686"/>
      <c r="I356" s="686"/>
      <c r="J356" s="686"/>
      <c r="K356" s="686"/>
      <c r="L356" s="686"/>
      <c r="M356" s="686"/>
      <c r="N356" s="686"/>
      <c r="O356" s="686"/>
      <c r="P356" s="686"/>
      <c r="Q356" s="686"/>
      <c r="R356" s="686"/>
      <c r="S356" s="686"/>
      <c r="T356" s="686"/>
      <c r="U356" s="686"/>
      <c r="V356" s="686"/>
      <c r="W356" s="686"/>
      <c r="X356" s="686"/>
      <c r="Y356" s="686"/>
      <c r="Z356" s="686"/>
    </row>
    <row r="357" customFormat="false" ht="12.75" hidden="false" customHeight="false" outlineLevel="1" collapsed="false">
      <c r="A357" s="685"/>
      <c r="B357" s="685"/>
      <c r="C357" s="685"/>
      <c r="D357" s="685"/>
      <c r="E357" s="686"/>
      <c r="F357" s="686"/>
      <c r="G357" s="686"/>
      <c r="H357" s="686"/>
      <c r="I357" s="686"/>
      <c r="J357" s="686"/>
      <c r="K357" s="686"/>
      <c r="L357" s="686"/>
      <c r="M357" s="686"/>
      <c r="N357" s="686"/>
      <c r="O357" s="686"/>
      <c r="P357" s="686"/>
      <c r="Q357" s="686"/>
      <c r="R357" s="686"/>
      <c r="S357" s="686"/>
      <c r="T357" s="686"/>
      <c r="U357" s="686"/>
      <c r="V357" s="686"/>
      <c r="W357" s="686"/>
      <c r="X357" s="686"/>
      <c r="Y357" s="686"/>
      <c r="Z357" s="686"/>
    </row>
    <row r="358" customFormat="false" ht="12.75" hidden="false" customHeight="false" outlineLevel="1" collapsed="false">
      <c r="A358" s="395"/>
      <c r="B358" s="395"/>
      <c r="C358" s="395"/>
      <c r="D358" s="395"/>
      <c r="E358" s="686"/>
      <c r="F358" s="686"/>
      <c r="G358" s="686"/>
      <c r="H358" s="686"/>
      <c r="I358" s="686"/>
      <c r="J358" s="686"/>
      <c r="K358" s="686"/>
      <c r="L358" s="686"/>
      <c r="M358" s="686"/>
      <c r="N358" s="686"/>
      <c r="O358" s="686"/>
      <c r="P358" s="686"/>
      <c r="Q358" s="686"/>
      <c r="R358" s="686"/>
      <c r="S358" s="686"/>
      <c r="T358" s="686"/>
      <c r="U358" s="686"/>
      <c r="V358" s="686"/>
      <c r="W358" s="686"/>
      <c r="X358" s="686"/>
      <c r="Y358" s="686"/>
      <c r="Z358" s="686"/>
    </row>
    <row r="359" customFormat="false" ht="12.75" hidden="false" customHeight="false" outlineLevel="1" collapsed="false">
      <c r="A359" s="685"/>
      <c r="B359" s="687"/>
      <c r="C359" s="687"/>
      <c r="D359" s="687"/>
      <c r="E359" s="686"/>
      <c r="F359" s="686"/>
      <c r="G359" s="686"/>
      <c r="H359" s="686"/>
      <c r="I359" s="686"/>
      <c r="J359" s="686"/>
      <c r="K359" s="686"/>
      <c r="L359" s="686"/>
      <c r="M359" s="686"/>
      <c r="N359" s="686"/>
      <c r="O359" s="686"/>
      <c r="P359" s="686"/>
      <c r="Q359" s="686"/>
      <c r="R359" s="686"/>
      <c r="S359" s="686"/>
      <c r="T359" s="686"/>
      <c r="U359" s="686"/>
      <c r="V359" s="686"/>
      <c r="W359" s="686"/>
      <c r="X359" s="686"/>
      <c r="Y359" s="686"/>
      <c r="Z359" s="686"/>
    </row>
    <row r="360" customFormat="false" ht="12.75" hidden="false" customHeight="false" outlineLevel="1" collapsed="false">
      <c r="A360" s="395"/>
      <c r="B360" s="395"/>
      <c r="C360" s="395"/>
      <c r="D360" s="395"/>
      <c r="E360" s="686"/>
      <c r="F360" s="686"/>
      <c r="G360" s="686"/>
      <c r="H360" s="686"/>
      <c r="I360" s="686"/>
      <c r="J360" s="686"/>
      <c r="K360" s="686"/>
      <c r="L360" s="686"/>
      <c r="M360" s="686"/>
      <c r="N360" s="686"/>
      <c r="O360" s="686"/>
      <c r="P360" s="686"/>
      <c r="Q360" s="686"/>
      <c r="R360" s="686"/>
      <c r="S360" s="686"/>
      <c r="T360" s="686"/>
      <c r="U360" s="686"/>
      <c r="V360" s="686"/>
      <c r="W360" s="686"/>
      <c r="X360" s="686"/>
      <c r="Y360" s="686"/>
      <c r="Z360" s="686"/>
    </row>
    <row r="361" customFormat="false" ht="12.75" hidden="false" customHeight="false" outlineLevel="1" collapsed="false">
      <c r="A361" s="70"/>
      <c r="B361" s="70"/>
      <c r="C361" s="70"/>
      <c r="D361" s="70"/>
      <c r="E361" s="686"/>
      <c r="F361" s="686"/>
      <c r="G361" s="686"/>
      <c r="H361" s="686"/>
      <c r="I361" s="686"/>
      <c r="J361" s="686"/>
      <c r="K361" s="686"/>
      <c r="L361" s="686"/>
      <c r="M361" s="686"/>
      <c r="N361" s="686"/>
      <c r="O361" s="686"/>
      <c r="P361" s="686"/>
      <c r="Q361" s="686"/>
      <c r="R361" s="686"/>
      <c r="S361" s="686"/>
      <c r="T361" s="686"/>
      <c r="U361" s="686"/>
      <c r="V361" s="686"/>
      <c r="W361" s="686"/>
      <c r="X361" s="686"/>
      <c r="Y361" s="686"/>
      <c r="Z361" s="686"/>
    </row>
    <row r="362" customFormat="false" ht="12.75" hidden="false" customHeight="false" outlineLevel="1" collapsed="false">
      <c r="A362" s="395"/>
      <c r="B362" s="395"/>
      <c r="C362" s="395"/>
      <c r="D362" s="395"/>
      <c r="E362" s="686"/>
      <c r="F362" s="686"/>
      <c r="G362" s="686"/>
      <c r="H362" s="686"/>
      <c r="I362" s="686"/>
      <c r="J362" s="686"/>
      <c r="K362" s="686"/>
      <c r="L362" s="686"/>
      <c r="M362" s="686"/>
      <c r="N362" s="686"/>
      <c r="O362" s="686"/>
      <c r="P362" s="686"/>
      <c r="Q362" s="686"/>
      <c r="R362" s="686"/>
      <c r="S362" s="686"/>
      <c r="T362" s="686"/>
      <c r="U362" s="686"/>
      <c r="V362" s="686"/>
      <c r="W362" s="686"/>
      <c r="X362" s="686"/>
      <c r="Y362" s="686"/>
      <c r="Z362" s="686"/>
    </row>
    <row r="363" customFormat="false" ht="12.75" hidden="false" customHeight="false" outlineLevel="1" collapsed="false">
      <c r="A363" s="685"/>
      <c r="B363" s="685"/>
      <c r="C363" s="685"/>
      <c r="D363" s="685"/>
      <c r="E363" s="686"/>
      <c r="F363" s="686"/>
      <c r="G363" s="686"/>
      <c r="H363" s="686"/>
      <c r="I363" s="686"/>
      <c r="J363" s="686"/>
      <c r="K363" s="686"/>
      <c r="L363" s="686"/>
      <c r="M363" s="686"/>
      <c r="N363" s="686"/>
      <c r="O363" s="686"/>
      <c r="P363" s="686"/>
      <c r="Q363" s="686"/>
      <c r="R363" s="686"/>
      <c r="S363" s="686"/>
      <c r="T363" s="686"/>
      <c r="U363" s="686"/>
      <c r="V363" s="686"/>
      <c r="W363" s="686"/>
      <c r="X363" s="686"/>
      <c r="Y363" s="686"/>
      <c r="Z363" s="686"/>
    </row>
    <row r="364" customFormat="false" ht="12.75" hidden="false" customHeight="false" outlineLevel="1" collapsed="false">
      <c r="A364" s="685"/>
      <c r="B364" s="685"/>
      <c r="C364" s="685"/>
      <c r="D364" s="685"/>
      <c r="E364" s="686"/>
      <c r="F364" s="686"/>
      <c r="G364" s="686"/>
      <c r="H364" s="686"/>
      <c r="I364" s="686"/>
      <c r="J364" s="686"/>
      <c r="K364" s="686"/>
      <c r="L364" s="686"/>
      <c r="M364" s="686"/>
      <c r="N364" s="686"/>
      <c r="O364" s="686"/>
      <c r="P364" s="686"/>
      <c r="Q364" s="686"/>
      <c r="R364" s="686"/>
      <c r="S364" s="686"/>
      <c r="T364" s="686"/>
      <c r="U364" s="686"/>
      <c r="V364" s="686"/>
      <c r="W364" s="686"/>
      <c r="X364" s="686"/>
      <c r="Y364" s="686"/>
      <c r="Z364" s="686"/>
    </row>
    <row r="365" customFormat="false" ht="12.75" hidden="false" customHeight="false" outlineLevel="1" collapsed="false">
      <c r="A365" s="685"/>
      <c r="B365" s="685"/>
      <c r="C365" s="685"/>
      <c r="D365" s="685"/>
      <c r="E365" s="686"/>
      <c r="F365" s="686"/>
      <c r="G365" s="686"/>
      <c r="H365" s="686"/>
      <c r="I365" s="686"/>
      <c r="J365" s="686"/>
      <c r="K365" s="686"/>
      <c r="L365" s="686"/>
      <c r="M365" s="686"/>
      <c r="N365" s="686"/>
      <c r="O365" s="686"/>
      <c r="P365" s="686"/>
      <c r="Q365" s="686"/>
      <c r="R365" s="686"/>
      <c r="S365" s="686"/>
      <c r="T365" s="686"/>
      <c r="U365" s="686"/>
      <c r="V365" s="686"/>
      <c r="W365" s="686"/>
      <c r="X365" s="686"/>
      <c r="Y365" s="686"/>
      <c r="Z365" s="686"/>
    </row>
    <row r="366" customFormat="false" ht="12.75" hidden="false" customHeight="false" outlineLevel="1" collapsed="false">
      <c r="A366" s="685"/>
      <c r="B366" s="70"/>
      <c r="C366" s="70"/>
      <c r="D366" s="70"/>
      <c r="E366" s="686"/>
      <c r="F366" s="686"/>
      <c r="G366" s="686"/>
      <c r="H366" s="686"/>
      <c r="I366" s="686"/>
      <c r="J366" s="686"/>
      <c r="K366" s="686"/>
      <c r="L366" s="686"/>
      <c r="M366" s="686"/>
      <c r="N366" s="686"/>
      <c r="O366" s="686"/>
      <c r="P366" s="686"/>
      <c r="Q366" s="686"/>
      <c r="R366" s="686"/>
      <c r="S366" s="686"/>
      <c r="T366" s="686"/>
      <c r="U366" s="686"/>
      <c r="V366" s="686"/>
      <c r="W366" s="686"/>
      <c r="X366" s="686"/>
      <c r="Y366" s="686"/>
      <c r="Z366" s="686"/>
    </row>
    <row r="367" customFormat="false" ht="12.75" hidden="false" customHeight="false" outlineLevel="1" collapsed="false">
      <c r="A367" s="395"/>
      <c r="B367" s="395"/>
      <c r="C367" s="395"/>
      <c r="D367" s="395"/>
      <c r="E367" s="686"/>
      <c r="F367" s="686"/>
      <c r="G367" s="686"/>
      <c r="H367" s="686"/>
      <c r="I367" s="686"/>
      <c r="J367" s="686"/>
      <c r="K367" s="686"/>
      <c r="L367" s="686"/>
      <c r="M367" s="686"/>
      <c r="N367" s="686"/>
      <c r="O367" s="686"/>
      <c r="P367" s="686"/>
      <c r="Q367" s="686"/>
      <c r="R367" s="686"/>
      <c r="S367" s="686"/>
      <c r="T367" s="686"/>
      <c r="U367" s="686"/>
      <c r="V367" s="686"/>
      <c r="W367" s="686"/>
      <c r="X367" s="686"/>
      <c r="Y367" s="686"/>
      <c r="Z367" s="686"/>
    </row>
    <row r="368" customFormat="false" ht="12.75" hidden="false" customHeight="false" outlineLevel="1" collapsed="false">
      <c r="A368" s="395"/>
      <c r="B368" s="395"/>
      <c r="C368" s="395"/>
      <c r="D368" s="395"/>
      <c r="E368" s="686"/>
      <c r="F368" s="686"/>
      <c r="G368" s="686"/>
      <c r="H368" s="686"/>
      <c r="I368" s="686"/>
      <c r="J368" s="686"/>
      <c r="K368" s="686"/>
      <c r="L368" s="686"/>
      <c r="M368" s="686"/>
      <c r="N368" s="686"/>
      <c r="O368" s="686"/>
      <c r="P368" s="686"/>
      <c r="Q368" s="686"/>
      <c r="R368" s="686"/>
      <c r="S368" s="686"/>
      <c r="T368" s="686"/>
      <c r="U368" s="686"/>
      <c r="V368" s="686"/>
      <c r="W368" s="686"/>
      <c r="X368" s="686"/>
      <c r="Y368" s="686"/>
      <c r="Z368" s="686"/>
    </row>
    <row r="369" customFormat="false" ht="12.75" hidden="false" customHeight="false" outlineLevel="1" collapsed="false">
      <c r="A369" s="685"/>
      <c r="B369" s="395"/>
      <c r="C369" s="395"/>
      <c r="D369" s="395"/>
      <c r="E369" s="686"/>
      <c r="F369" s="686"/>
      <c r="G369" s="686"/>
      <c r="H369" s="686"/>
      <c r="I369" s="686"/>
      <c r="J369" s="686"/>
      <c r="K369" s="686"/>
      <c r="L369" s="686"/>
      <c r="M369" s="686"/>
      <c r="N369" s="686"/>
      <c r="O369" s="686"/>
      <c r="P369" s="686"/>
      <c r="Q369" s="686"/>
      <c r="R369" s="686"/>
      <c r="S369" s="686"/>
      <c r="T369" s="686"/>
      <c r="U369" s="686"/>
      <c r="V369" s="686"/>
      <c r="W369" s="686"/>
      <c r="X369" s="686"/>
      <c r="Y369" s="686"/>
      <c r="Z369" s="686"/>
    </row>
    <row r="370" customFormat="false" ht="12.75" hidden="false" customHeight="false" outlineLevel="1" collapsed="false">
      <c r="A370" s="685"/>
      <c r="B370" s="395"/>
      <c r="C370" s="395"/>
      <c r="D370" s="395"/>
      <c r="E370" s="686"/>
      <c r="F370" s="686"/>
      <c r="G370" s="686"/>
      <c r="H370" s="686"/>
      <c r="I370" s="686"/>
      <c r="J370" s="686"/>
      <c r="K370" s="686"/>
      <c r="L370" s="686"/>
      <c r="M370" s="686"/>
      <c r="N370" s="686"/>
      <c r="O370" s="686"/>
      <c r="P370" s="686"/>
      <c r="Q370" s="686"/>
      <c r="R370" s="686"/>
      <c r="S370" s="686"/>
      <c r="T370" s="686"/>
      <c r="U370" s="686"/>
      <c r="V370" s="686"/>
      <c r="W370" s="686"/>
      <c r="X370" s="686"/>
      <c r="Y370" s="686"/>
      <c r="Z370" s="686"/>
    </row>
    <row r="371" customFormat="false" ht="12.75" hidden="false" customHeight="false" outlineLevel="1" collapsed="false">
      <c r="A371" s="685"/>
      <c r="B371" s="395"/>
      <c r="C371" s="395"/>
      <c r="D371" s="395"/>
      <c r="E371" s="686"/>
      <c r="F371" s="686"/>
      <c r="G371" s="686"/>
      <c r="H371" s="686"/>
      <c r="I371" s="686"/>
      <c r="J371" s="686"/>
      <c r="K371" s="686"/>
      <c r="L371" s="686"/>
      <c r="M371" s="686"/>
      <c r="N371" s="686"/>
      <c r="O371" s="686"/>
      <c r="P371" s="686"/>
      <c r="Q371" s="686"/>
      <c r="R371" s="686"/>
      <c r="S371" s="686"/>
      <c r="T371" s="686"/>
      <c r="U371" s="686"/>
      <c r="V371" s="686"/>
      <c r="W371" s="686"/>
      <c r="X371" s="686"/>
      <c r="Y371" s="686"/>
      <c r="Z371" s="686"/>
    </row>
    <row r="372" customFormat="false" ht="12.75" hidden="false" customHeight="false" outlineLevel="1" collapsed="false">
      <c r="A372" s="685"/>
      <c r="B372" s="395"/>
      <c r="C372" s="395"/>
      <c r="D372" s="395"/>
      <c r="E372" s="686"/>
      <c r="F372" s="686"/>
      <c r="G372" s="686"/>
      <c r="H372" s="686"/>
      <c r="I372" s="686"/>
      <c r="J372" s="686"/>
      <c r="K372" s="686"/>
      <c r="L372" s="686"/>
      <c r="M372" s="686"/>
      <c r="N372" s="686"/>
      <c r="O372" s="686"/>
      <c r="P372" s="686"/>
      <c r="Q372" s="686"/>
      <c r="R372" s="686"/>
      <c r="S372" s="686"/>
      <c r="T372" s="686"/>
      <c r="U372" s="686"/>
      <c r="V372" s="686"/>
      <c r="W372" s="686"/>
      <c r="X372" s="686"/>
      <c r="Y372" s="686"/>
      <c r="Z372" s="686"/>
    </row>
    <row r="373" customFormat="false" ht="12.75" hidden="false" customHeight="false" outlineLevel="1" collapsed="false">
      <c r="A373" s="685"/>
      <c r="B373" s="395"/>
      <c r="C373" s="395"/>
      <c r="D373" s="395"/>
      <c r="E373" s="686"/>
      <c r="F373" s="686"/>
      <c r="G373" s="686"/>
      <c r="H373" s="686"/>
      <c r="I373" s="686"/>
      <c r="J373" s="686"/>
      <c r="K373" s="686"/>
      <c r="L373" s="686"/>
      <c r="M373" s="686"/>
      <c r="N373" s="686"/>
      <c r="O373" s="686"/>
      <c r="P373" s="686"/>
      <c r="Q373" s="686"/>
      <c r="R373" s="686"/>
      <c r="S373" s="686"/>
      <c r="T373" s="686"/>
      <c r="U373" s="686"/>
      <c r="V373" s="686"/>
      <c r="W373" s="686"/>
      <c r="X373" s="686"/>
      <c r="Y373" s="686"/>
      <c r="Z373" s="686"/>
    </row>
    <row r="374" customFormat="false" ht="12.75" hidden="false" customHeight="false" outlineLevel="1" collapsed="false">
      <c r="A374" s="322"/>
      <c r="B374" s="687"/>
      <c r="C374" s="687"/>
      <c r="D374" s="687"/>
      <c r="E374" s="686"/>
      <c r="F374" s="686"/>
      <c r="G374" s="686"/>
      <c r="H374" s="686"/>
      <c r="I374" s="686"/>
      <c r="J374" s="686"/>
      <c r="K374" s="686"/>
      <c r="L374" s="686"/>
      <c r="M374" s="686"/>
      <c r="N374" s="686"/>
      <c r="O374" s="686"/>
      <c r="P374" s="686"/>
      <c r="Q374" s="686"/>
      <c r="R374" s="686"/>
      <c r="S374" s="686"/>
      <c r="T374" s="686"/>
      <c r="U374" s="686"/>
      <c r="V374" s="686"/>
      <c r="W374" s="686"/>
      <c r="X374" s="686"/>
      <c r="Y374" s="686"/>
      <c r="Z374" s="686"/>
    </row>
    <row r="375" customFormat="false" ht="12.75" hidden="false" customHeight="false" outlineLevel="1" collapsed="false">
      <c r="A375" s="395"/>
      <c r="B375" s="395"/>
      <c r="C375" s="395"/>
      <c r="D375" s="395"/>
      <c r="E375" s="686"/>
      <c r="F375" s="686"/>
      <c r="G375" s="686"/>
      <c r="H375" s="686"/>
      <c r="I375" s="686"/>
      <c r="J375" s="686"/>
      <c r="K375" s="686"/>
      <c r="L375" s="686"/>
      <c r="M375" s="686"/>
      <c r="N375" s="686"/>
      <c r="O375" s="686"/>
      <c r="P375" s="686"/>
      <c r="Q375" s="686"/>
      <c r="R375" s="686"/>
      <c r="S375" s="686"/>
      <c r="T375" s="686"/>
      <c r="U375" s="686"/>
      <c r="V375" s="686"/>
      <c r="W375" s="686"/>
      <c r="X375" s="686"/>
      <c r="Y375" s="686"/>
      <c r="Z375" s="686"/>
    </row>
    <row r="376" customFormat="false" ht="12.75" hidden="false" customHeight="false" outlineLevel="1" collapsed="false">
      <c r="A376" s="70"/>
      <c r="B376" s="70"/>
      <c r="C376" s="70"/>
      <c r="D376" s="70"/>
      <c r="E376" s="686"/>
      <c r="F376" s="686"/>
      <c r="G376" s="686"/>
      <c r="H376" s="686"/>
      <c r="I376" s="686"/>
      <c r="J376" s="686"/>
      <c r="K376" s="686"/>
      <c r="L376" s="686"/>
      <c r="M376" s="686"/>
      <c r="N376" s="686"/>
      <c r="O376" s="686"/>
      <c r="P376" s="686"/>
      <c r="Q376" s="686"/>
      <c r="R376" s="686"/>
      <c r="S376" s="686"/>
      <c r="T376" s="686"/>
      <c r="U376" s="686"/>
      <c r="V376" s="686"/>
      <c r="W376" s="686"/>
      <c r="X376" s="686"/>
      <c r="Y376" s="686"/>
      <c r="Z376" s="686"/>
    </row>
    <row r="377" customFormat="false" ht="12.75" hidden="false" customHeight="false" outlineLevel="1" collapsed="false">
      <c r="A377" s="395"/>
      <c r="B377" s="684"/>
      <c r="C377" s="684"/>
      <c r="D377" s="684"/>
      <c r="E377" s="686"/>
      <c r="F377" s="686"/>
      <c r="G377" s="686"/>
      <c r="H377" s="686"/>
      <c r="I377" s="686"/>
      <c r="J377" s="686"/>
      <c r="K377" s="686"/>
      <c r="L377" s="686"/>
      <c r="M377" s="686"/>
      <c r="N377" s="686"/>
      <c r="O377" s="686"/>
      <c r="P377" s="686"/>
      <c r="Q377" s="686"/>
      <c r="R377" s="686"/>
      <c r="S377" s="686"/>
      <c r="T377" s="686"/>
      <c r="U377" s="686"/>
      <c r="V377" s="686"/>
      <c r="W377" s="686"/>
      <c r="X377" s="686"/>
      <c r="Y377" s="686"/>
      <c r="Z377" s="686"/>
    </row>
    <row r="378" customFormat="false" ht="12.75" hidden="false" customHeight="false" outlineLevel="1" collapsed="false">
      <c r="A378" s="395"/>
      <c r="B378" s="684"/>
      <c r="C378" s="684"/>
      <c r="D378" s="684"/>
      <c r="E378" s="686"/>
      <c r="F378" s="686"/>
      <c r="G378" s="686"/>
      <c r="H378" s="686"/>
      <c r="I378" s="686"/>
      <c r="J378" s="686"/>
      <c r="K378" s="686"/>
      <c r="L378" s="686"/>
      <c r="M378" s="686"/>
      <c r="N378" s="686"/>
      <c r="O378" s="686"/>
      <c r="P378" s="686"/>
      <c r="Q378" s="686"/>
      <c r="R378" s="686"/>
      <c r="S378" s="686"/>
      <c r="T378" s="686"/>
      <c r="U378" s="686"/>
      <c r="V378" s="686"/>
      <c r="W378" s="686"/>
      <c r="X378" s="686"/>
      <c r="Y378" s="686"/>
      <c r="Z378" s="686"/>
    </row>
    <row r="379" customFormat="false" ht="12.75" hidden="false" customHeight="false" outlineLevel="1" collapsed="false">
      <c r="A379" s="395"/>
      <c r="B379" s="684"/>
      <c r="C379" s="684"/>
      <c r="D379" s="684"/>
      <c r="E379" s="686"/>
      <c r="F379" s="686"/>
      <c r="G379" s="686"/>
      <c r="H379" s="686"/>
      <c r="I379" s="686"/>
      <c r="J379" s="686"/>
      <c r="K379" s="686"/>
      <c r="L379" s="686"/>
      <c r="M379" s="686"/>
      <c r="N379" s="686"/>
      <c r="O379" s="686"/>
      <c r="P379" s="686"/>
      <c r="Q379" s="686"/>
      <c r="R379" s="686"/>
      <c r="S379" s="686"/>
      <c r="T379" s="686"/>
      <c r="U379" s="686"/>
      <c r="V379" s="686"/>
      <c r="W379" s="686"/>
      <c r="X379" s="686"/>
      <c r="Y379" s="686"/>
      <c r="Z379" s="686"/>
    </row>
    <row r="380" customFormat="false" ht="12.75" hidden="false" customHeight="false" outlineLevel="1" collapsed="false">
      <c r="A380" s="70"/>
      <c r="B380" s="70"/>
      <c r="C380" s="70"/>
      <c r="D380" s="70"/>
      <c r="E380" s="70"/>
      <c r="F380" s="70"/>
      <c r="G380" s="70"/>
      <c r="H380" s="70"/>
      <c r="I380" s="70"/>
      <c r="J380" s="70"/>
      <c r="K380" s="70"/>
      <c r="L380" s="70"/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70"/>
      <c r="X380" s="70"/>
      <c r="Y380" s="70"/>
      <c r="Z380" s="70"/>
    </row>
    <row r="381" customFormat="false" ht="12.75" hidden="false" customHeight="false" outlineLevel="1" collapsed="false">
      <c r="A381" s="70"/>
      <c r="B381" s="70"/>
      <c r="C381" s="70"/>
      <c r="D381" s="70"/>
      <c r="E381" s="70"/>
      <c r="F381" s="70"/>
      <c r="G381" s="70"/>
      <c r="H381" s="70"/>
      <c r="I381" s="70"/>
      <c r="J381" s="70"/>
      <c r="K381" s="70"/>
      <c r="L381" s="70"/>
      <c r="M381" s="70"/>
      <c r="N381" s="70"/>
      <c r="O381" s="70"/>
      <c r="P381" s="70"/>
      <c r="Q381" s="70"/>
      <c r="R381" s="70"/>
      <c r="S381" s="70"/>
      <c r="T381" s="70"/>
      <c r="U381" s="70"/>
      <c r="V381" s="70"/>
      <c r="W381" s="70"/>
      <c r="X381" s="70"/>
      <c r="Y381" s="70"/>
      <c r="Z381" s="70"/>
    </row>
    <row r="382" customFormat="false" ht="18.75" hidden="false" customHeight="false" outlineLevel="1" collapsed="false">
      <c r="A382" s="683"/>
      <c r="B382" s="683"/>
      <c r="C382" s="683"/>
      <c r="D382" s="683"/>
      <c r="E382" s="70"/>
      <c r="F382" s="70"/>
      <c r="G382" s="70"/>
      <c r="H382" s="70"/>
      <c r="I382" s="70"/>
      <c r="J382" s="70"/>
      <c r="K382" s="70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  <c r="Y382" s="70"/>
      <c r="Z382" s="70"/>
    </row>
    <row r="383" customFormat="false" ht="12.75" hidden="false" customHeight="false" outlineLevel="1" collapsed="false">
      <c r="A383" s="395"/>
      <c r="B383" s="395"/>
      <c r="C383" s="395"/>
      <c r="D383" s="395"/>
      <c r="E383" s="70"/>
      <c r="F383" s="70"/>
      <c r="G383" s="70"/>
      <c r="H383" s="70"/>
      <c r="I383" s="70"/>
      <c r="J383" s="70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  <c r="Z383" s="70"/>
    </row>
    <row r="384" customFormat="false" ht="12.75" hidden="false" customHeight="false" outlineLevel="1" collapsed="false">
      <c r="A384" s="395"/>
      <c r="B384" s="684"/>
      <c r="C384" s="684"/>
      <c r="D384" s="684"/>
      <c r="E384" s="70"/>
      <c r="F384" s="70"/>
      <c r="G384" s="70"/>
      <c r="H384" s="70"/>
      <c r="I384" s="70"/>
      <c r="J384" s="70"/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  <c r="Z384" s="70"/>
    </row>
    <row r="385" customFormat="false" ht="12.75" hidden="false" customHeight="false" outlineLevel="1" collapsed="false">
      <c r="A385" s="70"/>
      <c r="B385" s="70"/>
      <c r="C385" s="70"/>
      <c r="D385" s="70"/>
      <c r="E385" s="70"/>
      <c r="F385" s="70"/>
      <c r="G385" s="70"/>
      <c r="H385" s="70"/>
      <c r="I385" s="70"/>
      <c r="J385" s="70"/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  <c r="Z385" s="70"/>
    </row>
    <row r="386" customFormat="false" ht="12.75" hidden="false" customHeight="false" outlineLevel="1" collapsed="false">
      <c r="A386" s="322"/>
      <c r="B386" s="321"/>
      <c r="C386" s="321"/>
      <c r="D386" s="321"/>
      <c r="E386" s="321"/>
      <c r="F386" s="321"/>
      <c r="G386" s="321"/>
      <c r="H386" s="321"/>
      <c r="I386" s="321"/>
      <c r="J386" s="321"/>
      <c r="K386" s="321"/>
      <c r="L386" s="321"/>
      <c r="M386" s="321"/>
      <c r="N386" s="321"/>
      <c r="O386" s="321"/>
      <c r="P386" s="321"/>
      <c r="Q386" s="321"/>
      <c r="R386" s="321"/>
      <c r="S386" s="321"/>
      <c r="T386" s="70"/>
      <c r="U386" s="70"/>
      <c r="V386" s="70"/>
      <c r="W386" s="70"/>
      <c r="X386" s="70"/>
      <c r="Y386" s="70"/>
      <c r="Z386" s="70"/>
    </row>
    <row r="387" customFormat="false" ht="12.75" hidden="false" customHeight="false" outlineLevel="1" collapsed="false">
      <c r="A387" s="395"/>
      <c r="B387" s="395"/>
      <c r="C387" s="395"/>
      <c r="D387" s="395"/>
      <c r="E387" s="395"/>
      <c r="F387" s="70"/>
      <c r="G387" s="70"/>
      <c r="H387" s="70"/>
      <c r="I387" s="70"/>
      <c r="J387" s="70"/>
      <c r="K387" s="70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  <c r="Y387" s="70"/>
      <c r="Z387" s="70"/>
    </row>
    <row r="388" customFormat="false" ht="12.75" hidden="false" customHeight="false" outlineLevel="1" collapsed="false">
      <c r="A388" s="685"/>
      <c r="B388" s="395"/>
      <c r="C388" s="395"/>
      <c r="D388" s="395"/>
      <c r="E388" s="395"/>
      <c r="F388" s="701"/>
      <c r="G388" s="701"/>
      <c r="H388" s="701"/>
      <c r="I388" s="701"/>
      <c r="J388" s="701"/>
      <c r="K388" s="701"/>
      <c r="L388" s="701"/>
      <c r="M388" s="701"/>
      <c r="N388" s="701"/>
      <c r="O388" s="701"/>
      <c r="P388" s="701"/>
      <c r="Q388" s="701"/>
      <c r="R388" s="701"/>
      <c r="S388" s="701"/>
      <c r="T388" s="70"/>
      <c r="U388" s="70"/>
      <c r="V388" s="70"/>
      <c r="W388" s="70"/>
      <c r="X388" s="70"/>
      <c r="Y388" s="70"/>
      <c r="Z388" s="70"/>
    </row>
    <row r="389" customFormat="false" ht="12.75" hidden="false" customHeight="false" outlineLevel="1" collapsed="false">
      <c r="A389" s="685"/>
      <c r="B389" s="395"/>
      <c r="C389" s="395"/>
      <c r="D389" s="395"/>
      <c r="E389" s="395"/>
      <c r="F389" s="701"/>
      <c r="G389" s="701"/>
      <c r="H389" s="701"/>
      <c r="I389" s="701"/>
      <c r="J389" s="701"/>
      <c r="K389" s="701"/>
      <c r="L389" s="701"/>
      <c r="M389" s="701"/>
      <c r="N389" s="701"/>
      <c r="O389" s="701"/>
      <c r="P389" s="701"/>
      <c r="Q389" s="701"/>
      <c r="R389" s="701"/>
      <c r="S389" s="701"/>
      <c r="T389" s="70"/>
      <c r="U389" s="70"/>
      <c r="V389" s="70"/>
      <c r="W389" s="70"/>
      <c r="X389" s="70"/>
      <c r="Y389" s="70"/>
      <c r="Z389" s="70"/>
    </row>
    <row r="390" customFormat="false" ht="12.75" hidden="false" customHeight="false" outlineLevel="1" collapsed="false">
      <c r="A390" s="685"/>
      <c r="B390" s="685"/>
      <c r="C390" s="685"/>
      <c r="D390" s="685"/>
      <c r="E390" s="685"/>
      <c r="F390" s="701"/>
      <c r="G390" s="701"/>
      <c r="H390" s="701"/>
      <c r="I390" s="701"/>
      <c r="J390" s="701"/>
      <c r="K390" s="701"/>
      <c r="L390" s="701"/>
      <c r="M390" s="701"/>
      <c r="N390" s="701"/>
      <c r="O390" s="701"/>
      <c r="P390" s="701"/>
      <c r="Q390" s="701"/>
      <c r="R390" s="701"/>
      <c r="S390" s="701"/>
      <c r="T390" s="70"/>
      <c r="U390" s="70"/>
      <c r="V390" s="70"/>
      <c r="W390" s="70"/>
      <c r="X390" s="70"/>
      <c r="Y390" s="70"/>
      <c r="Z390" s="70"/>
    </row>
    <row r="391" customFormat="false" ht="12.75" hidden="false" customHeight="false" outlineLevel="1" collapsed="false">
      <c r="A391" s="685"/>
      <c r="B391" s="685"/>
      <c r="C391" s="685"/>
      <c r="D391" s="685"/>
      <c r="E391" s="685"/>
      <c r="F391" s="701"/>
      <c r="G391" s="701"/>
      <c r="H391" s="701"/>
      <c r="I391" s="701"/>
      <c r="J391" s="701"/>
      <c r="K391" s="701"/>
      <c r="L391" s="701"/>
      <c r="M391" s="701"/>
      <c r="N391" s="701"/>
      <c r="O391" s="701"/>
      <c r="P391" s="701"/>
      <c r="Q391" s="701"/>
      <c r="R391" s="701"/>
      <c r="S391" s="701"/>
      <c r="T391" s="70"/>
      <c r="U391" s="70"/>
      <c r="V391" s="70"/>
      <c r="W391" s="70"/>
      <c r="X391" s="70"/>
      <c r="Y391" s="70"/>
      <c r="Z391" s="70"/>
    </row>
    <row r="392" customFormat="false" ht="12.75" hidden="false" customHeight="false" outlineLevel="1" collapsed="false">
      <c r="A392" s="685"/>
      <c r="B392" s="322"/>
      <c r="C392" s="322"/>
      <c r="D392" s="322"/>
      <c r="E392" s="322"/>
      <c r="F392" s="701"/>
      <c r="G392" s="701"/>
      <c r="H392" s="701"/>
      <c r="I392" s="701"/>
      <c r="J392" s="701"/>
      <c r="K392" s="701"/>
      <c r="L392" s="701"/>
      <c r="M392" s="701"/>
      <c r="N392" s="701"/>
      <c r="O392" s="701"/>
      <c r="P392" s="701"/>
      <c r="Q392" s="701"/>
      <c r="R392" s="701"/>
      <c r="S392" s="701"/>
      <c r="T392" s="70"/>
      <c r="U392" s="70"/>
      <c r="V392" s="70"/>
      <c r="W392" s="70"/>
      <c r="X392" s="70"/>
      <c r="Y392" s="70"/>
      <c r="Z392" s="70"/>
    </row>
    <row r="393" customFormat="false" ht="12.75" hidden="false" customHeight="false" outlineLevel="1" collapsed="false">
      <c r="A393" s="685"/>
      <c r="B393" s="322"/>
      <c r="C393" s="322"/>
      <c r="D393" s="322"/>
      <c r="E393" s="322"/>
      <c r="F393" s="701"/>
      <c r="G393" s="701"/>
      <c r="H393" s="701"/>
      <c r="I393" s="701"/>
      <c r="J393" s="701"/>
      <c r="K393" s="701"/>
      <c r="L393" s="701"/>
      <c r="M393" s="701"/>
      <c r="N393" s="701"/>
      <c r="O393" s="701"/>
      <c r="P393" s="701"/>
      <c r="Q393" s="701"/>
      <c r="R393" s="701"/>
      <c r="S393" s="701"/>
      <c r="T393" s="70"/>
      <c r="U393" s="70"/>
      <c r="V393" s="70"/>
      <c r="W393" s="70"/>
      <c r="X393" s="70"/>
      <c r="Y393" s="70"/>
      <c r="Z393" s="70"/>
    </row>
    <row r="394" customFormat="false" ht="12.75" hidden="false" customHeight="false" outlineLevel="1" collapsed="false">
      <c r="A394" s="395"/>
      <c r="B394" s="395"/>
      <c r="C394" s="395"/>
      <c r="D394" s="395"/>
      <c r="E394" s="395"/>
      <c r="F394" s="701"/>
      <c r="G394" s="701"/>
      <c r="H394" s="701"/>
      <c r="I394" s="701"/>
      <c r="J394" s="701"/>
      <c r="K394" s="701"/>
      <c r="L394" s="701"/>
      <c r="M394" s="701"/>
      <c r="N394" s="701"/>
      <c r="O394" s="701"/>
      <c r="P394" s="701"/>
      <c r="Q394" s="701"/>
      <c r="R394" s="701"/>
      <c r="S394" s="701"/>
      <c r="T394" s="70"/>
      <c r="U394" s="70"/>
      <c r="V394" s="70"/>
      <c r="W394" s="70"/>
      <c r="X394" s="70"/>
      <c r="Y394" s="70"/>
      <c r="Z394" s="70"/>
    </row>
    <row r="395" customFormat="false" ht="12.75" hidden="false" customHeight="false" outlineLevel="1" collapsed="false">
      <c r="A395" s="685"/>
      <c r="B395" s="395"/>
      <c r="C395" s="395"/>
      <c r="D395" s="395"/>
      <c r="E395" s="395"/>
      <c r="F395" s="701"/>
      <c r="G395" s="701"/>
      <c r="H395" s="701"/>
      <c r="I395" s="701"/>
      <c r="J395" s="701"/>
      <c r="K395" s="701"/>
      <c r="L395" s="701"/>
      <c r="M395" s="701"/>
      <c r="N395" s="701"/>
      <c r="O395" s="701"/>
      <c r="P395" s="701"/>
      <c r="Q395" s="701"/>
      <c r="R395" s="701"/>
      <c r="S395" s="701"/>
      <c r="T395" s="70"/>
      <c r="U395" s="70"/>
      <c r="V395" s="70"/>
      <c r="W395" s="70"/>
      <c r="X395" s="70"/>
      <c r="Y395" s="70"/>
      <c r="Z395" s="70"/>
    </row>
    <row r="396" customFormat="false" ht="12.75" hidden="false" customHeight="false" outlineLevel="1" collapsed="false">
      <c r="A396" s="685"/>
      <c r="B396" s="395"/>
      <c r="C396" s="395"/>
      <c r="D396" s="395"/>
      <c r="E396" s="395"/>
      <c r="F396" s="701"/>
      <c r="G396" s="701"/>
      <c r="H396" s="701"/>
      <c r="I396" s="701"/>
      <c r="J396" s="701"/>
      <c r="K396" s="701"/>
      <c r="L396" s="701"/>
      <c r="M396" s="701"/>
      <c r="N396" s="701"/>
      <c r="O396" s="701"/>
      <c r="P396" s="701"/>
      <c r="Q396" s="701"/>
      <c r="R396" s="701"/>
      <c r="S396" s="701"/>
      <c r="T396" s="70"/>
      <c r="U396" s="70"/>
      <c r="V396" s="70"/>
      <c r="W396" s="70"/>
      <c r="X396" s="70"/>
      <c r="Y396" s="70"/>
      <c r="Z396" s="70"/>
    </row>
    <row r="397" customFormat="false" ht="12.75" hidden="false" customHeight="false" outlineLevel="1" collapsed="false">
      <c r="A397" s="685"/>
      <c r="B397" s="395"/>
      <c r="C397" s="395"/>
      <c r="D397" s="395"/>
      <c r="E397" s="395"/>
      <c r="F397" s="701"/>
      <c r="G397" s="701"/>
      <c r="H397" s="701"/>
      <c r="I397" s="701"/>
      <c r="J397" s="701"/>
      <c r="K397" s="701"/>
      <c r="L397" s="701"/>
      <c r="M397" s="701"/>
      <c r="N397" s="701"/>
      <c r="O397" s="701"/>
      <c r="P397" s="701"/>
      <c r="Q397" s="701"/>
      <c r="R397" s="701"/>
      <c r="S397" s="701"/>
      <c r="T397" s="70"/>
      <c r="U397" s="70"/>
      <c r="V397" s="70"/>
      <c r="W397" s="70"/>
      <c r="X397" s="70"/>
      <c r="Y397" s="70"/>
      <c r="Z397" s="70"/>
    </row>
    <row r="398" customFormat="false" ht="12.75" hidden="false" customHeight="false" outlineLevel="1" collapsed="false">
      <c r="A398" s="685"/>
      <c r="B398" s="395"/>
      <c r="C398" s="395"/>
      <c r="D398" s="395"/>
      <c r="E398" s="395"/>
      <c r="F398" s="701"/>
      <c r="G398" s="701"/>
      <c r="H398" s="701"/>
      <c r="I398" s="701"/>
      <c r="J398" s="701"/>
      <c r="K398" s="701"/>
      <c r="L398" s="701"/>
      <c r="M398" s="701"/>
      <c r="N398" s="701"/>
      <c r="O398" s="701"/>
      <c r="P398" s="701"/>
      <c r="Q398" s="701"/>
      <c r="R398" s="701"/>
      <c r="S398" s="701"/>
      <c r="T398" s="70"/>
      <c r="U398" s="70"/>
      <c r="V398" s="70"/>
      <c r="W398" s="70"/>
      <c r="X398" s="70"/>
      <c r="Y398" s="70"/>
      <c r="Z398" s="70"/>
    </row>
    <row r="399" customFormat="false" ht="12.75" hidden="false" customHeight="false" outlineLevel="1" collapsed="false">
      <c r="A399" s="685"/>
      <c r="B399" s="395"/>
      <c r="C399" s="395"/>
      <c r="D399" s="395"/>
      <c r="E399" s="395"/>
      <c r="F399" s="701"/>
      <c r="G399" s="701"/>
      <c r="H399" s="701"/>
      <c r="I399" s="701"/>
      <c r="J399" s="701"/>
      <c r="K399" s="701"/>
      <c r="L399" s="701"/>
      <c r="M399" s="701"/>
      <c r="N399" s="701"/>
      <c r="O399" s="701"/>
      <c r="P399" s="701"/>
      <c r="Q399" s="701"/>
      <c r="R399" s="701"/>
      <c r="S399" s="701"/>
      <c r="T399" s="70"/>
      <c r="U399" s="70"/>
      <c r="V399" s="70"/>
      <c r="W399" s="70"/>
      <c r="X399" s="70"/>
      <c r="Y399" s="70"/>
      <c r="Z399" s="70"/>
    </row>
    <row r="400" customFormat="false" ht="12.75" hidden="false" customHeight="false" outlineLevel="1" collapsed="false">
      <c r="A400" s="685"/>
      <c r="B400" s="395"/>
      <c r="C400" s="395"/>
      <c r="D400" s="395"/>
      <c r="E400" s="395"/>
      <c r="F400" s="701"/>
      <c r="G400" s="701"/>
      <c r="H400" s="701"/>
      <c r="I400" s="701"/>
      <c r="J400" s="701"/>
      <c r="K400" s="701"/>
      <c r="L400" s="701"/>
      <c r="M400" s="701"/>
      <c r="N400" s="701"/>
      <c r="O400" s="701"/>
      <c r="P400" s="701"/>
      <c r="Q400" s="701"/>
      <c r="R400" s="701"/>
      <c r="S400" s="701"/>
      <c r="T400" s="70"/>
      <c r="U400" s="70"/>
      <c r="V400" s="70"/>
      <c r="W400" s="70"/>
      <c r="X400" s="70"/>
      <c r="Y400" s="70"/>
      <c r="Z400" s="70"/>
    </row>
    <row r="401" customFormat="false" ht="12.75" hidden="false" customHeight="false" outlineLevel="1" collapsed="false">
      <c r="A401" s="685"/>
      <c r="B401" s="395"/>
      <c r="C401" s="395"/>
      <c r="D401" s="395"/>
      <c r="E401" s="395"/>
      <c r="F401" s="701"/>
      <c r="G401" s="701"/>
      <c r="H401" s="701"/>
      <c r="I401" s="701"/>
      <c r="J401" s="701"/>
      <c r="K401" s="701"/>
      <c r="L401" s="701"/>
      <c r="M401" s="701"/>
      <c r="N401" s="701"/>
      <c r="O401" s="701"/>
      <c r="P401" s="701"/>
      <c r="Q401" s="701"/>
      <c r="R401" s="701"/>
      <c r="S401" s="701"/>
      <c r="T401" s="70"/>
      <c r="U401" s="70"/>
      <c r="V401" s="70"/>
      <c r="W401" s="70"/>
      <c r="X401" s="70"/>
      <c r="Y401" s="70"/>
      <c r="Z401" s="70"/>
    </row>
    <row r="402" customFormat="false" ht="12.75" hidden="false" customHeight="false" outlineLevel="1" collapsed="false">
      <c r="A402" s="685"/>
      <c r="B402" s="395"/>
      <c r="C402" s="395"/>
      <c r="D402" s="395"/>
      <c r="E402" s="395"/>
      <c r="F402" s="701"/>
      <c r="G402" s="701"/>
      <c r="H402" s="701"/>
      <c r="I402" s="701"/>
      <c r="J402" s="701"/>
      <c r="K402" s="701"/>
      <c r="L402" s="701"/>
      <c r="M402" s="701"/>
      <c r="N402" s="701"/>
      <c r="O402" s="701"/>
      <c r="P402" s="701"/>
      <c r="Q402" s="701"/>
      <c r="R402" s="701"/>
      <c r="S402" s="701"/>
      <c r="T402" s="70"/>
      <c r="U402" s="70"/>
      <c r="V402" s="70"/>
      <c r="W402" s="70"/>
      <c r="X402" s="70"/>
      <c r="Y402" s="70"/>
      <c r="Z402" s="70"/>
    </row>
    <row r="403" customFormat="false" ht="12.75" hidden="false" customHeight="false" outlineLevel="1" collapsed="false">
      <c r="A403" s="685"/>
      <c r="B403" s="395"/>
      <c r="C403" s="395"/>
      <c r="D403" s="395"/>
      <c r="E403" s="395"/>
      <c r="F403" s="701"/>
      <c r="G403" s="701"/>
      <c r="H403" s="701"/>
      <c r="I403" s="701"/>
      <c r="J403" s="701"/>
      <c r="K403" s="701"/>
      <c r="L403" s="701"/>
      <c r="M403" s="701"/>
      <c r="N403" s="701"/>
      <c r="O403" s="701"/>
      <c r="P403" s="701"/>
      <c r="Q403" s="701"/>
      <c r="R403" s="701"/>
      <c r="S403" s="701"/>
      <c r="T403" s="70"/>
      <c r="U403" s="70"/>
      <c r="V403" s="70"/>
      <c r="W403" s="70"/>
      <c r="X403" s="70"/>
      <c r="Y403" s="70"/>
      <c r="Z403" s="70"/>
    </row>
    <row r="404" customFormat="false" ht="12.75" hidden="false" customHeight="false" outlineLevel="1" collapsed="false">
      <c r="A404" s="685"/>
      <c r="B404" s="395"/>
      <c r="C404" s="395"/>
      <c r="D404" s="395"/>
      <c r="E404" s="395"/>
      <c r="F404" s="701"/>
      <c r="G404" s="701"/>
      <c r="H404" s="701"/>
      <c r="I404" s="701"/>
      <c r="J404" s="701"/>
      <c r="K404" s="701"/>
      <c r="L404" s="701"/>
      <c r="M404" s="701"/>
      <c r="N404" s="701"/>
      <c r="O404" s="701"/>
      <c r="P404" s="701"/>
      <c r="Q404" s="701"/>
      <c r="R404" s="701"/>
      <c r="S404" s="701"/>
      <c r="T404" s="70"/>
      <c r="U404" s="70"/>
      <c r="V404" s="70"/>
      <c r="W404" s="70"/>
      <c r="X404" s="70"/>
      <c r="Y404" s="70"/>
      <c r="Z404" s="70"/>
    </row>
    <row r="405" customFormat="false" ht="12.75" hidden="false" customHeight="false" outlineLevel="1" collapsed="false">
      <c r="A405" s="685"/>
      <c r="B405" s="685"/>
      <c r="C405" s="685"/>
      <c r="D405" s="685"/>
      <c r="E405" s="685"/>
      <c r="F405" s="701"/>
      <c r="G405" s="701"/>
      <c r="H405" s="701"/>
      <c r="I405" s="701"/>
      <c r="J405" s="701"/>
      <c r="K405" s="701"/>
      <c r="L405" s="701"/>
      <c r="M405" s="701"/>
      <c r="N405" s="701"/>
      <c r="O405" s="701"/>
      <c r="P405" s="701"/>
      <c r="Q405" s="701"/>
      <c r="R405" s="701"/>
      <c r="S405" s="701"/>
      <c r="T405" s="70"/>
      <c r="U405" s="70"/>
      <c r="V405" s="70"/>
      <c r="W405" s="70"/>
      <c r="X405" s="70"/>
      <c r="Y405" s="70"/>
      <c r="Z405" s="70"/>
    </row>
    <row r="406" customFormat="false" ht="12.75" hidden="false" customHeight="false" outlineLevel="1" collapsed="false">
      <c r="A406" s="685"/>
      <c r="B406" s="685"/>
      <c r="C406" s="685"/>
      <c r="D406" s="685"/>
      <c r="E406" s="685"/>
      <c r="F406" s="701"/>
      <c r="G406" s="701"/>
      <c r="H406" s="701"/>
      <c r="I406" s="701"/>
      <c r="J406" s="701"/>
      <c r="K406" s="701"/>
      <c r="L406" s="701"/>
      <c r="M406" s="701"/>
      <c r="N406" s="701"/>
      <c r="O406" s="701"/>
      <c r="P406" s="701"/>
      <c r="Q406" s="701"/>
      <c r="R406" s="701"/>
      <c r="S406" s="701"/>
      <c r="T406" s="70"/>
      <c r="U406" s="70"/>
      <c r="V406" s="70"/>
      <c r="W406" s="70"/>
      <c r="X406" s="70"/>
      <c r="Y406" s="70"/>
      <c r="Z406" s="70"/>
    </row>
    <row r="407" customFormat="false" ht="12.75" hidden="false" customHeight="false" outlineLevel="1" collapsed="false">
      <c r="A407" s="395"/>
      <c r="B407" s="395"/>
      <c r="C407" s="395"/>
      <c r="D407" s="395"/>
      <c r="E407" s="395"/>
      <c r="F407" s="701"/>
      <c r="G407" s="701"/>
      <c r="H407" s="701"/>
      <c r="I407" s="701"/>
      <c r="J407" s="701"/>
      <c r="K407" s="701"/>
      <c r="L407" s="701"/>
      <c r="M407" s="701"/>
      <c r="N407" s="701"/>
      <c r="O407" s="701"/>
      <c r="P407" s="701"/>
      <c r="Q407" s="701"/>
      <c r="R407" s="701"/>
      <c r="S407" s="701"/>
      <c r="T407" s="70"/>
      <c r="U407" s="70"/>
      <c r="V407" s="70"/>
      <c r="W407" s="70"/>
      <c r="X407" s="70"/>
      <c r="Y407" s="70"/>
      <c r="Z407" s="70"/>
    </row>
    <row r="408" customFormat="false" ht="12.75" hidden="false" customHeight="false" outlineLevel="1" collapsed="false">
      <c r="A408" s="70"/>
      <c r="B408" s="395"/>
      <c r="C408" s="395"/>
      <c r="D408" s="395"/>
      <c r="E408" s="395"/>
      <c r="F408" s="701"/>
      <c r="G408" s="701"/>
      <c r="H408" s="701"/>
      <c r="I408" s="701"/>
      <c r="J408" s="701"/>
      <c r="K408" s="701"/>
      <c r="L408" s="701"/>
      <c r="M408" s="701"/>
      <c r="N408" s="701"/>
      <c r="O408" s="701"/>
      <c r="P408" s="701"/>
      <c r="Q408" s="701"/>
      <c r="R408" s="701"/>
      <c r="S408" s="701"/>
      <c r="T408" s="70"/>
      <c r="U408" s="70"/>
      <c r="V408" s="70"/>
      <c r="W408" s="70"/>
      <c r="X408" s="70"/>
      <c r="Y408" s="70"/>
      <c r="Z408" s="70"/>
    </row>
    <row r="409" customFormat="false" ht="12.75" hidden="false" customHeight="false" outlineLevel="1" collapsed="false">
      <c r="A409" s="685"/>
      <c r="B409" s="685"/>
      <c r="C409" s="685"/>
      <c r="D409" s="685"/>
      <c r="E409" s="685"/>
      <c r="F409" s="701"/>
      <c r="G409" s="701"/>
      <c r="H409" s="701"/>
      <c r="I409" s="701"/>
      <c r="J409" s="701"/>
      <c r="K409" s="701"/>
      <c r="L409" s="701"/>
      <c r="M409" s="701"/>
      <c r="N409" s="701"/>
      <c r="O409" s="701"/>
      <c r="P409" s="701"/>
      <c r="Q409" s="701"/>
      <c r="R409" s="701"/>
      <c r="S409" s="701"/>
      <c r="T409" s="70"/>
      <c r="U409" s="70"/>
      <c r="V409" s="70"/>
      <c r="W409" s="70"/>
      <c r="X409" s="70"/>
      <c r="Y409" s="70"/>
      <c r="Z409" s="70"/>
    </row>
    <row r="410" customFormat="false" ht="12.75" hidden="false" customHeight="false" outlineLevel="1" collapsed="false">
      <c r="A410" s="395"/>
      <c r="B410" s="395"/>
      <c r="C410" s="395"/>
      <c r="D410" s="395"/>
      <c r="E410" s="395"/>
      <c r="F410" s="701"/>
      <c r="G410" s="701"/>
      <c r="H410" s="701"/>
      <c r="I410" s="701"/>
      <c r="J410" s="701"/>
      <c r="K410" s="701"/>
      <c r="L410" s="701"/>
      <c r="M410" s="701"/>
      <c r="N410" s="701"/>
      <c r="O410" s="701"/>
      <c r="P410" s="701"/>
      <c r="Q410" s="701"/>
      <c r="R410" s="701"/>
      <c r="S410" s="701"/>
      <c r="T410" s="70"/>
      <c r="U410" s="70"/>
      <c r="V410" s="70"/>
      <c r="W410" s="70"/>
      <c r="X410" s="70"/>
      <c r="Y410" s="70"/>
      <c r="Z410" s="70"/>
    </row>
    <row r="411" customFormat="false" ht="12.75" hidden="false" customHeight="false" outlineLevel="1" collapsed="false">
      <c r="A411" s="685"/>
      <c r="B411" s="687"/>
      <c r="C411" s="687"/>
      <c r="D411" s="687"/>
      <c r="E411" s="687"/>
      <c r="F411" s="701"/>
      <c r="G411" s="701"/>
      <c r="H411" s="701"/>
      <c r="I411" s="701"/>
      <c r="J411" s="701"/>
      <c r="K411" s="701"/>
      <c r="L411" s="701"/>
      <c r="M411" s="701"/>
      <c r="N411" s="701"/>
      <c r="O411" s="701"/>
      <c r="P411" s="701"/>
      <c r="Q411" s="701"/>
      <c r="R411" s="701"/>
      <c r="S411" s="701"/>
      <c r="T411" s="70"/>
      <c r="U411" s="70"/>
      <c r="V411" s="70"/>
      <c r="W411" s="70"/>
      <c r="X411" s="70"/>
      <c r="Y411" s="70"/>
      <c r="Z411" s="70"/>
    </row>
    <row r="412" customFormat="false" ht="12.75" hidden="false" customHeight="false" outlineLevel="1" collapsed="false">
      <c r="A412" s="395"/>
      <c r="B412" s="395"/>
      <c r="C412" s="395"/>
      <c r="D412" s="395"/>
      <c r="E412" s="395"/>
      <c r="F412" s="701"/>
      <c r="G412" s="701"/>
      <c r="H412" s="701"/>
      <c r="I412" s="701"/>
      <c r="J412" s="701"/>
      <c r="K412" s="701"/>
      <c r="L412" s="701"/>
      <c r="M412" s="701"/>
      <c r="N412" s="701"/>
      <c r="O412" s="701"/>
      <c r="P412" s="701"/>
      <c r="Q412" s="701"/>
      <c r="R412" s="701"/>
      <c r="S412" s="701"/>
      <c r="T412" s="70"/>
      <c r="U412" s="70"/>
      <c r="V412" s="70"/>
      <c r="W412" s="70"/>
      <c r="X412" s="70"/>
      <c r="Y412" s="70"/>
      <c r="Z412" s="70"/>
    </row>
    <row r="413" customFormat="false" ht="12.75" hidden="false" customHeight="false" outlineLevel="1" collapsed="false">
      <c r="A413" s="395"/>
      <c r="B413" s="395"/>
      <c r="C413" s="395"/>
      <c r="D413" s="395"/>
      <c r="E413" s="395"/>
      <c r="F413" s="701"/>
      <c r="G413" s="701"/>
      <c r="H413" s="701"/>
      <c r="I413" s="701"/>
      <c r="J413" s="701"/>
      <c r="K413" s="701"/>
      <c r="L413" s="701"/>
      <c r="M413" s="701"/>
      <c r="N413" s="701"/>
      <c r="O413" s="701"/>
      <c r="P413" s="701"/>
      <c r="Q413" s="701"/>
      <c r="R413" s="701"/>
      <c r="S413" s="701"/>
      <c r="T413" s="70"/>
      <c r="U413" s="70"/>
      <c r="V413" s="70"/>
      <c r="W413" s="70"/>
      <c r="X413" s="70"/>
      <c r="Y413" s="70"/>
      <c r="Z413" s="70"/>
    </row>
    <row r="414" customFormat="false" ht="12.75" hidden="false" customHeight="false" outlineLevel="1" collapsed="false">
      <c r="A414" s="395"/>
      <c r="B414" s="395"/>
      <c r="C414" s="395"/>
      <c r="D414" s="395"/>
      <c r="E414" s="395"/>
      <c r="F414" s="701"/>
      <c r="G414" s="701"/>
      <c r="H414" s="701"/>
      <c r="I414" s="701"/>
      <c r="J414" s="701"/>
      <c r="K414" s="701"/>
      <c r="L414" s="701"/>
      <c r="M414" s="701"/>
      <c r="N414" s="701"/>
      <c r="O414" s="701"/>
      <c r="P414" s="701"/>
      <c r="Q414" s="701"/>
      <c r="R414" s="701"/>
      <c r="S414" s="701"/>
      <c r="T414" s="70"/>
      <c r="U414" s="70"/>
      <c r="V414" s="70"/>
      <c r="W414" s="70"/>
      <c r="X414" s="70"/>
      <c r="Y414" s="70"/>
      <c r="Z414" s="70"/>
    </row>
    <row r="415" customFormat="false" ht="12.75" hidden="false" customHeight="false" outlineLevel="1" collapsed="false">
      <c r="A415" s="395"/>
      <c r="B415" s="684"/>
      <c r="C415" s="684"/>
      <c r="D415" s="684"/>
      <c r="E415" s="684"/>
      <c r="F415" s="701"/>
      <c r="G415" s="701"/>
      <c r="H415" s="701"/>
      <c r="I415" s="701"/>
      <c r="J415" s="701"/>
      <c r="K415" s="701"/>
      <c r="L415" s="701"/>
      <c r="M415" s="701"/>
      <c r="N415" s="701"/>
      <c r="O415" s="701"/>
      <c r="P415" s="701"/>
      <c r="Q415" s="701"/>
      <c r="R415" s="701"/>
      <c r="S415" s="701"/>
      <c r="T415" s="70"/>
      <c r="U415" s="70"/>
      <c r="V415" s="70"/>
      <c r="W415" s="70"/>
      <c r="X415" s="70"/>
      <c r="Y415" s="70"/>
      <c r="Z415" s="70"/>
    </row>
    <row r="416" customFormat="false" ht="12.75" hidden="false" customHeight="false" outlineLevel="1" collapsed="false">
      <c r="A416" s="395"/>
      <c r="B416" s="684"/>
      <c r="C416" s="684"/>
      <c r="D416" s="684"/>
      <c r="E416" s="684"/>
      <c r="F416" s="701"/>
      <c r="G416" s="701"/>
      <c r="H416" s="701"/>
      <c r="I416" s="701"/>
      <c r="J416" s="701"/>
      <c r="K416" s="701"/>
      <c r="L416" s="701"/>
      <c r="M416" s="701"/>
      <c r="N416" s="701"/>
      <c r="O416" s="701"/>
      <c r="P416" s="701"/>
      <c r="Q416" s="701"/>
      <c r="R416" s="701"/>
      <c r="S416" s="701"/>
      <c r="T416" s="70"/>
      <c r="U416" s="70"/>
      <c r="V416" s="70"/>
      <c r="W416" s="70"/>
      <c r="X416" s="70"/>
      <c r="Y416" s="70"/>
      <c r="Z416" s="70"/>
    </row>
    <row r="417" customFormat="false" ht="12.75" hidden="false" customHeight="false" outlineLevel="1" collapsed="false">
      <c r="A417" s="395"/>
      <c r="B417" s="684"/>
      <c r="C417" s="684"/>
      <c r="D417" s="684"/>
      <c r="E417" s="684"/>
      <c r="F417" s="701"/>
      <c r="G417" s="701"/>
      <c r="H417" s="701"/>
      <c r="I417" s="701"/>
      <c r="J417" s="701"/>
      <c r="K417" s="701"/>
      <c r="L417" s="701"/>
      <c r="M417" s="701"/>
      <c r="N417" s="701"/>
      <c r="O417" s="701"/>
      <c r="P417" s="701"/>
      <c r="Q417" s="701"/>
      <c r="R417" s="701"/>
      <c r="S417" s="701"/>
      <c r="T417" s="70"/>
      <c r="U417" s="70"/>
      <c r="V417" s="70"/>
      <c r="W417" s="70"/>
      <c r="X417" s="70"/>
      <c r="Y417" s="70"/>
      <c r="Z417" s="70"/>
    </row>
    <row r="418" customFormat="false" ht="12.75" hidden="false" customHeight="false" outlineLevel="1" collapsed="false">
      <c r="A418" s="395"/>
      <c r="B418" s="684"/>
      <c r="C418" s="684"/>
      <c r="D418" s="684"/>
      <c r="E418" s="684"/>
      <c r="F418" s="701"/>
      <c r="G418" s="701"/>
      <c r="H418" s="701"/>
      <c r="I418" s="701"/>
      <c r="J418" s="701"/>
      <c r="K418" s="701"/>
      <c r="L418" s="701"/>
      <c r="M418" s="701"/>
      <c r="N418" s="701"/>
      <c r="O418" s="701"/>
      <c r="P418" s="701"/>
      <c r="Q418" s="701"/>
      <c r="R418" s="701"/>
      <c r="S418" s="701"/>
      <c r="T418" s="70"/>
      <c r="U418" s="70"/>
      <c r="V418" s="70"/>
      <c r="W418" s="70"/>
      <c r="X418" s="70"/>
      <c r="Y418" s="70"/>
      <c r="Z418" s="70"/>
    </row>
    <row r="419" customFormat="false" ht="12.75" hidden="false" customHeight="false" outlineLevel="1" collapsed="false">
      <c r="A419" s="395"/>
      <c r="B419" s="684"/>
      <c r="C419" s="684"/>
      <c r="D419" s="684"/>
      <c r="E419" s="684"/>
      <c r="F419" s="701"/>
      <c r="G419" s="701"/>
      <c r="H419" s="701"/>
      <c r="I419" s="701"/>
      <c r="J419" s="701"/>
      <c r="K419" s="701"/>
      <c r="L419" s="701"/>
      <c r="M419" s="701"/>
      <c r="N419" s="701"/>
      <c r="O419" s="701"/>
      <c r="P419" s="701"/>
      <c r="Q419" s="701"/>
      <c r="R419" s="701"/>
      <c r="S419" s="701"/>
      <c r="T419" s="70"/>
      <c r="U419" s="70"/>
      <c r="V419" s="70"/>
      <c r="W419" s="70"/>
      <c r="X419" s="70"/>
      <c r="Y419" s="70"/>
      <c r="Z419" s="70"/>
    </row>
    <row r="420" customFormat="false" ht="12.75" hidden="false" customHeight="false" outlineLevel="1" collapsed="false">
      <c r="A420" s="70"/>
      <c r="B420" s="684"/>
      <c r="C420" s="684"/>
      <c r="D420" s="684"/>
      <c r="E420" s="684"/>
      <c r="F420" s="701"/>
      <c r="G420" s="701"/>
      <c r="H420" s="701"/>
      <c r="I420" s="701"/>
      <c r="J420" s="701"/>
      <c r="K420" s="701"/>
      <c r="L420" s="701"/>
      <c r="M420" s="701"/>
      <c r="N420" s="701"/>
      <c r="O420" s="701"/>
      <c r="P420" s="701"/>
      <c r="Q420" s="701"/>
      <c r="R420" s="701"/>
      <c r="S420" s="701"/>
      <c r="T420" s="701"/>
      <c r="U420" s="701"/>
      <c r="V420" s="701"/>
      <c r="W420" s="701"/>
      <c r="X420" s="701"/>
      <c r="Y420" s="701"/>
      <c r="Z420" s="701"/>
    </row>
    <row r="421" customFormat="false" ht="12.75" hidden="false" customHeight="false" outlineLevel="1" collapsed="false">
      <c r="A421" s="70"/>
      <c r="B421" s="701"/>
      <c r="C421" s="701"/>
      <c r="D421" s="701"/>
      <c r="E421" s="684"/>
      <c r="F421" s="701"/>
      <c r="G421" s="701"/>
      <c r="H421" s="701"/>
      <c r="I421" s="701"/>
      <c r="J421" s="701"/>
      <c r="K421" s="701"/>
      <c r="L421" s="701"/>
      <c r="M421" s="701"/>
      <c r="N421" s="701"/>
      <c r="O421" s="701"/>
      <c r="P421" s="701"/>
      <c r="Q421" s="701"/>
      <c r="R421" s="701"/>
      <c r="S421" s="701"/>
      <c r="T421" s="701"/>
      <c r="U421" s="701"/>
      <c r="V421" s="701"/>
      <c r="W421" s="701"/>
      <c r="X421" s="701"/>
      <c r="Y421" s="701"/>
      <c r="Z421" s="701"/>
    </row>
    <row r="422" customFormat="false" ht="12.75" hidden="false" customHeight="false" outlineLevel="1" collapsed="false">
      <c r="A422" s="70"/>
      <c r="B422" s="684"/>
      <c r="C422" s="684"/>
      <c r="D422" s="684"/>
      <c r="E422" s="684"/>
      <c r="F422" s="701"/>
      <c r="G422" s="701"/>
      <c r="H422" s="701"/>
      <c r="I422" s="701"/>
      <c r="J422" s="701"/>
      <c r="K422" s="701"/>
      <c r="L422" s="701"/>
      <c r="M422" s="701"/>
      <c r="N422" s="701"/>
      <c r="O422" s="701"/>
      <c r="P422" s="701"/>
      <c r="Q422" s="701"/>
      <c r="R422" s="701"/>
      <c r="S422" s="701"/>
      <c r="T422" s="701"/>
      <c r="U422" s="701"/>
      <c r="V422" s="701"/>
      <c r="W422" s="701"/>
      <c r="X422" s="701"/>
      <c r="Y422" s="701"/>
      <c r="Z422" s="701"/>
    </row>
    <row r="423" customFormat="false" ht="12.75" hidden="false" customHeight="false" outlineLevel="1" collapsed="false">
      <c r="A423" s="70"/>
      <c r="B423" s="684"/>
      <c r="C423" s="684"/>
      <c r="D423" s="684"/>
      <c r="E423" s="684"/>
      <c r="F423" s="701"/>
      <c r="G423" s="701"/>
      <c r="H423" s="701"/>
      <c r="I423" s="701"/>
      <c r="J423" s="701"/>
      <c r="K423" s="701"/>
      <c r="L423" s="701"/>
      <c r="M423" s="701"/>
      <c r="N423" s="701"/>
      <c r="O423" s="701"/>
      <c r="P423" s="701"/>
      <c r="Q423" s="701"/>
      <c r="R423" s="701"/>
      <c r="S423" s="701"/>
      <c r="T423" s="701"/>
      <c r="U423" s="701"/>
      <c r="V423" s="701"/>
      <c r="W423" s="701"/>
      <c r="X423" s="701"/>
      <c r="Y423" s="701"/>
      <c r="Z423" s="701"/>
    </row>
    <row r="424" customFormat="false" ht="12.75" hidden="false" customHeight="false" outlineLevel="1" collapsed="false">
      <c r="A424" s="70"/>
      <c r="B424" s="684"/>
      <c r="C424" s="684"/>
      <c r="D424" s="684"/>
      <c r="E424" s="684"/>
      <c r="F424" s="701"/>
      <c r="G424" s="701"/>
      <c r="H424" s="701"/>
      <c r="I424" s="701"/>
      <c r="J424" s="701"/>
      <c r="K424" s="701"/>
      <c r="L424" s="701"/>
      <c r="M424" s="701"/>
      <c r="N424" s="701"/>
      <c r="O424" s="701"/>
      <c r="P424" s="701"/>
      <c r="Q424" s="701"/>
      <c r="R424" s="701"/>
      <c r="S424" s="701"/>
      <c r="T424" s="701"/>
      <c r="U424" s="701"/>
      <c r="V424" s="701"/>
      <c r="W424" s="701"/>
      <c r="X424" s="701"/>
      <c r="Y424" s="701"/>
      <c r="Z424" s="701"/>
    </row>
    <row r="425" customFormat="false" ht="12.75" hidden="false" customHeight="false" outlineLevel="1" collapsed="false">
      <c r="A425" s="70"/>
      <c r="B425" s="684"/>
      <c r="C425" s="684"/>
      <c r="D425" s="684"/>
      <c r="E425" s="684"/>
      <c r="F425" s="701"/>
      <c r="G425" s="701"/>
      <c r="H425" s="701"/>
      <c r="I425" s="701"/>
      <c r="J425" s="701"/>
      <c r="K425" s="701"/>
      <c r="L425" s="701"/>
      <c r="M425" s="701"/>
      <c r="N425" s="701"/>
      <c r="O425" s="701"/>
      <c r="P425" s="701"/>
      <c r="Q425" s="701"/>
      <c r="R425" s="701"/>
      <c r="S425" s="701"/>
      <c r="T425" s="701"/>
      <c r="U425" s="701"/>
      <c r="V425" s="701"/>
      <c r="W425" s="701"/>
      <c r="X425" s="701"/>
      <c r="Y425" s="701"/>
      <c r="Z425" s="701"/>
    </row>
    <row r="426" customFormat="false" ht="12.75" hidden="false" customHeight="false" outlineLevel="1" collapsed="false">
      <c r="A426" s="395"/>
      <c r="B426" s="684"/>
      <c r="C426" s="684"/>
      <c r="D426" s="684"/>
      <c r="E426" s="684"/>
      <c r="F426" s="701"/>
      <c r="G426" s="701"/>
      <c r="H426" s="701"/>
      <c r="I426" s="701"/>
      <c r="J426" s="701"/>
      <c r="K426" s="701"/>
      <c r="L426" s="701"/>
      <c r="M426" s="701"/>
      <c r="N426" s="701"/>
      <c r="O426" s="701"/>
      <c r="P426" s="701"/>
      <c r="Q426" s="701"/>
      <c r="R426" s="701"/>
      <c r="S426" s="701"/>
      <c r="T426" s="701"/>
      <c r="U426" s="701"/>
      <c r="V426" s="701"/>
      <c r="W426" s="701"/>
      <c r="X426" s="701"/>
      <c r="Y426" s="701"/>
      <c r="Z426" s="701"/>
    </row>
    <row r="427" customFormat="false" ht="12.75" hidden="false" customHeight="false" outlineLevel="1" collapsed="false">
      <c r="A427" s="70"/>
      <c r="B427" s="684"/>
      <c r="C427" s="684"/>
      <c r="D427" s="684"/>
      <c r="E427" s="684"/>
      <c r="F427" s="701"/>
      <c r="G427" s="701"/>
      <c r="H427" s="701"/>
      <c r="I427" s="701"/>
      <c r="J427" s="701"/>
      <c r="K427" s="701"/>
      <c r="L427" s="701"/>
      <c r="M427" s="701"/>
      <c r="N427" s="701"/>
      <c r="O427" s="701"/>
      <c r="P427" s="701"/>
      <c r="Q427" s="701"/>
      <c r="R427" s="701"/>
      <c r="S427" s="701"/>
      <c r="T427" s="701"/>
      <c r="U427" s="701"/>
      <c r="V427" s="701"/>
      <c r="W427" s="701"/>
      <c r="X427" s="701"/>
      <c r="Y427" s="701"/>
      <c r="Z427" s="701"/>
    </row>
    <row r="428" customFormat="false" ht="12.75" hidden="false" customHeight="false" outlineLevel="1" collapsed="false">
      <c r="A428" s="70"/>
      <c r="B428" s="684"/>
      <c r="C428" s="684"/>
      <c r="D428" s="684"/>
      <c r="E428" s="684"/>
      <c r="F428" s="701"/>
      <c r="G428" s="701"/>
      <c r="H428" s="701"/>
      <c r="I428" s="701"/>
      <c r="J428" s="701"/>
      <c r="K428" s="701"/>
      <c r="L428" s="701"/>
      <c r="M428" s="701"/>
      <c r="N428" s="701"/>
      <c r="O428" s="701"/>
      <c r="P428" s="701"/>
      <c r="Q428" s="701"/>
      <c r="R428" s="701"/>
      <c r="S428" s="701"/>
      <c r="T428" s="701"/>
      <c r="U428" s="701"/>
      <c r="V428" s="701"/>
      <c r="W428" s="701"/>
      <c r="X428" s="701"/>
      <c r="Y428" s="701"/>
      <c r="Z428" s="701"/>
    </row>
    <row r="429" customFormat="false" ht="12.75" hidden="false" customHeight="false" outlineLevel="1" collapsed="false">
      <c r="A429" s="395"/>
      <c r="B429" s="684"/>
      <c r="C429" s="684"/>
      <c r="D429" s="684"/>
      <c r="E429" s="684"/>
      <c r="F429" s="701"/>
      <c r="G429" s="701"/>
      <c r="H429" s="701"/>
      <c r="I429" s="701"/>
      <c r="J429" s="701"/>
      <c r="K429" s="701"/>
      <c r="L429" s="701"/>
      <c r="M429" s="701"/>
      <c r="N429" s="701"/>
      <c r="O429" s="701"/>
      <c r="P429" s="701"/>
      <c r="Q429" s="701"/>
      <c r="R429" s="701"/>
      <c r="S429" s="701"/>
      <c r="T429" s="701"/>
      <c r="U429" s="701"/>
      <c r="V429" s="701"/>
      <c r="W429" s="701"/>
      <c r="X429" s="701"/>
      <c r="Y429" s="701"/>
      <c r="Z429" s="701"/>
    </row>
    <row r="430" customFormat="false" ht="12.75" hidden="false" customHeight="false" outlineLevel="1" collapsed="false">
      <c r="A430" s="395"/>
      <c r="B430" s="684"/>
      <c r="C430" s="684"/>
      <c r="D430" s="684"/>
      <c r="E430" s="684"/>
      <c r="F430" s="701"/>
      <c r="G430" s="701"/>
      <c r="H430" s="701"/>
      <c r="I430" s="701"/>
      <c r="J430" s="701"/>
      <c r="K430" s="701"/>
      <c r="L430" s="701"/>
      <c r="M430" s="701"/>
      <c r="N430" s="701"/>
      <c r="O430" s="701"/>
      <c r="P430" s="701"/>
      <c r="Q430" s="701"/>
      <c r="R430" s="701"/>
      <c r="S430" s="701"/>
      <c r="T430" s="701"/>
      <c r="U430" s="701"/>
      <c r="V430" s="701"/>
      <c r="W430" s="701"/>
      <c r="X430" s="701"/>
      <c r="Y430" s="701"/>
      <c r="Z430" s="701"/>
    </row>
    <row r="431" customFormat="false" ht="12.75" hidden="false" customHeight="false" outlineLevel="1" collapsed="false">
      <c r="A431" s="70"/>
      <c r="B431" s="684"/>
      <c r="C431" s="684"/>
      <c r="D431" s="684"/>
      <c r="E431" s="684"/>
      <c r="F431" s="701"/>
      <c r="G431" s="701"/>
      <c r="H431" s="701"/>
      <c r="I431" s="701"/>
      <c r="J431" s="701"/>
      <c r="K431" s="701"/>
      <c r="L431" s="701"/>
      <c r="M431" s="701"/>
      <c r="N431" s="701"/>
      <c r="O431" s="701"/>
      <c r="P431" s="701"/>
      <c r="Q431" s="701"/>
      <c r="R431" s="701"/>
      <c r="S431" s="701"/>
      <c r="T431" s="701"/>
      <c r="U431" s="701"/>
      <c r="V431" s="701"/>
      <c r="W431" s="701"/>
      <c r="X431" s="701"/>
      <c r="Y431" s="701"/>
      <c r="Z431" s="701"/>
    </row>
    <row r="432" customFormat="false" ht="12.75" hidden="false" customHeight="false" outlineLevel="1" collapsed="false">
      <c r="A432" s="70"/>
      <c r="B432" s="684"/>
      <c r="C432" s="684"/>
      <c r="D432" s="684"/>
      <c r="E432" s="684"/>
      <c r="F432" s="701"/>
      <c r="G432" s="701"/>
      <c r="H432" s="701"/>
      <c r="I432" s="701"/>
      <c r="J432" s="701"/>
      <c r="K432" s="701"/>
      <c r="L432" s="701"/>
      <c r="M432" s="701"/>
      <c r="N432" s="701"/>
      <c r="O432" s="701"/>
      <c r="P432" s="701"/>
      <c r="Q432" s="701"/>
      <c r="R432" s="701"/>
      <c r="S432" s="701"/>
      <c r="T432" s="701"/>
      <c r="U432" s="701"/>
      <c r="V432" s="701"/>
      <c r="W432" s="701"/>
      <c r="X432" s="701"/>
      <c r="Y432" s="701"/>
      <c r="Z432" s="701"/>
    </row>
    <row r="433" customFormat="false" ht="12.75" hidden="false" customHeight="false" outlineLevel="1" collapsed="false">
      <c r="A433" s="70"/>
      <c r="B433" s="684"/>
      <c r="C433" s="684"/>
      <c r="D433" s="684"/>
      <c r="E433" s="684"/>
      <c r="F433" s="701"/>
      <c r="G433" s="701"/>
      <c r="H433" s="701"/>
      <c r="I433" s="701"/>
      <c r="J433" s="701"/>
      <c r="K433" s="701"/>
      <c r="L433" s="701"/>
      <c r="M433" s="701"/>
      <c r="N433" s="701"/>
      <c r="O433" s="701"/>
      <c r="P433" s="701"/>
      <c r="Q433" s="701"/>
      <c r="R433" s="701"/>
      <c r="S433" s="701"/>
      <c r="T433" s="701"/>
      <c r="U433" s="701"/>
      <c r="V433" s="701"/>
      <c r="W433" s="701"/>
      <c r="X433" s="701"/>
      <c r="Y433" s="701"/>
      <c r="Z433" s="701"/>
    </row>
    <row r="434" customFormat="false" ht="12.75" hidden="false" customHeight="false" outlineLevel="1" collapsed="false">
      <c r="A434" s="70"/>
      <c r="B434" s="684"/>
      <c r="C434" s="684"/>
      <c r="D434" s="684"/>
      <c r="E434" s="684"/>
      <c r="F434" s="701"/>
      <c r="G434" s="701"/>
      <c r="H434" s="701"/>
      <c r="I434" s="701"/>
      <c r="J434" s="701"/>
      <c r="K434" s="701"/>
      <c r="L434" s="701"/>
      <c r="M434" s="701"/>
      <c r="N434" s="701"/>
      <c r="O434" s="701"/>
      <c r="P434" s="701"/>
      <c r="Q434" s="701"/>
      <c r="R434" s="701"/>
      <c r="S434" s="701"/>
      <c r="T434" s="701"/>
      <c r="U434" s="701"/>
      <c r="V434" s="701"/>
      <c r="W434" s="701"/>
      <c r="X434" s="701"/>
      <c r="Y434" s="701"/>
      <c r="Z434" s="701"/>
    </row>
    <row r="435" customFormat="false" ht="12.75" hidden="false" customHeight="false" outlineLevel="1" collapsed="false">
      <c r="A435" s="70"/>
      <c r="B435" s="684"/>
      <c r="C435" s="684"/>
      <c r="D435" s="684"/>
      <c r="E435" s="684"/>
      <c r="F435" s="701"/>
      <c r="G435" s="701"/>
      <c r="H435" s="701"/>
      <c r="I435" s="701"/>
      <c r="J435" s="701"/>
      <c r="K435" s="701"/>
      <c r="L435" s="701"/>
      <c r="M435" s="701"/>
      <c r="N435" s="701"/>
      <c r="O435" s="701"/>
      <c r="P435" s="701"/>
      <c r="Q435" s="701"/>
      <c r="R435" s="701"/>
      <c r="S435" s="701"/>
      <c r="T435" s="701"/>
      <c r="U435" s="701"/>
      <c r="V435" s="701"/>
      <c r="W435" s="701"/>
      <c r="X435" s="701"/>
      <c r="Y435" s="701"/>
      <c r="Z435" s="701"/>
    </row>
    <row r="436" customFormat="false" ht="12.75" hidden="false" customHeight="false" outlineLevel="1" collapsed="false">
      <c r="A436" s="70"/>
      <c r="B436" s="684"/>
      <c r="C436" s="684"/>
      <c r="D436" s="684"/>
      <c r="E436" s="684"/>
      <c r="F436" s="701"/>
      <c r="G436" s="701"/>
      <c r="H436" s="701"/>
      <c r="I436" s="701"/>
      <c r="J436" s="701"/>
      <c r="K436" s="701"/>
      <c r="L436" s="701"/>
      <c r="M436" s="701"/>
      <c r="N436" s="701"/>
      <c r="O436" s="701"/>
      <c r="P436" s="701"/>
      <c r="Q436" s="701"/>
      <c r="R436" s="701"/>
      <c r="S436" s="701"/>
      <c r="T436" s="701"/>
      <c r="U436" s="701"/>
      <c r="V436" s="701"/>
      <c r="W436" s="701"/>
      <c r="X436" s="701"/>
      <c r="Y436" s="701"/>
      <c r="Z436" s="701"/>
    </row>
    <row r="437" customFormat="false" ht="12.75" hidden="false" customHeight="false" outlineLevel="1" collapsed="false">
      <c r="A437" s="70"/>
      <c r="B437" s="684"/>
      <c r="C437" s="684"/>
      <c r="D437" s="684"/>
      <c r="E437" s="684"/>
      <c r="F437" s="701"/>
      <c r="G437" s="701"/>
      <c r="H437" s="701"/>
      <c r="I437" s="701"/>
      <c r="J437" s="701"/>
      <c r="K437" s="701"/>
      <c r="L437" s="701"/>
      <c r="M437" s="701"/>
      <c r="N437" s="701"/>
      <c r="O437" s="701"/>
      <c r="P437" s="701"/>
      <c r="Q437" s="701"/>
      <c r="R437" s="701"/>
      <c r="S437" s="701"/>
      <c r="T437" s="701"/>
      <c r="U437" s="701"/>
      <c r="V437" s="701"/>
      <c r="W437" s="701"/>
      <c r="X437" s="701"/>
      <c r="Y437" s="701"/>
      <c r="Z437" s="701"/>
    </row>
    <row r="438" customFormat="false" ht="12.75" hidden="false" customHeight="false" outlineLevel="1" collapsed="false">
      <c r="A438" s="70"/>
      <c r="B438" s="684"/>
      <c r="C438" s="684"/>
      <c r="D438" s="684"/>
      <c r="E438" s="684"/>
      <c r="F438" s="701"/>
      <c r="G438" s="701"/>
      <c r="H438" s="701"/>
      <c r="I438" s="701"/>
      <c r="J438" s="701"/>
      <c r="K438" s="701"/>
      <c r="L438" s="701"/>
      <c r="M438" s="701"/>
      <c r="N438" s="701"/>
      <c r="O438" s="701"/>
      <c r="P438" s="701"/>
      <c r="Q438" s="701"/>
      <c r="R438" s="701"/>
      <c r="S438" s="701"/>
      <c r="T438" s="70"/>
      <c r="U438" s="70"/>
      <c r="V438" s="70"/>
      <c r="W438" s="70"/>
      <c r="X438" s="70"/>
      <c r="Y438" s="70"/>
      <c r="Z438" s="70"/>
    </row>
    <row r="439" customFormat="false" ht="12.75" hidden="false" customHeight="false" outlineLevel="1" collapsed="false">
      <c r="A439" s="395"/>
      <c r="B439" s="684"/>
      <c r="C439" s="684"/>
      <c r="D439" s="684"/>
      <c r="E439" s="684"/>
      <c r="F439" s="701"/>
      <c r="G439" s="701"/>
      <c r="H439" s="701"/>
      <c r="I439" s="701"/>
      <c r="J439" s="701"/>
      <c r="K439" s="701"/>
      <c r="L439" s="701"/>
      <c r="M439" s="701"/>
      <c r="N439" s="701"/>
      <c r="O439" s="701"/>
      <c r="P439" s="701"/>
      <c r="Q439" s="701"/>
      <c r="R439" s="701"/>
      <c r="S439" s="701"/>
      <c r="T439" s="70"/>
      <c r="U439" s="70"/>
      <c r="V439" s="70"/>
      <c r="W439" s="70"/>
      <c r="X439" s="70"/>
      <c r="Y439" s="70"/>
      <c r="Z439" s="70"/>
    </row>
    <row r="440" customFormat="false" ht="12.75" hidden="false" customHeight="false" outlineLevel="1" collapsed="false">
      <c r="A440" s="395"/>
      <c r="B440" s="684"/>
      <c r="C440" s="684"/>
      <c r="D440" s="684"/>
      <c r="E440" s="684"/>
      <c r="F440" s="701"/>
      <c r="G440" s="701"/>
      <c r="H440" s="701"/>
      <c r="I440" s="701"/>
      <c r="J440" s="701"/>
      <c r="K440" s="701"/>
      <c r="L440" s="701"/>
      <c r="M440" s="701"/>
      <c r="N440" s="701"/>
      <c r="O440" s="701"/>
      <c r="P440" s="701"/>
      <c r="Q440" s="701"/>
      <c r="R440" s="701"/>
      <c r="S440" s="701"/>
      <c r="T440" s="70"/>
      <c r="U440" s="70"/>
      <c r="V440" s="70"/>
      <c r="W440" s="70"/>
      <c r="X440" s="70"/>
      <c r="Y440" s="70"/>
      <c r="Z440" s="70"/>
    </row>
    <row r="441" customFormat="false" ht="12.75" hidden="false" customHeight="false" outlineLevel="1" collapsed="false">
      <c r="A441" s="395"/>
      <c r="B441" s="684"/>
      <c r="C441" s="684"/>
      <c r="D441" s="684"/>
      <c r="E441" s="684"/>
      <c r="F441" s="701"/>
      <c r="G441" s="701"/>
      <c r="H441" s="701"/>
      <c r="I441" s="701"/>
      <c r="J441" s="701"/>
      <c r="K441" s="701"/>
      <c r="L441" s="701"/>
      <c r="M441" s="701"/>
      <c r="N441" s="701"/>
      <c r="O441" s="701"/>
      <c r="P441" s="701"/>
      <c r="Q441" s="701"/>
      <c r="R441" s="701"/>
      <c r="S441" s="701"/>
      <c r="T441" s="70"/>
      <c r="U441" s="70"/>
      <c r="V441" s="70"/>
      <c r="W441" s="70"/>
      <c r="X441" s="70"/>
      <c r="Y441" s="70"/>
      <c r="Z441" s="70"/>
    </row>
    <row r="442" customFormat="false" ht="12.75" hidden="false" customHeight="false" outlineLevel="1" collapsed="false">
      <c r="A442" s="395"/>
      <c r="B442" s="684"/>
      <c r="C442" s="684"/>
      <c r="D442" s="684"/>
      <c r="E442" s="684"/>
      <c r="F442" s="701"/>
      <c r="G442" s="701"/>
      <c r="H442" s="701"/>
      <c r="I442" s="701"/>
      <c r="J442" s="701"/>
      <c r="K442" s="701"/>
      <c r="L442" s="701"/>
      <c r="M442" s="701"/>
      <c r="N442" s="701"/>
      <c r="O442" s="701"/>
      <c r="P442" s="701"/>
      <c r="Q442" s="701"/>
      <c r="R442" s="701"/>
      <c r="S442" s="701"/>
      <c r="T442" s="70"/>
      <c r="U442" s="70"/>
      <c r="V442" s="70"/>
      <c r="W442" s="70"/>
      <c r="X442" s="70"/>
      <c r="Y442" s="70"/>
      <c r="Z442" s="70"/>
    </row>
    <row r="443" customFormat="false" ht="12.75" hidden="false" customHeight="false" outlineLevel="1" collapsed="false">
      <c r="A443" s="395"/>
      <c r="B443" s="684"/>
      <c r="C443" s="684"/>
      <c r="D443" s="684"/>
      <c r="E443" s="684"/>
      <c r="F443" s="702"/>
      <c r="G443" s="702"/>
      <c r="H443" s="102"/>
      <c r="I443" s="102"/>
      <c r="J443" s="102"/>
      <c r="K443" s="102"/>
      <c r="L443" s="102"/>
      <c r="M443" s="102"/>
      <c r="N443" s="102"/>
      <c r="O443" s="102"/>
      <c r="P443" s="102"/>
      <c r="Q443" s="102"/>
      <c r="R443" s="102"/>
      <c r="S443" s="102"/>
      <c r="T443" s="70"/>
      <c r="U443" s="70"/>
      <c r="V443" s="70"/>
      <c r="W443" s="70"/>
      <c r="X443" s="70"/>
      <c r="Y443" s="70"/>
      <c r="Z443" s="70"/>
    </row>
    <row r="444" customFormat="false" ht="12.75" hidden="false" customHeight="false" outlineLevel="1" collapsed="false">
      <c r="A444" s="70"/>
      <c r="B444" s="70"/>
      <c r="C444" s="70"/>
      <c r="D444" s="70"/>
      <c r="E444" s="70"/>
      <c r="F444" s="70"/>
      <c r="G444" s="70"/>
      <c r="H444" s="70"/>
      <c r="I444" s="70"/>
      <c r="J444" s="70"/>
      <c r="K444" s="70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  <c r="Y444" s="70"/>
      <c r="Z444" s="70"/>
    </row>
    <row r="445" customFormat="false" ht="18.75" hidden="false" customHeight="false" outlineLevel="1" collapsed="false">
      <c r="A445" s="682"/>
      <c r="B445" s="70"/>
      <c r="C445" s="70"/>
      <c r="D445" s="70"/>
      <c r="E445" s="70"/>
      <c r="F445" s="70"/>
      <c r="G445" s="70"/>
      <c r="H445" s="70"/>
      <c r="I445" s="70"/>
      <c r="J445" s="70"/>
      <c r="K445" s="70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  <c r="Y445" s="70"/>
      <c r="Z445" s="70"/>
    </row>
    <row r="446" customFormat="false" ht="12.75" hidden="false" customHeight="false" outlineLevel="1" collapsed="false">
      <c r="A446" s="395"/>
      <c r="B446" s="70"/>
      <c r="C446" s="70"/>
      <c r="D446" s="70"/>
      <c r="E446" s="70"/>
      <c r="F446" s="70"/>
      <c r="G446" s="70"/>
      <c r="H446" s="70"/>
      <c r="I446" s="70"/>
      <c r="J446" s="70"/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  <c r="Z446" s="70"/>
    </row>
    <row r="447" customFormat="false" ht="12.75" hidden="false" customHeight="false" outlineLevel="1" collapsed="false">
      <c r="A447" s="70"/>
      <c r="B447" s="70"/>
      <c r="C447" s="70"/>
      <c r="D447" s="70"/>
      <c r="E447" s="70"/>
      <c r="F447" s="70"/>
      <c r="G447" s="70"/>
      <c r="H447" s="70"/>
      <c r="I447" s="70"/>
      <c r="J447" s="70"/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  <c r="Z447" s="70"/>
    </row>
    <row r="448" customFormat="false" ht="12.75" hidden="false" customHeight="false" outlineLevel="1" collapsed="false">
      <c r="A448" s="70"/>
      <c r="B448" s="70"/>
      <c r="C448" s="70"/>
      <c r="D448" s="70"/>
      <c r="E448" s="70"/>
      <c r="F448" s="70"/>
      <c r="G448" s="70"/>
      <c r="H448" s="70"/>
      <c r="I448" s="70"/>
      <c r="J448" s="70"/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  <c r="Z448" s="70"/>
    </row>
    <row r="449" customFormat="false" ht="12.75" hidden="false" customHeight="false" outlineLevel="1" collapsed="false">
      <c r="A449" s="322"/>
      <c r="B449" s="321"/>
      <c r="C449" s="321"/>
      <c r="D449" s="321"/>
      <c r="E449" s="321"/>
      <c r="F449" s="321"/>
      <c r="G449" s="321"/>
      <c r="H449" s="321"/>
      <c r="I449" s="321"/>
      <c r="J449" s="321"/>
      <c r="K449" s="321"/>
      <c r="L449" s="321"/>
      <c r="M449" s="321"/>
      <c r="N449" s="321"/>
      <c r="O449" s="321"/>
      <c r="P449" s="321"/>
      <c r="Q449" s="321"/>
      <c r="R449" s="321"/>
      <c r="S449" s="321"/>
      <c r="T449" s="321"/>
      <c r="U449" s="321"/>
      <c r="V449" s="321"/>
      <c r="W449" s="321"/>
      <c r="X449" s="321"/>
      <c r="Y449" s="321"/>
      <c r="Z449" s="321"/>
    </row>
    <row r="450" customFormat="false" ht="12.75" hidden="false" customHeight="false" outlineLevel="1" collapsed="false">
      <c r="A450" s="70"/>
      <c r="B450" s="70"/>
      <c r="C450" s="70"/>
      <c r="D450" s="70"/>
      <c r="E450" s="70"/>
      <c r="F450" s="70"/>
      <c r="G450" s="70"/>
      <c r="H450" s="674"/>
      <c r="I450" s="70"/>
      <c r="J450" s="70"/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  <c r="Z450" s="70"/>
    </row>
    <row r="451" customFormat="false" ht="12.75" hidden="false" customHeight="false" outlineLevel="1" collapsed="false">
      <c r="A451" s="395"/>
      <c r="B451" s="70"/>
      <c r="C451" s="70"/>
      <c r="D451" s="70"/>
      <c r="E451" s="70"/>
      <c r="F451" s="70"/>
      <c r="G451" s="70"/>
      <c r="H451" s="674"/>
      <c r="I451" s="686"/>
      <c r="J451" s="686"/>
      <c r="K451" s="686"/>
      <c r="L451" s="686"/>
      <c r="M451" s="686"/>
      <c r="N451" s="686"/>
      <c r="O451" s="686"/>
      <c r="P451" s="686"/>
      <c r="Q451" s="686"/>
      <c r="R451" s="686"/>
      <c r="S451" s="686"/>
      <c r="T451" s="70"/>
      <c r="U451" s="70"/>
      <c r="V451" s="70"/>
      <c r="W451" s="70"/>
      <c r="X451" s="70"/>
      <c r="Y451" s="70"/>
      <c r="Z451" s="70"/>
    </row>
    <row r="452" customFormat="false" ht="12.75" hidden="false" customHeight="false" outlineLevel="1" collapsed="false">
      <c r="A452" s="70"/>
      <c r="B452" s="70"/>
      <c r="C452" s="70"/>
      <c r="D452" s="70"/>
      <c r="E452" s="70"/>
      <c r="F452" s="70"/>
      <c r="G452" s="70"/>
      <c r="H452" s="674"/>
      <c r="I452" s="674"/>
      <c r="J452" s="674"/>
      <c r="K452" s="674"/>
      <c r="L452" s="674"/>
      <c r="M452" s="674"/>
      <c r="N452" s="674"/>
      <c r="O452" s="674"/>
      <c r="P452" s="674"/>
      <c r="Q452" s="674"/>
      <c r="R452" s="674"/>
      <c r="S452" s="674"/>
      <c r="T452" s="70"/>
      <c r="U452" s="70"/>
      <c r="V452" s="70"/>
      <c r="W452" s="70"/>
      <c r="X452" s="70"/>
      <c r="Y452" s="70"/>
      <c r="Z452" s="70"/>
    </row>
    <row r="453" customFormat="false" ht="12.75" hidden="false" customHeight="false" outlineLevel="1" collapsed="false">
      <c r="A453" s="70"/>
      <c r="B453" s="70"/>
      <c r="C453" s="70"/>
      <c r="D453" s="70"/>
      <c r="E453" s="70"/>
      <c r="F453" s="70"/>
      <c r="G453" s="70"/>
      <c r="H453" s="674"/>
      <c r="I453" s="686"/>
      <c r="J453" s="686"/>
      <c r="K453" s="686"/>
      <c r="L453" s="686"/>
      <c r="M453" s="686"/>
      <c r="N453" s="686"/>
      <c r="O453" s="686"/>
      <c r="P453" s="686"/>
      <c r="Q453" s="686"/>
      <c r="R453" s="686"/>
      <c r="S453" s="686"/>
      <c r="T453" s="70"/>
      <c r="U453" s="70"/>
      <c r="V453" s="70"/>
      <c r="W453" s="70"/>
      <c r="X453" s="70"/>
      <c r="Y453" s="70"/>
      <c r="Z453" s="70"/>
    </row>
    <row r="454" customFormat="false" ht="12.75" hidden="false" customHeight="false" outlineLevel="1" collapsed="false">
      <c r="A454" s="70"/>
      <c r="B454" s="70"/>
      <c r="C454" s="70"/>
      <c r="D454" s="70"/>
      <c r="E454" s="70"/>
      <c r="F454" s="70"/>
      <c r="G454" s="70"/>
      <c r="H454" s="674"/>
      <c r="I454" s="674"/>
      <c r="J454" s="674"/>
      <c r="K454" s="674"/>
      <c r="L454" s="674"/>
      <c r="M454" s="674"/>
      <c r="N454" s="674"/>
      <c r="O454" s="674"/>
      <c r="P454" s="674"/>
      <c r="Q454" s="674"/>
      <c r="R454" s="674"/>
      <c r="S454" s="674"/>
      <c r="T454" s="70"/>
      <c r="U454" s="70"/>
      <c r="V454" s="70"/>
      <c r="W454" s="70"/>
      <c r="X454" s="70"/>
      <c r="Y454" s="70"/>
      <c r="Z454" s="70"/>
    </row>
    <row r="455" customFormat="false" ht="12.75" hidden="false" customHeight="false" outlineLevel="1" collapsed="false">
      <c r="A455" s="70"/>
      <c r="B455" s="70"/>
      <c r="C455" s="70"/>
      <c r="D455" s="70"/>
      <c r="E455" s="70"/>
      <c r="F455" s="70"/>
      <c r="G455" s="70"/>
      <c r="H455" s="674"/>
      <c r="I455" s="674"/>
      <c r="J455" s="674"/>
      <c r="K455" s="674"/>
      <c r="L455" s="674"/>
      <c r="M455" s="674"/>
      <c r="N455" s="674"/>
      <c r="O455" s="674"/>
      <c r="P455" s="674"/>
      <c r="Q455" s="674"/>
      <c r="R455" s="674"/>
      <c r="S455" s="674"/>
      <c r="T455" s="70"/>
      <c r="U455" s="70"/>
      <c r="V455" s="70"/>
      <c r="W455" s="70"/>
      <c r="X455" s="70"/>
      <c r="Y455" s="70"/>
      <c r="Z455" s="70"/>
    </row>
    <row r="456" customFormat="false" ht="12.75" hidden="false" customHeight="false" outlineLevel="1" collapsed="false">
      <c r="A456" s="695"/>
      <c r="B456" s="70"/>
      <c r="C456" s="70"/>
      <c r="D456" s="70"/>
      <c r="E456" s="70"/>
      <c r="F456" s="70"/>
      <c r="G456" s="70"/>
      <c r="H456" s="674"/>
      <c r="I456" s="102"/>
      <c r="J456" s="102"/>
      <c r="K456" s="102"/>
      <c r="L456" s="102"/>
      <c r="M456" s="102"/>
      <c r="N456" s="102"/>
      <c r="O456" s="102"/>
      <c r="P456" s="102"/>
      <c r="Q456" s="102"/>
      <c r="R456" s="102"/>
      <c r="S456" s="102"/>
      <c r="T456" s="70"/>
      <c r="U456" s="70"/>
      <c r="V456" s="70"/>
      <c r="W456" s="70"/>
      <c r="X456" s="70"/>
      <c r="Y456" s="70"/>
      <c r="Z456" s="70"/>
    </row>
    <row r="457" customFormat="false" ht="12.75" hidden="false" customHeight="false" outlineLevel="1" collapsed="false">
      <c r="A457" s="695"/>
      <c r="B457" s="70"/>
      <c r="C457" s="70"/>
      <c r="D457" s="70"/>
      <c r="E457" s="70"/>
      <c r="F457" s="70"/>
      <c r="G457" s="70"/>
      <c r="H457" s="674"/>
      <c r="I457" s="102"/>
      <c r="J457" s="102"/>
      <c r="K457" s="102"/>
      <c r="L457" s="102"/>
      <c r="M457" s="102"/>
      <c r="N457" s="102"/>
      <c r="O457" s="102"/>
      <c r="P457" s="102"/>
      <c r="Q457" s="102"/>
      <c r="R457" s="102"/>
      <c r="S457" s="102"/>
      <c r="T457" s="70"/>
      <c r="U457" s="70"/>
      <c r="V457" s="70"/>
      <c r="W457" s="70"/>
      <c r="X457" s="70"/>
      <c r="Y457" s="70"/>
      <c r="Z457" s="70"/>
    </row>
    <row r="458" customFormat="false" ht="12.75" hidden="false" customHeight="false" outlineLevel="1" collapsed="false">
      <c r="A458" s="395"/>
      <c r="B458" s="70"/>
      <c r="C458" s="70"/>
      <c r="D458" s="70"/>
      <c r="E458" s="70"/>
      <c r="F458" s="70"/>
      <c r="G458" s="70"/>
      <c r="H458" s="674"/>
      <c r="I458" s="70"/>
      <c r="J458" s="70"/>
      <c r="K458" s="70"/>
      <c r="L458" s="70"/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70"/>
      <c r="X458" s="70"/>
      <c r="Y458" s="70"/>
      <c r="Z458" s="70"/>
    </row>
    <row r="459" customFormat="false" ht="12.75" hidden="false" customHeight="false" outlineLevel="1" collapsed="false">
      <c r="A459" s="70"/>
      <c r="B459" s="70"/>
      <c r="C459" s="70"/>
      <c r="D459" s="70"/>
      <c r="E459" s="702"/>
      <c r="F459" s="702"/>
      <c r="G459" s="702"/>
      <c r="H459" s="703"/>
      <c r="I459" s="703"/>
      <c r="J459" s="703"/>
      <c r="K459" s="703"/>
      <c r="L459" s="703"/>
      <c r="M459" s="703"/>
      <c r="N459" s="703"/>
      <c r="O459" s="703"/>
      <c r="P459" s="703"/>
      <c r="Q459" s="703"/>
      <c r="R459" s="703"/>
      <c r="S459" s="703"/>
      <c r="T459" s="70"/>
      <c r="U459" s="70"/>
      <c r="V459" s="70"/>
      <c r="W459" s="70"/>
      <c r="X459" s="70"/>
      <c r="Y459" s="70"/>
      <c r="Z459" s="70"/>
    </row>
    <row r="460" customFormat="false" ht="12.75" hidden="false" customHeight="false" outlineLevel="1" collapsed="false">
      <c r="A460" s="70"/>
      <c r="B460" s="70"/>
      <c r="C460" s="70"/>
      <c r="D460" s="70"/>
      <c r="E460" s="70"/>
      <c r="F460" s="70"/>
      <c r="G460" s="70"/>
      <c r="H460" s="674"/>
      <c r="I460" s="70"/>
      <c r="J460" s="70"/>
      <c r="K460" s="70"/>
      <c r="L460" s="70"/>
      <c r="M460" s="70"/>
      <c r="N460" s="70"/>
      <c r="O460" s="70"/>
      <c r="P460" s="70"/>
      <c r="Q460" s="70"/>
      <c r="R460" s="70"/>
      <c r="S460" s="70"/>
      <c r="T460" s="70"/>
      <c r="U460" s="70"/>
      <c r="V460" s="70"/>
      <c r="W460" s="70"/>
      <c r="X460" s="70"/>
      <c r="Y460" s="70"/>
      <c r="Z460" s="70"/>
    </row>
    <row r="461" customFormat="false" ht="12.75" hidden="false" customHeight="false" outlineLevel="1" collapsed="false">
      <c r="A461" s="395"/>
      <c r="B461" s="70"/>
      <c r="C461" s="70"/>
      <c r="D461" s="70"/>
      <c r="E461" s="70"/>
      <c r="F461" s="70"/>
      <c r="G461" s="70"/>
      <c r="H461" s="674"/>
      <c r="I461" s="399"/>
      <c r="J461" s="399"/>
      <c r="K461" s="399"/>
      <c r="L461" s="399"/>
      <c r="M461" s="399"/>
      <c r="N461" s="399"/>
      <c r="O461" s="399"/>
      <c r="P461" s="399"/>
      <c r="Q461" s="399"/>
      <c r="R461" s="399"/>
      <c r="S461" s="399"/>
      <c r="T461" s="70"/>
      <c r="U461" s="70"/>
      <c r="V461" s="70"/>
      <c r="W461" s="70"/>
      <c r="X461" s="70"/>
      <c r="Y461" s="70"/>
      <c r="Z461" s="70"/>
    </row>
    <row r="462" customFormat="false" ht="12.75" hidden="false" customHeight="false" outlineLevel="1" collapsed="false">
      <c r="A462" s="70"/>
      <c r="B462" s="704"/>
      <c r="C462" s="704"/>
      <c r="D462" s="704"/>
      <c r="E462" s="70"/>
      <c r="F462" s="70"/>
      <c r="G462" s="70"/>
      <c r="H462" s="674"/>
      <c r="I462" s="102"/>
      <c r="J462" s="102"/>
      <c r="K462" s="102"/>
      <c r="L462" s="102"/>
      <c r="M462" s="102"/>
      <c r="N462" s="102"/>
      <c r="O462" s="102"/>
      <c r="P462" s="102"/>
      <c r="Q462" s="102"/>
      <c r="R462" s="102"/>
      <c r="S462" s="102"/>
      <c r="T462" s="70"/>
      <c r="U462" s="70"/>
      <c r="V462" s="70"/>
      <c r="W462" s="70"/>
      <c r="X462" s="70"/>
      <c r="Y462" s="70"/>
      <c r="Z462" s="70"/>
    </row>
    <row r="463" customFormat="false" ht="12.75" hidden="false" customHeight="false" outlineLevel="1" collapsed="false">
      <c r="A463" s="395"/>
      <c r="B463" s="70"/>
      <c r="C463" s="70"/>
      <c r="D463" s="70"/>
      <c r="E463" s="70"/>
      <c r="F463" s="70"/>
      <c r="G463" s="70"/>
      <c r="H463" s="674"/>
      <c r="I463" s="102"/>
      <c r="J463" s="102"/>
      <c r="K463" s="102"/>
      <c r="L463" s="102"/>
      <c r="M463" s="102"/>
      <c r="N463" s="102"/>
      <c r="O463" s="102"/>
      <c r="P463" s="102"/>
      <c r="Q463" s="102"/>
      <c r="R463" s="102"/>
      <c r="S463" s="102"/>
      <c r="T463" s="70"/>
      <c r="U463" s="70"/>
      <c r="V463" s="70"/>
      <c r="W463" s="70"/>
      <c r="X463" s="70"/>
      <c r="Y463" s="70"/>
      <c r="Z463" s="70"/>
    </row>
    <row r="464" customFormat="false" ht="12.75" hidden="false" customHeight="false" outlineLevel="1" collapsed="false">
      <c r="A464" s="70"/>
      <c r="B464" s="70"/>
      <c r="C464" s="70"/>
      <c r="D464" s="70"/>
      <c r="E464" s="70"/>
      <c r="F464" s="70"/>
      <c r="G464" s="70"/>
      <c r="H464" s="70"/>
      <c r="I464" s="70"/>
      <c r="J464" s="70"/>
      <c r="K464" s="70"/>
      <c r="L464" s="70"/>
      <c r="M464" s="70"/>
      <c r="N464" s="70"/>
      <c r="O464" s="70"/>
      <c r="P464" s="70"/>
      <c r="Q464" s="70"/>
      <c r="R464" s="70"/>
      <c r="S464" s="70"/>
      <c r="T464" s="70"/>
      <c r="U464" s="70"/>
      <c r="V464" s="70"/>
      <c r="W464" s="70"/>
      <c r="X464" s="70"/>
      <c r="Y464" s="70"/>
      <c r="Z464" s="70"/>
    </row>
    <row r="465" customFormat="false" ht="12.75" hidden="false" customHeight="false" outlineLevel="1" collapsed="false">
      <c r="A465" s="70"/>
      <c r="B465" s="70"/>
      <c r="C465" s="70"/>
      <c r="D465" s="70"/>
      <c r="E465" s="70"/>
      <c r="F465" s="70"/>
      <c r="G465" s="70"/>
      <c r="H465" s="70"/>
      <c r="I465" s="70"/>
      <c r="J465" s="70"/>
      <c r="K465" s="70"/>
      <c r="L465" s="70"/>
      <c r="M465" s="70"/>
      <c r="N465" s="70"/>
      <c r="O465" s="70"/>
      <c r="P465" s="70"/>
      <c r="Q465" s="70"/>
      <c r="R465" s="70"/>
      <c r="S465" s="70"/>
      <c r="T465" s="70"/>
      <c r="U465" s="70"/>
      <c r="V465" s="70"/>
      <c r="W465" s="70"/>
      <c r="X465" s="70"/>
      <c r="Y465" s="70"/>
      <c r="Z465" s="70"/>
    </row>
    <row r="466" customFormat="false" ht="18.75" hidden="false" customHeight="false" outlineLevel="1" collapsed="false">
      <c r="A466" s="705"/>
      <c r="B466" s="706"/>
      <c r="C466" s="706"/>
      <c r="D466" s="706"/>
      <c r="E466" s="706"/>
      <c r="F466" s="706"/>
      <c r="G466" s="706"/>
      <c r="H466" s="706"/>
      <c r="I466" s="707"/>
      <c r="J466" s="707"/>
      <c r="K466" s="707"/>
      <c r="L466" s="707"/>
      <c r="M466" s="707"/>
      <c r="N466" s="707"/>
      <c r="O466" s="707"/>
      <c r="P466" s="707"/>
      <c r="Q466" s="707"/>
      <c r="R466" s="707"/>
      <c r="S466" s="707"/>
      <c r="T466" s="707"/>
      <c r="U466" s="707"/>
      <c r="V466" s="707"/>
      <c r="W466" s="707"/>
      <c r="X466" s="707"/>
      <c r="Y466" s="707"/>
      <c r="Z466" s="707"/>
      <c r="AA466" s="707"/>
      <c r="AB466" s="707"/>
      <c r="AC466" s="707"/>
      <c r="AD466" s="707"/>
      <c r="AE466" s="707"/>
      <c r="AF466" s="707"/>
      <c r="AG466" s="707"/>
      <c r="AH466" s="707"/>
      <c r="AI466" s="707"/>
      <c r="AJ466" s="707"/>
      <c r="AK466" s="707"/>
      <c r="AL466" s="707"/>
      <c r="AM466" s="707"/>
      <c r="AN466" s="707"/>
      <c r="AO466" s="707"/>
      <c r="AP466" s="707"/>
      <c r="AQ466" s="707"/>
      <c r="AR466" s="707"/>
      <c r="AS466" s="707"/>
      <c r="AT466" s="707"/>
      <c r="AU466" s="707"/>
      <c r="AV466" s="707"/>
      <c r="AW466" s="707"/>
      <c r="AX466" s="707"/>
      <c r="AY466" s="707"/>
      <c r="AZ466" s="707"/>
      <c r="BA466" s="707"/>
      <c r="BB466" s="707"/>
      <c r="BC466" s="707"/>
      <c r="BD466" s="707"/>
      <c r="BE466" s="707"/>
      <c r="BF466" s="707"/>
      <c r="BG466" s="707"/>
      <c r="BH466" s="707"/>
      <c r="BI466" s="707"/>
      <c r="BJ466" s="707"/>
      <c r="BK466" s="707"/>
      <c r="BL466" s="707"/>
      <c r="BM466" s="707"/>
      <c r="BN466" s="707"/>
      <c r="BO466" s="707"/>
      <c r="BP466" s="707"/>
      <c r="BQ466" s="707"/>
      <c r="BR466" s="707"/>
      <c r="BS466" s="707"/>
      <c r="BT466" s="707"/>
      <c r="BU466" s="707"/>
      <c r="BV466" s="707"/>
      <c r="BW466" s="707"/>
      <c r="BX466" s="707"/>
      <c r="BY466" s="707"/>
      <c r="BZ466" s="707"/>
      <c r="CA466" s="707"/>
      <c r="CB466" s="707"/>
      <c r="CC466" s="707"/>
      <c r="CD466" s="707"/>
      <c r="CE466" s="707"/>
      <c r="CF466" s="707"/>
      <c r="CG466" s="707"/>
      <c r="CH466" s="707"/>
      <c r="CI466" s="707"/>
      <c r="CJ466" s="707"/>
      <c r="CK466" s="707"/>
      <c r="CL466" s="707"/>
      <c r="CM466" s="707"/>
      <c r="CN466" s="707"/>
      <c r="CO466" s="707"/>
      <c r="CP466" s="707"/>
      <c r="CQ466" s="707"/>
      <c r="CR466" s="707"/>
      <c r="CS466" s="707"/>
      <c r="CT466" s="707"/>
      <c r="CU466" s="707"/>
      <c r="CV466" s="707"/>
      <c r="CW466" s="707"/>
      <c r="CX466" s="707"/>
      <c r="CY466" s="707"/>
      <c r="CZ466" s="707"/>
      <c r="DA466" s="707"/>
      <c r="DB466" s="707"/>
      <c r="DC466" s="707"/>
      <c r="DD466" s="707"/>
      <c r="DE466" s="707"/>
      <c r="DF466" s="707"/>
      <c r="DG466" s="707"/>
      <c r="DH466" s="707"/>
      <c r="DI466" s="707"/>
      <c r="DJ466" s="707"/>
      <c r="DK466" s="707"/>
      <c r="DL466" s="707"/>
      <c r="DM466" s="707"/>
      <c r="DN466" s="707"/>
      <c r="DO466" s="707"/>
      <c r="DP466" s="707"/>
      <c r="DQ466" s="707"/>
      <c r="DR466" s="707"/>
      <c r="DS466" s="707"/>
      <c r="DT466" s="707"/>
      <c r="DU466" s="707"/>
      <c r="DV466" s="707"/>
      <c r="DW466" s="707"/>
      <c r="DX466" s="707"/>
      <c r="DY466" s="707"/>
      <c r="DZ466" s="707"/>
      <c r="EA466" s="707"/>
      <c r="EB466" s="707"/>
      <c r="EC466" s="707"/>
      <c r="ED466" s="707"/>
      <c r="EE466" s="707"/>
      <c r="EF466" s="707"/>
      <c r="EG466" s="707"/>
      <c r="EH466" s="707"/>
      <c r="EI466" s="707"/>
      <c r="EJ466" s="707"/>
      <c r="EK466" s="707"/>
      <c r="EL466" s="707"/>
      <c r="EM466" s="707"/>
      <c r="EN466" s="707"/>
      <c r="EO466" s="707"/>
      <c r="EP466" s="707"/>
      <c r="EQ466" s="707"/>
      <c r="ER466" s="707"/>
      <c r="ES466" s="707"/>
      <c r="ET466" s="707"/>
      <c r="EU466" s="707"/>
      <c r="EV466" s="707"/>
      <c r="EW466" s="707"/>
      <c r="EX466" s="707"/>
      <c r="EY466" s="707"/>
      <c r="EZ466" s="707"/>
      <c r="FA466" s="707"/>
      <c r="FB466" s="707"/>
      <c r="FC466" s="707"/>
      <c r="FD466" s="707"/>
      <c r="FE466" s="707"/>
      <c r="FF466" s="707"/>
      <c r="FG466" s="707"/>
      <c r="FH466" s="707"/>
      <c r="FI466" s="707"/>
      <c r="FJ466" s="707"/>
      <c r="FK466" s="707"/>
      <c r="FL466" s="707"/>
      <c r="FM466" s="707"/>
      <c r="FN466" s="707"/>
      <c r="FO466" s="707"/>
      <c r="FP466" s="707"/>
      <c r="FQ466" s="707"/>
      <c r="FR466" s="707"/>
      <c r="FS466" s="707"/>
      <c r="FT466" s="707"/>
      <c r="FU466" s="707"/>
      <c r="FV466" s="707"/>
      <c r="FW466" s="707"/>
      <c r="FX466" s="707"/>
      <c r="FY466" s="707"/>
      <c r="FZ466" s="707"/>
      <c r="GA466" s="707"/>
      <c r="GB466" s="707"/>
      <c r="GC466" s="707"/>
      <c r="GD466" s="707"/>
      <c r="GE466" s="707"/>
      <c r="GF466" s="707"/>
      <c r="GG466" s="707"/>
      <c r="GH466" s="707"/>
      <c r="GI466" s="707"/>
      <c r="GJ466" s="707"/>
      <c r="GK466" s="707"/>
      <c r="GL466" s="707"/>
      <c r="GM466" s="707"/>
      <c r="GN466" s="707"/>
      <c r="GO466" s="707"/>
      <c r="GP466" s="707"/>
      <c r="GQ466" s="707"/>
      <c r="GR466" s="707"/>
      <c r="GS466" s="707"/>
      <c r="GT466" s="707"/>
      <c r="GU466" s="707"/>
      <c r="GV466" s="707"/>
      <c r="GW466" s="707"/>
      <c r="GX466" s="707"/>
      <c r="GY466" s="707"/>
      <c r="GZ466" s="707"/>
      <c r="HA466" s="707"/>
      <c r="HB466" s="707"/>
      <c r="HC466" s="707"/>
      <c r="HD466" s="707"/>
      <c r="HE466" s="707"/>
      <c r="HF466" s="707"/>
      <c r="HG466" s="707"/>
      <c r="HH466" s="707"/>
      <c r="HI466" s="707"/>
      <c r="HJ466" s="707"/>
      <c r="HK466" s="707"/>
      <c r="HL466" s="707"/>
      <c r="HM466" s="707"/>
      <c r="HN466" s="707"/>
      <c r="HO466" s="707"/>
      <c r="HP466" s="707"/>
      <c r="HQ466" s="707"/>
      <c r="HR466" s="707"/>
      <c r="HS466" s="707"/>
      <c r="HT466" s="707"/>
      <c r="HU466" s="707"/>
      <c r="HV466" s="707"/>
      <c r="HW466" s="707"/>
      <c r="HX466" s="707"/>
      <c r="HY466" s="707"/>
      <c r="HZ466" s="707"/>
      <c r="IA466" s="707"/>
      <c r="IB466" s="707"/>
      <c r="IC466" s="707"/>
      <c r="ID466" s="707"/>
      <c r="IE466" s="707"/>
      <c r="IF466" s="707"/>
      <c r="IG466" s="707"/>
      <c r="IH466" s="707"/>
      <c r="II466" s="707"/>
      <c r="IJ466" s="707"/>
      <c r="IK466" s="707"/>
      <c r="IL466" s="707"/>
      <c r="IM466" s="707"/>
      <c r="IN466" s="707"/>
      <c r="IO466" s="707"/>
      <c r="IP466" s="707"/>
      <c r="IQ466" s="707"/>
      <c r="IR466" s="707"/>
      <c r="IS466" s="707"/>
      <c r="IT466" s="707"/>
      <c r="IU466" s="707"/>
      <c r="IV466" s="707"/>
      <c r="IW466" s="707"/>
    </row>
    <row r="467" customFormat="false" ht="12.75" hidden="false" customHeight="false" outlineLevel="1" collapsed="false">
      <c r="A467" s="706"/>
      <c r="B467" s="706"/>
      <c r="C467" s="706"/>
      <c r="D467" s="706"/>
      <c r="E467" s="706"/>
      <c r="F467" s="706"/>
      <c r="G467" s="708"/>
      <c r="H467" s="709"/>
      <c r="I467" s="706"/>
      <c r="J467" s="710"/>
      <c r="K467" s="707"/>
      <c r="L467" s="707"/>
      <c r="M467" s="707"/>
      <c r="N467" s="707"/>
      <c r="O467" s="707"/>
      <c r="P467" s="707"/>
      <c r="Q467" s="707"/>
      <c r="R467" s="707"/>
      <c r="S467" s="707"/>
      <c r="T467" s="707"/>
      <c r="U467" s="707"/>
      <c r="V467" s="707"/>
      <c r="W467" s="707"/>
      <c r="X467" s="707"/>
      <c r="Y467" s="707"/>
      <c r="Z467" s="707"/>
      <c r="AA467" s="707"/>
      <c r="AB467" s="707"/>
      <c r="AC467" s="707"/>
      <c r="AD467" s="707"/>
      <c r="AE467" s="707"/>
      <c r="AF467" s="707"/>
      <c r="AG467" s="707"/>
      <c r="AH467" s="707"/>
      <c r="AI467" s="707"/>
      <c r="AJ467" s="707"/>
      <c r="AK467" s="707"/>
      <c r="AL467" s="707"/>
      <c r="AM467" s="707"/>
      <c r="AN467" s="707"/>
      <c r="AO467" s="707"/>
      <c r="AP467" s="707"/>
      <c r="AQ467" s="707"/>
      <c r="AR467" s="707"/>
      <c r="AS467" s="707"/>
      <c r="AT467" s="707"/>
      <c r="AU467" s="707"/>
      <c r="AV467" s="707"/>
      <c r="AW467" s="707"/>
      <c r="AX467" s="707"/>
      <c r="AY467" s="707"/>
      <c r="AZ467" s="707"/>
      <c r="BA467" s="707"/>
      <c r="BB467" s="707"/>
      <c r="BC467" s="707"/>
      <c r="BD467" s="707"/>
      <c r="BE467" s="707"/>
      <c r="BF467" s="707"/>
      <c r="BG467" s="707"/>
      <c r="BH467" s="707"/>
      <c r="BI467" s="707"/>
      <c r="BJ467" s="707"/>
      <c r="BK467" s="707"/>
      <c r="BL467" s="707"/>
      <c r="BM467" s="707"/>
      <c r="BN467" s="707"/>
      <c r="BO467" s="707"/>
      <c r="BP467" s="707"/>
      <c r="BQ467" s="707"/>
      <c r="BR467" s="707"/>
      <c r="BS467" s="707"/>
      <c r="BT467" s="707"/>
      <c r="BU467" s="707"/>
      <c r="BV467" s="707"/>
      <c r="BW467" s="707"/>
      <c r="BX467" s="707"/>
      <c r="BY467" s="707"/>
      <c r="BZ467" s="707"/>
      <c r="CA467" s="707"/>
      <c r="CB467" s="707"/>
      <c r="CC467" s="707"/>
      <c r="CD467" s="707"/>
      <c r="CE467" s="707"/>
      <c r="CF467" s="707"/>
      <c r="CG467" s="707"/>
      <c r="CH467" s="707"/>
      <c r="CI467" s="707"/>
      <c r="CJ467" s="707"/>
      <c r="CK467" s="707"/>
      <c r="CL467" s="707"/>
      <c r="CM467" s="707"/>
      <c r="CN467" s="707"/>
      <c r="CO467" s="707"/>
      <c r="CP467" s="707"/>
      <c r="CQ467" s="707"/>
      <c r="CR467" s="707"/>
      <c r="CS467" s="707"/>
      <c r="CT467" s="707"/>
      <c r="CU467" s="707"/>
      <c r="CV467" s="707"/>
      <c r="CW467" s="707"/>
      <c r="CX467" s="707"/>
      <c r="CY467" s="707"/>
      <c r="CZ467" s="707"/>
      <c r="DA467" s="707"/>
      <c r="DB467" s="707"/>
      <c r="DC467" s="707"/>
      <c r="DD467" s="707"/>
      <c r="DE467" s="707"/>
      <c r="DF467" s="707"/>
      <c r="DG467" s="707"/>
      <c r="DH467" s="707"/>
      <c r="DI467" s="707"/>
      <c r="DJ467" s="707"/>
      <c r="DK467" s="707"/>
      <c r="DL467" s="707"/>
      <c r="DM467" s="707"/>
      <c r="DN467" s="707"/>
      <c r="DO467" s="707"/>
      <c r="DP467" s="707"/>
      <c r="DQ467" s="707"/>
      <c r="DR467" s="707"/>
      <c r="DS467" s="707"/>
      <c r="DT467" s="707"/>
      <c r="DU467" s="707"/>
      <c r="DV467" s="707"/>
      <c r="DW467" s="707"/>
      <c r="DX467" s="707"/>
      <c r="DY467" s="707"/>
      <c r="DZ467" s="707"/>
      <c r="EA467" s="707"/>
      <c r="EB467" s="707"/>
      <c r="EC467" s="707"/>
      <c r="ED467" s="707"/>
      <c r="EE467" s="707"/>
      <c r="EF467" s="707"/>
      <c r="EG467" s="707"/>
      <c r="EH467" s="707"/>
      <c r="EI467" s="707"/>
      <c r="EJ467" s="707"/>
      <c r="EK467" s="707"/>
      <c r="EL467" s="707"/>
      <c r="EM467" s="707"/>
      <c r="EN467" s="707"/>
      <c r="EO467" s="707"/>
      <c r="EP467" s="707"/>
      <c r="EQ467" s="707"/>
      <c r="ER467" s="707"/>
      <c r="ES467" s="707"/>
      <c r="ET467" s="707"/>
      <c r="EU467" s="707"/>
      <c r="EV467" s="707"/>
      <c r="EW467" s="707"/>
      <c r="EX467" s="707"/>
      <c r="EY467" s="707"/>
      <c r="EZ467" s="707"/>
      <c r="FA467" s="707"/>
      <c r="FB467" s="707"/>
      <c r="FC467" s="707"/>
      <c r="FD467" s="707"/>
      <c r="FE467" s="707"/>
      <c r="FF467" s="707"/>
      <c r="FG467" s="707"/>
      <c r="FH467" s="707"/>
      <c r="FI467" s="707"/>
      <c r="FJ467" s="707"/>
      <c r="FK467" s="707"/>
      <c r="FL467" s="707"/>
      <c r="FM467" s="707"/>
      <c r="FN467" s="707"/>
      <c r="FO467" s="707"/>
      <c r="FP467" s="707"/>
      <c r="FQ467" s="707"/>
      <c r="FR467" s="707"/>
      <c r="FS467" s="707"/>
      <c r="FT467" s="707"/>
      <c r="FU467" s="707"/>
      <c r="FV467" s="707"/>
      <c r="FW467" s="707"/>
      <c r="FX467" s="707"/>
      <c r="FY467" s="707"/>
      <c r="FZ467" s="707"/>
      <c r="GA467" s="707"/>
      <c r="GB467" s="707"/>
      <c r="GC467" s="707"/>
      <c r="GD467" s="707"/>
      <c r="GE467" s="707"/>
      <c r="GF467" s="707"/>
      <c r="GG467" s="707"/>
      <c r="GH467" s="707"/>
      <c r="GI467" s="707"/>
      <c r="GJ467" s="707"/>
      <c r="GK467" s="707"/>
      <c r="GL467" s="707"/>
      <c r="GM467" s="707"/>
      <c r="GN467" s="707"/>
      <c r="GO467" s="707"/>
      <c r="GP467" s="707"/>
      <c r="GQ467" s="707"/>
      <c r="GR467" s="707"/>
      <c r="GS467" s="707"/>
      <c r="GT467" s="707"/>
      <c r="GU467" s="707"/>
      <c r="GV467" s="707"/>
      <c r="GW467" s="707"/>
      <c r="GX467" s="707"/>
      <c r="GY467" s="707"/>
      <c r="GZ467" s="707"/>
      <c r="HA467" s="707"/>
      <c r="HB467" s="707"/>
      <c r="HC467" s="707"/>
      <c r="HD467" s="707"/>
      <c r="HE467" s="707"/>
      <c r="HF467" s="707"/>
      <c r="HG467" s="707"/>
      <c r="HH467" s="707"/>
      <c r="HI467" s="707"/>
      <c r="HJ467" s="707"/>
      <c r="HK467" s="707"/>
      <c r="HL467" s="707"/>
      <c r="HM467" s="707"/>
      <c r="HN467" s="707"/>
      <c r="HO467" s="707"/>
      <c r="HP467" s="707"/>
      <c r="HQ467" s="707"/>
      <c r="HR467" s="707"/>
      <c r="HS467" s="707"/>
      <c r="HT467" s="707"/>
      <c r="HU467" s="707"/>
      <c r="HV467" s="707"/>
      <c r="HW467" s="707"/>
      <c r="HX467" s="707"/>
      <c r="HY467" s="707"/>
      <c r="HZ467" s="707"/>
      <c r="IA467" s="707"/>
      <c r="IB467" s="707"/>
      <c r="IC467" s="707"/>
      <c r="ID467" s="707"/>
      <c r="IE467" s="707"/>
      <c r="IF467" s="707"/>
      <c r="IG467" s="707"/>
      <c r="IH467" s="707"/>
      <c r="II467" s="707"/>
      <c r="IJ467" s="707"/>
      <c r="IK467" s="707"/>
      <c r="IL467" s="707"/>
      <c r="IM467" s="707"/>
      <c r="IN467" s="707"/>
      <c r="IO467" s="707"/>
      <c r="IP467" s="707"/>
      <c r="IQ467" s="707"/>
      <c r="IR467" s="707"/>
      <c r="IS467" s="707"/>
      <c r="IT467" s="707"/>
      <c r="IU467" s="707"/>
      <c r="IV467" s="707"/>
      <c r="IW467" s="707"/>
    </row>
    <row r="468" customFormat="false" ht="12.75" hidden="false" customHeight="false" outlineLevel="1" collapsed="false">
      <c r="A468" s="706"/>
      <c r="B468" s="709"/>
      <c r="C468" s="709"/>
      <c r="D468" s="709"/>
      <c r="E468" s="709"/>
      <c r="F468" s="709"/>
      <c r="G468" s="711"/>
      <c r="H468" s="688"/>
      <c r="I468" s="688"/>
      <c r="J468" s="710"/>
      <c r="K468" s="707"/>
      <c r="L468" s="707"/>
      <c r="M468" s="707"/>
      <c r="N468" s="707"/>
      <c r="O468" s="707"/>
      <c r="P468" s="707"/>
      <c r="Q468" s="707"/>
      <c r="R468" s="707"/>
      <c r="S468" s="707"/>
      <c r="T468" s="707"/>
      <c r="U468" s="707"/>
      <c r="V468" s="707"/>
      <c r="W468" s="707"/>
      <c r="X468" s="707"/>
      <c r="Y468" s="707"/>
      <c r="Z468" s="707"/>
      <c r="AA468" s="707"/>
      <c r="AB468" s="707"/>
      <c r="AC468" s="707"/>
      <c r="AD468" s="707"/>
      <c r="AE468" s="707"/>
      <c r="AF468" s="707"/>
      <c r="AG468" s="707"/>
      <c r="AH468" s="707"/>
      <c r="AI468" s="707"/>
      <c r="AJ468" s="707"/>
      <c r="AK468" s="707"/>
      <c r="AL468" s="707"/>
      <c r="AM468" s="707"/>
      <c r="AN468" s="707"/>
      <c r="AO468" s="707"/>
      <c r="AP468" s="707"/>
      <c r="AQ468" s="707"/>
      <c r="AR468" s="707"/>
      <c r="AS468" s="707"/>
      <c r="AT468" s="707"/>
      <c r="AU468" s="707"/>
      <c r="AV468" s="707"/>
      <c r="AW468" s="707"/>
      <c r="AX468" s="707"/>
      <c r="AY468" s="707"/>
      <c r="AZ468" s="707"/>
      <c r="BA468" s="707"/>
      <c r="BB468" s="707"/>
      <c r="BC468" s="707"/>
      <c r="BD468" s="707"/>
      <c r="BE468" s="707"/>
      <c r="BF468" s="707"/>
      <c r="BG468" s="707"/>
      <c r="BH468" s="707"/>
      <c r="BI468" s="707"/>
      <c r="BJ468" s="707"/>
      <c r="BK468" s="707"/>
      <c r="BL468" s="707"/>
      <c r="BM468" s="707"/>
      <c r="BN468" s="707"/>
      <c r="BO468" s="707"/>
      <c r="BP468" s="707"/>
      <c r="BQ468" s="707"/>
      <c r="BR468" s="707"/>
      <c r="BS468" s="707"/>
      <c r="BT468" s="707"/>
      <c r="BU468" s="707"/>
      <c r="BV468" s="707"/>
      <c r="BW468" s="707"/>
      <c r="BX468" s="707"/>
      <c r="BY468" s="707"/>
      <c r="BZ468" s="707"/>
      <c r="CA468" s="707"/>
      <c r="CB468" s="707"/>
      <c r="CC468" s="707"/>
      <c r="CD468" s="707"/>
      <c r="CE468" s="707"/>
      <c r="CF468" s="707"/>
      <c r="CG468" s="707"/>
      <c r="CH468" s="707"/>
      <c r="CI468" s="707"/>
      <c r="CJ468" s="707"/>
      <c r="CK468" s="707"/>
      <c r="CL468" s="707"/>
      <c r="CM468" s="707"/>
      <c r="CN468" s="707"/>
      <c r="CO468" s="707"/>
      <c r="CP468" s="707"/>
      <c r="CQ468" s="707"/>
      <c r="CR468" s="707"/>
      <c r="CS468" s="707"/>
      <c r="CT468" s="707"/>
      <c r="CU468" s="707"/>
      <c r="CV468" s="707"/>
      <c r="CW468" s="707"/>
      <c r="CX468" s="707"/>
      <c r="CY468" s="707"/>
      <c r="CZ468" s="707"/>
      <c r="DA468" s="707"/>
      <c r="DB468" s="707"/>
      <c r="DC468" s="707"/>
      <c r="DD468" s="707"/>
      <c r="DE468" s="707"/>
      <c r="DF468" s="707"/>
      <c r="DG468" s="707"/>
      <c r="DH468" s="707"/>
      <c r="DI468" s="707"/>
      <c r="DJ468" s="707"/>
      <c r="DK468" s="707"/>
      <c r="DL468" s="707"/>
      <c r="DM468" s="707"/>
      <c r="DN468" s="707"/>
      <c r="DO468" s="707"/>
      <c r="DP468" s="707"/>
      <c r="DQ468" s="707"/>
      <c r="DR468" s="707"/>
      <c r="DS468" s="707"/>
      <c r="DT468" s="707"/>
      <c r="DU468" s="707"/>
      <c r="DV468" s="707"/>
      <c r="DW468" s="707"/>
      <c r="DX468" s="707"/>
      <c r="DY468" s="707"/>
      <c r="DZ468" s="707"/>
      <c r="EA468" s="707"/>
      <c r="EB468" s="707"/>
      <c r="EC468" s="707"/>
      <c r="ED468" s="707"/>
      <c r="EE468" s="707"/>
      <c r="EF468" s="707"/>
      <c r="EG468" s="707"/>
      <c r="EH468" s="707"/>
      <c r="EI468" s="707"/>
      <c r="EJ468" s="707"/>
      <c r="EK468" s="707"/>
      <c r="EL468" s="707"/>
      <c r="EM468" s="707"/>
      <c r="EN468" s="707"/>
      <c r="EO468" s="707"/>
      <c r="EP468" s="707"/>
      <c r="EQ468" s="707"/>
      <c r="ER468" s="707"/>
      <c r="ES468" s="707"/>
      <c r="ET468" s="707"/>
      <c r="EU468" s="707"/>
      <c r="EV468" s="707"/>
      <c r="EW468" s="707"/>
      <c r="EX468" s="707"/>
      <c r="EY468" s="707"/>
      <c r="EZ468" s="707"/>
      <c r="FA468" s="707"/>
      <c r="FB468" s="707"/>
      <c r="FC468" s="707"/>
      <c r="FD468" s="707"/>
      <c r="FE468" s="707"/>
      <c r="FF468" s="707"/>
      <c r="FG468" s="707"/>
      <c r="FH468" s="707"/>
      <c r="FI468" s="707"/>
      <c r="FJ468" s="707"/>
      <c r="FK468" s="707"/>
      <c r="FL468" s="707"/>
      <c r="FM468" s="707"/>
      <c r="FN468" s="707"/>
      <c r="FO468" s="707"/>
      <c r="FP468" s="707"/>
      <c r="FQ468" s="707"/>
      <c r="FR468" s="707"/>
      <c r="FS468" s="707"/>
      <c r="FT468" s="707"/>
      <c r="FU468" s="707"/>
      <c r="FV468" s="707"/>
      <c r="FW468" s="707"/>
      <c r="FX468" s="707"/>
      <c r="FY468" s="707"/>
      <c r="FZ468" s="707"/>
      <c r="GA468" s="707"/>
      <c r="GB468" s="707"/>
      <c r="GC468" s="707"/>
      <c r="GD468" s="707"/>
      <c r="GE468" s="707"/>
      <c r="GF468" s="707"/>
      <c r="GG468" s="707"/>
      <c r="GH468" s="707"/>
      <c r="GI468" s="707"/>
      <c r="GJ468" s="707"/>
      <c r="GK468" s="707"/>
      <c r="GL468" s="707"/>
      <c r="GM468" s="707"/>
      <c r="GN468" s="707"/>
      <c r="GO468" s="707"/>
      <c r="GP468" s="707"/>
      <c r="GQ468" s="707"/>
      <c r="GR468" s="707"/>
      <c r="GS468" s="707"/>
      <c r="GT468" s="707"/>
      <c r="GU468" s="707"/>
      <c r="GV468" s="707"/>
      <c r="GW468" s="707"/>
      <c r="GX468" s="707"/>
      <c r="GY468" s="707"/>
      <c r="GZ468" s="707"/>
      <c r="HA468" s="707"/>
      <c r="HB468" s="707"/>
      <c r="HC468" s="707"/>
      <c r="HD468" s="707"/>
      <c r="HE468" s="707"/>
      <c r="HF468" s="707"/>
      <c r="HG468" s="707"/>
      <c r="HH468" s="707"/>
      <c r="HI468" s="707"/>
      <c r="HJ468" s="707"/>
      <c r="HK468" s="707"/>
      <c r="HL468" s="707"/>
      <c r="HM468" s="707"/>
      <c r="HN468" s="707"/>
      <c r="HO468" s="707"/>
      <c r="HP468" s="707"/>
      <c r="HQ468" s="707"/>
      <c r="HR468" s="707"/>
      <c r="HS468" s="707"/>
      <c r="HT468" s="707"/>
      <c r="HU468" s="707"/>
      <c r="HV468" s="707"/>
      <c r="HW468" s="707"/>
      <c r="HX468" s="707"/>
      <c r="HY468" s="707"/>
      <c r="HZ468" s="707"/>
      <c r="IA468" s="707"/>
      <c r="IB468" s="707"/>
      <c r="IC468" s="707"/>
      <c r="ID468" s="707"/>
      <c r="IE468" s="707"/>
      <c r="IF468" s="707"/>
      <c r="IG468" s="707"/>
      <c r="IH468" s="707"/>
      <c r="II468" s="707"/>
      <c r="IJ468" s="707"/>
      <c r="IK468" s="707"/>
      <c r="IL468" s="707"/>
      <c r="IM468" s="707"/>
      <c r="IN468" s="707"/>
      <c r="IO468" s="707"/>
      <c r="IP468" s="707"/>
      <c r="IQ468" s="707"/>
      <c r="IR468" s="707"/>
      <c r="IS468" s="707"/>
      <c r="IT468" s="707"/>
      <c r="IU468" s="707"/>
      <c r="IV468" s="707"/>
      <c r="IW468" s="707"/>
    </row>
    <row r="469" customFormat="false" ht="12.75" hidden="false" customHeight="false" outlineLevel="1" collapsed="false">
      <c r="A469" s="706"/>
      <c r="B469" s="688"/>
      <c r="C469" s="688"/>
      <c r="D469" s="688"/>
      <c r="E469" s="688"/>
      <c r="F469" s="688"/>
      <c r="G469" s="688"/>
      <c r="H469" s="710"/>
      <c r="I469" s="688"/>
      <c r="J469" s="711"/>
      <c r="K469" s="707"/>
      <c r="L469" s="707"/>
      <c r="M469" s="707"/>
      <c r="N469" s="707"/>
      <c r="O469" s="707"/>
      <c r="P469" s="707"/>
      <c r="Q469" s="707"/>
      <c r="R469" s="707"/>
      <c r="S469" s="707"/>
      <c r="T469" s="707"/>
      <c r="U469" s="707"/>
      <c r="V469" s="707"/>
      <c r="W469" s="707"/>
      <c r="X469" s="707"/>
      <c r="Y469" s="707"/>
      <c r="Z469" s="707"/>
      <c r="AA469" s="707"/>
      <c r="AB469" s="707"/>
      <c r="AC469" s="707"/>
      <c r="AD469" s="707"/>
      <c r="AE469" s="707"/>
      <c r="AF469" s="707"/>
      <c r="AG469" s="707"/>
      <c r="AH469" s="707"/>
      <c r="AI469" s="707"/>
      <c r="AJ469" s="707"/>
      <c r="AK469" s="707"/>
      <c r="AL469" s="707"/>
      <c r="AM469" s="707"/>
      <c r="AN469" s="707"/>
      <c r="AO469" s="707"/>
      <c r="AP469" s="707"/>
      <c r="AQ469" s="707"/>
      <c r="AR469" s="707"/>
      <c r="AS469" s="707"/>
      <c r="AT469" s="707"/>
      <c r="AU469" s="707"/>
      <c r="AV469" s="707"/>
      <c r="AW469" s="707"/>
      <c r="AX469" s="707"/>
      <c r="AY469" s="707"/>
      <c r="AZ469" s="707"/>
      <c r="BA469" s="707"/>
      <c r="BB469" s="707"/>
      <c r="BC469" s="707"/>
      <c r="BD469" s="707"/>
      <c r="BE469" s="707"/>
      <c r="BF469" s="707"/>
      <c r="BG469" s="707"/>
      <c r="BH469" s="707"/>
      <c r="BI469" s="707"/>
      <c r="BJ469" s="707"/>
      <c r="BK469" s="707"/>
      <c r="BL469" s="707"/>
      <c r="BM469" s="707"/>
      <c r="BN469" s="707"/>
      <c r="BO469" s="707"/>
      <c r="BP469" s="707"/>
      <c r="BQ469" s="707"/>
      <c r="BR469" s="707"/>
      <c r="BS469" s="707"/>
      <c r="BT469" s="707"/>
      <c r="BU469" s="707"/>
      <c r="BV469" s="707"/>
      <c r="BW469" s="707"/>
      <c r="BX469" s="707"/>
      <c r="BY469" s="707"/>
      <c r="BZ469" s="707"/>
      <c r="CA469" s="707"/>
      <c r="CB469" s="707"/>
      <c r="CC469" s="707"/>
      <c r="CD469" s="707"/>
      <c r="CE469" s="707"/>
      <c r="CF469" s="707"/>
      <c r="CG469" s="707"/>
      <c r="CH469" s="707"/>
      <c r="CI469" s="707"/>
      <c r="CJ469" s="707"/>
      <c r="CK469" s="707"/>
      <c r="CL469" s="707"/>
      <c r="CM469" s="707"/>
      <c r="CN469" s="707"/>
      <c r="CO469" s="707"/>
      <c r="CP469" s="707"/>
      <c r="CQ469" s="707"/>
      <c r="CR469" s="707"/>
      <c r="CS469" s="707"/>
      <c r="CT469" s="707"/>
      <c r="CU469" s="707"/>
      <c r="CV469" s="707"/>
      <c r="CW469" s="707"/>
      <c r="CX469" s="707"/>
      <c r="CY469" s="707"/>
      <c r="CZ469" s="707"/>
      <c r="DA469" s="707"/>
      <c r="DB469" s="707"/>
      <c r="DC469" s="707"/>
      <c r="DD469" s="707"/>
      <c r="DE469" s="707"/>
      <c r="DF469" s="707"/>
      <c r="DG469" s="707"/>
      <c r="DH469" s="707"/>
      <c r="DI469" s="707"/>
      <c r="DJ469" s="707"/>
      <c r="DK469" s="707"/>
      <c r="DL469" s="707"/>
      <c r="DM469" s="707"/>
      <c r="DN469" s="707"/>
      <c r="DO469" s="707"/>
      <c r="DP469" s="707"/>
      <c r="DQ469" s="707"/>
      <c r="DR469" s="707"/>
      <c r="DS469" s="707"/>
      <c r="DT469" s="707"/>
      <c r="DU469" s="707"/>
      <c r="DV469" s="707"/>
      <c r="DW469" s="707"/>
      <c r="DX469" s="707"/>
      <c r="DY469" s="707"/>
      <c r="DZ469" s="707"/>
      <c r="EA469" s="707"/>
      <c r="EB469" s="707"/>
      <c r="EC469" s="707"/>
      <c r="ED469" s="707"/>
      <c r="EE469" s="707"/>
      <c r="EF469" s="707"/>
      <c r="EG469" s="707"/>
      <c r="EH469" s="707"/>
      <c r="EI469" s="707"/>
      <c r="EJ469" s="707"/>
      <c r="EK469" s="707"/>
      <c r="EL469" s="707"/>
      <c r="EM469" s="707"/>
      <c r="EN469" s="707"/>
      <c r="EO469" s="707"/>
      <c r="EP469" s="707"/>
      <c r="EQ469" s="707"/>
      <c r="ER469" s="707"/>
      <c r="ES469" s="707"/>
      <c r="ET469" s="707"/>
      <c r="EU469" s="707"/>
      <c r="EV469" s="707"/>
      <c r="EW469" s="707"/>
      <c r="EX469" s="707"/>
      <c r="EY469" s="707"/>
      <c r="EZ469" s="707"/>
      <c r="FA469" s="707"/>
      <c r="FB469" s="707"/>
      <c r="FC469" s="707"/>
      <c r="FD469" s="707"/>
      <c r="FE469" s="707"/>
      <c r="FF469" s="707"/>
      <c r="FG469" s="707"/>
      <c r="FH469" s="707"/>
      <c r="FI469" s="707"/>
      <c r="FJ469" s="707"/>
      <c r="FK469" s="707"/>
      <c r="FL469" s="707"/>
      <c r="FM469" s="707"/>
      <c r="FN469" s="707"/>
      <c r="FO469" s="707"/>
      <c r="FP469" s="707"/>
      <c r="FQ469" s="707"/>
      <c r="FR469" s="707"/>
      <c r="FS469" s="707"/>
      <c r="FT469" s="707"/>
      <c r="FU469" s="707"/>
      <c r="FV469" s="707"/>
      <c r="FW469" s="707"/>
      <c r="FX469" s="707"/>
      <c r="FY469" s="707"/>
      <c r="FZ469" s="707"/>
      <c r="GA469" s="707"/>
      <c r="GB469" s="707"/>
      <c r="GC469" s="707"/>
      <c r="GD469" s="707"/>
      <c r="GE469" s="707"/>
      <c r="GF469" s="707"/>
      <c r="GG469" s="707"/>
      <c r="GH469" s="707"/>
      <c r="GI469" s="707"/>
      <c r="GJ469" s="707"/>
      <c r="GK469" s="707"/>
      <c r="GL469" s="707"/>
      <c r="GM469" s="707"/>
      <c r="GN469" s="707"/>
      <c r="GO469" s="707"/>
      <c r="GP469" s="707"/>
      <c r="GQ469" s="707"/>
      <c r="GR469" s="707"/>
      <c r="GS469" s="707"/>
      <c r="GT469" s="707"/>
      <c r="GU469" s="707"/>
      <c r="GV469" s="707"/>
      <c r="GW469" s="707"/>
      <c r="GX469" s="707"/>
      <c r="GY469" s="707"/>
      <c r="GZ469" s="707"/>
      <c r="HA469" s="707"/>
      <c r="HB469" s="707"/>
      <c r="HC469" s="707"/>
      <c r="HD469" s="707"/>
      <c r="HE469" s="707"/>
      <c r="HF469" s="707"/>
      <c r="HG469" s="707"/>
      <c r="HH469" s="707"/>
      <c r="HI469" s="707"/>
      <c r="HJ469" s="707"/>
      <c r="HK469" s="707"/>
      <c r="HL469" s="707"/>
      <c r="HM469" s="707"/>
      <c r="HN469" s="707"/>
      <c r="HO469" s="707"/>
      <c r="HP469" s="707"/>
      <c r="HQ469" s="707"/>
      <c r="HR469" s="707"/>
      <c r="HS469" s="707"/>
      <c r="HT469" s="707"/>
      <c r="HU469" s="707"/>
      <c r="HV469" s="707"/>
      <c r="HW469" s="707"/>
      <c r="HX469" s="707"/>
      <c r="HY469" s="707"/>
      <c r="HZ469" s="707"/>
      <c r="IA469" s="707"/>
      <c r="IB469" s="707"/>
      <c r="IC469" s="707"/>
      <c r="ID469" s="707"/>
      <c r="IE469" s="707"/>
      <c r="IF469" s="707"/>
      <c r="IG469" s="707"/>
      <c r="IH469" s="707"/>
      <c r="II469" s="707"/>
      <c r="IJ469" s="707"/>
      <c r="IK469" s="707"/>
      <c r="IL469" s="707"/>
      <c r="IM469" s="707"/>
      <c r="IN469" s="707"/>
      <c r="IO469" s="707"/>
      <c r="IP469" s="707"/>
      <c r="IQ469" s="707"/>
      <c r="IR469" s="707"/>
      <c r="IS469" s="707"/>
      <c r="IT469" s="707"/>
      <c r="IU469" s="707"/>
      <c r="IV469" s="707"/>
      <c r="IW469" s="707"/>
    </row>
    <row r="470" customFormat="false" ht="12.75" hidden="false" customHeight="false" outlineLevel="1" collapsed="false">
      <c r="A470" s="712"/>
      <c r="B470" s="708"/>
      <c r="C470" s="708"/>
      <c r="D470" s="708"/>
      <c r="E470" s="708"/>
      <c r="F470" s="708"/>
      <c r="G470" s="708"/>
      <c r="H470" s="708"/>
      <c r="I470" s="708"/>
      <c r="J470" s="708"/>
      <c r="K470" s="708"/>
      <c r="L470" s="708"/>
      <c r="M470" s="708"/>
      <c r="N470" s="708"/>
      <c r="O470" s="708"/>
      <c r="P470" s="708"/>
      <c r="Q470" s="708"/>
      <c r="R470" s="708"/>
      <c r="S470" s="708"/>
      <c r="T470" s="708"/>
      <c r="U470" s="708"/>
      <c r="V470" s="708"/>
      <c r="W470" s="708"/>
      <c r="X470" s="708"/>
      <c r="Y470" s="708"/>
      <c r="Z470" s="708"/>
      <c r="AA470" s="707"/>
      <c r="AB470" s="707"/>
      <c r="AC470" s="707"/>
      <c r="AD470" s="707"/>
      <c r="AE470" s="707"/>
      <c r="AF470" s="707"/>
      <c r="AG470" s="707"/>
      <c r="AH470" s="707"/>
      <c r="AI470" s="707"/>
      <c r="AJ470" s="707"/>
      <c r="AK470" s="707"/>
      <c r="AL470" s="707"/>
      <c r="AM470" s="707"/>
      <c r="AN470" s="707"/>
      <c r="AO470" s="707"/>
      <c r="AP470" s="707"/>
      <c r="AQ470" s="707"/>
      <c r="AR470" s="707"/>
      <c r="AS470" s="707"/>
      <c r="AT470" s="707"/>
      <c r="AU470" s="707"/>
      <c r="AV470" s="707"/>
      <c r="AW470" s="707"/>
      <c r="AX470" s="707"/>
      <c r="AY470" s="707"/>
      <c r="AZ470" s="707"/>
      <c r="BA470" s="707"/>
      <c r="BB470" s="707"/>
      <c r="BC470" s="707"/>
      <c r="BD470" s="707"/>
      <c r="BE470" s="707"/>
      <c r="BF470" s="707"/>
      <c r="BG470" s="707"/>
      <c r="BH470" s="707"/>
      <c r="BI470" s="707"/>
      <c r="BJ470" s="707"/>
      <c r="BK470" s="707"/>
      <c r="BL470" s="707"/>
      <c r="BM470" s="707"/>
      <c r="BN470" s="707"/>
      <c r="BO470" s="707"/>
      <c r="BP470" s="707"/>
      <c r="BQ470" s="707"/>
      <c r="BR470" s="707"/>
      <c r="BS470" s="707"/>
      <c r="BT470" s="707"/>
      <c r="BU470" s="707"/>
      <c r="BV470" s="707"/>
      <c r="BW470" s="707"/>
      <c r="BX470" s="707"/>
      <c r="BY470" s="707"/>
      <c r="BZ470" s="707"/>
      <c r="CA470" s="707"/>
      <c r="CB470" s="707"/>
      <c r="CC470" s="707"/>
      <c r="CD470" s="707"/>
      <c r="CE470" s="707"/>
      <c r="CF470" s="707"/>
      <c r="CG470" s="707"/>
      <c r="CH470" s="707"/>
      <c r="CI470" s="707"/>
      <c r="CJ470" s="707"/>
      <c r="CK470" s="707"/>
      <c r="CL470" s="707"/>
      <c r="CM470" s="707"/>
      <c r="CN470" s="707"/>
      <c r="CO470" s="707"/>
      <c r="CP470" s="707"/>
      <c r="CQ470" s="707"/>
      <c r="CR470" s="707"/>
      <c r="CS470" s="707"/>
      <c r="CT470" s="707"/>
      <c r="CU470" s="707"/>
      <c r="CV470" s="707"/>
      <c r="CW470" s="707"/>
      <c r="CX470" s="707"/>
      <c r="CY470" s="707"/>
      <c r="CZ470" s="707"/>
      <c r="DA470" s="707"/>
      <c r="DB470" s="707"/>
      <c r="DC470" s="707"/>
      <c r="DD470" s="707"/>
      <c r="DE470" s="707"/>
      <c r="DF470" s="707"/>
      <c r="DG470" s="707"/>
      <c r="DH470" s="707"/>
      <c r="DI470" s="707"/>
      <c r="DJ470" s="707"/>
      <c r="DK470" s="707"/>
      <c r="DL470" s="707"/>
      <c r="DM470" s="707"/>
      <c r="DN470" s="707"/>
      <c r="DO470" s="707"/>
      <c r="DP470" s="707"/>
      <c r="DQ470" s="707"/>
      <c r="DR470" s="707"/>
      <c r="DS470" s="707"/>
      <c r="DT470" s="707"/>
      <c r="DU470" s="707"/>
      <c r="DV470" s="707"/>
      <c r="DW470" s="707"/>
      <c r="DX470" s="707"/>
      <c r="DY470" s="707"/>
      <c r="DZ470" s="707"/>
      <c r="EA470" s="707"/>
      <c r="EB470" s="707"/>
      <c r="EC470" s="707"/>
      <c r="ED470" s="707"/>
      <c r="EE470" s="707"/>
      <c r="EF470" s="707"/>
      <c r="EG470" s="707"/>
      <c r="EH470" s="707"/>
      <c r="EI470" s="707"/>
      <c r="EJ470" s="707"/>
      <c r="EK470" s="707"/>
      <c r="EL470" s="707"/>
      <c r="EM470" s="707"/>
      <c r="EN470" s="707"/>
      <c r="EO470" s="707"/>
      <c r="EP470" s="707"/>
      <c r="EQ470" s="707"/>
      <c r="ER470" s="707"/>
      <c r="ES470" s="707"/>
      <c r="ET470" s="707"/>
      <c r="EU470" s="707"/>
      <c r="EV470" s="707"/>
      <c r="EW470" s="707"/>
      <c r="EX470" s="707"/>
      <c r="EY470" s="707"/>
      <c r="EZ470" s="707"/>
      <c r="FA470" s="707"/>
      <c r="FB470" s="707"/>
      <c r="FC470" s="707"/>
      <c r="FD470" s="707"/>
      <c r="FE470" s="707"/>
      <c r="FF470" s="707"/>
      <c r="FG470" s="707"/>
      <c r="FH470" s="707"/>
      <c r="FI470" s="707"/>
      <c r="FJ470" s="707"/>
      <c r="FK470" s="707"/>
      <c r="FL470" s="707"/>
      <c r="FM470" s="707"/>
      <c r="FN470" s="707"/>
      <c r="FO470" s="707"/>
      <c r="FP470" s="707"/>
      <c r="FQ470" s="707"/>
      <c r="FR470" s="707"/>
      <c r="FS470" s="707"/>
      <c r="FT470" s="707"/>
      <c r="FU470" s="707"/>
      <c r="FV470" s="707"/>
      <c r="FW470" s="707"/>
      <c r="FX470" s="707"/>
      <c r="FY470" s="707"/>
      <c r="FZ470" s="707"/>
      <c r="GA470" s="707"/>
      <c r="GB470" s="707"/>
      <c r="GC470" s="707"/>
      <c r="GD470" s="707"/>
      <c r="GE470" s="707"/>
      <c r="GF470" s="707"/>
      <c r="GG470" s="707"/>
      <c r="GH470" s="707"/>
      <c r="GI470" s="707"/>
      <c r="GJ470" s="707"/>
      <c r="GK470" s="707"/>
      <c r="GL470" s="707"/>
      <c r="GM470" s="707"/>
      <c r="GN470" s="707"/>
      <c r="GO470" s="707"/>
      <c r="GP470" s="707"/>
      <c r="GQ470" s="707"/>
      <c r="GR470" s="707"/>
      <c r="GS470" s="707"/>
      <c r="GT470" s="707"/>
      <c r="GU470" s="707"/>
      <c r="GV470" s="707"/>
      <c r="GW470" s="707"/>
      <c r="GX470" s="707"/>
      <c r="GY470" s="707"/>
      <c r="GZ470" s="707"/>
      <c r="HA470" s="707"/>
      <c r="HB470" s="707"/>
      <c r="HC470" s="707"/>
      <c r="HD470" s="707"/>
      <c r="HE470" s="707"/>
      <c r="HF470" s="707"/>
      <c r="HG470" s="707"/>
      <c r="HH470" s="707"/>
      <c r="HI470" s="707"/>
      <c r="HJ470" s="707"/>
      <c r="HK470" s="707"/>
      <c r="HL470" s="707"/>
      <c r="HM470" s="707"/>
      <c r="HN470" s="707"/>
      <c r="HO470" s="707"/>
      <c r="HP470" s="707"/>
      <c r="HQ470" s="707"/>
      <c r="HR470" s="707"/>
      <c r="HS470" s="707"/>
      <c r="HT470" s="707"/>
      <c r="HU470" s="707"/>
      <c r="HV470" s="707"/>
      <c r="HW470" s="707"/>
      <c r="HX470" s="707"/>
      <c r="HY470" s="707"/>
      <c r="HZ470" s="707"/>
      <c r="IA470" s="707"/>
      <c r="IB470" s="707"/>
      <c r="IC470" s="707"/>
      <c r="ID470" s="707"/>
      <c r="IE470" s="707"/>
      <c r="IF470" s="707"/>
      <c r="IG470" s="707"/>
      <c r="IH470" s="707"/>
      <c r="II470" s="707"/>
      <c r="IJ470" s="707"/>
      <c r="IK470" s="707"/>
      <c r="IL470" s="707"/>
      <c r="IM470" s="707"/>
      <c r="IN470" s="707"/>
      <c r="IO470" s="707"/>
      <c r="IP470" s="707"/>
      <c r="IQ470" s="707"/>
      <c r="IR470" s="707"/>
      <c r="IS470" s="707"/>
      <c r="IT470" s="707"/>
      <c r="IU470" s="707"/>
      <c r="IV470" s="707"/>
      <c r="IW470" s="707"/>
    </row>
    <row r="471" customFormat="false" ht="12.75" hidden="false" customHeight="false" outlineLevel="1" collapsed="false">
      <c r="A471" s="388"/>
      <c r="B471" s="706"/>
      <c r="C471" s="706"/>
      <c r="D471" s="706"/>
      <c r="E471" s="706"/>
      <c r="F471" s="706"/>
      <c r="G471" s="706"/>
      <c r="H471" s="713"/>
      <c r="I471" s="713"/>
      <c r="J471" s="713"/>
      <c r="K471" s="713"/>
      <c r="L471" s="713"/>
      <c r="M471" s="713"/>
      <c r="N471" s="713"/>
      <c r="O471" s="713"/>
      <c r="P471" s="713"/>
      <c r="Q471" s="713"/>
      <c r="R471" s="713"/>
      <c r="S471" s="713"/>
      <c r="T471" s="713"/>
      <c r="U471" s="713"/>
      <c r="V471" s="713"/>
      <c r="W471" s="713"/>
      <c r="X471" s="713"/>
      <c r="Y471" s="713"/>
      <c r="Z471" s="713"/>
      <c r="AA471" s="707"/>
      <c r="AB471" s="707"/>
      <c r="AC471" s="707"/>
      <c r="AD471" s="707"/>
      <c r="AE471" s="707"/>
      <c r="AF471" s="707"/>
      <c r="AG471" s="707"/>
      <c r="AH471" s="707"/>
      <c r="AI471" s="707"/>
      <c r="AJ471" s="707"/>
      <c r="AK471" s="707"/>
      <c r="AL471" s="707"/>
      <c r="AM471" s="707"/>
      <c r="AN471" s="707"/>
      <c r="AO471" s="707"/>
      <c r="AP471" s="707"/>
      <c r="AQ471" s="707"/>
      <c r="AR471" s="707"/>
      <c r="AS471" s="707"/>
      <c r="AT471" s="707"/>
      <c r="AU471" s="707"/>
      <c r="AV471" s="707"/>
      <c r="AW471" s="707"/>
      <c r="AX471" s="707"/>
      <c r="AY471" s="707"/>
      <c r="AZ471" s="707"/>
      <c r="BA471" s="707"/>
      <c r="BB471" s="707"/>
      <c r="BC471" s="707"/>
      <c r="BD471" s="707"/>
      <c r="BE471" s="707"/>
      <c r="BF471" s="707"/>
      <c r="BG471" s="707"/>
      <c r="BH471" s="707"/>
      <c r="BI471" s="707"/>
      <c r="BJ471" s="707"/>
      <c r="BK471" s="707"/>
      <c r="BL471" s="707"/>
      <c r="BM471" s="707"/>
      <c r="BN471" s="707"/>
      <c r="BO471" s="707"/>
      <c r="BP471" s="707"/>
      <c r="BQ471" s="707"/>
      <c r="BR471" s="707"/>
      <c r="BS471" s="707"/>
      <c r="BT471" s="707"/>
      <c r="BU471" s="707"/>
      <c r="BV471" s="707"/>
      <c r="BW471" s="707"/>
      <c r="BX471" s="707"/>
      <c r="BY471" s="707"/>
      <c r="BZ471" s="707"/>
      <c r="CA471" s="707"/>
      <c r="CB471" s="707"/>
      <c r="CC471" s="707"/>
      <c r="CD471" s="707"/>
      <c r="CE471" s="707"/>
      <c r="CF471" s="707"/>
      <c r="CG471" s="707"/>
      <c r="CH471" s="707"/>
      <c r="CI471" s="707"/>
      <c r="CJ471" s="707"/>
      <c r="CK471" s="707"/>
      <c r="CL471" s="707"/>
      <c r="CM471" s="707"/>
      <c r="CN471" s="707"/>
      <c r="CO471" s="707"/>
      <c r="CP471" s="707"/>
      <c r="CQ471" s="707"/>
      <c r="CR471" s="707"/>
      <c r="CS471" s="707"/>
      <c r="CT471" s="707"/>
      <c r="CU471" s="707"/>
      <c r="CV471" s="707"/>
      <c r="CW471" s="707"/>
      <c r="CX471" s="707"/>
      <c r="CY471" s="707"/>
      <c r="CZ471" s="707"/>
      <c r="DA471" s="707"/>
      <c r="DB471" s="707"/>
      <c r="DC471" s="707"/>
      <c r="DD471" s="707"/>
      <c r="DE471" s="707"/>
      <c r="DF471" s="707"/>
      <c r="DG471" s="707"/>
      <c r="DH471" s="707"/>
      <c r="DI471" s="707"/>
      <c r="DJ471" s="707"/>
      <c r="DK471" s="707"/>
      <c r="DL471" s="707"/>
      <c r="DM471" s="707"/>
      <c r="DN471" s="707"/>
      <c r="DO471" s="707"/>
      <c r="DP471" s="707"/>
      <c r="DQ471" s="707"/>
      <c r="DR471" s="707"/>
      <c r="DS471" s="707"/>
      <c r="DT471" s="707"/>
      <c r="DU471" s="707"/>
      <c r="DV471" s="707"/>
      <c r="DW471" s="707"/>
      <c r="DX471" s="707"/>
      <c r="DY471" s="707"/>
      <c r="DZ471" s="707"/>
      <c r="EA471" s="707"/>
      <c r="EB471" s="707"/>
      <c r="EC471" s="707"/>
      <c r="ED471" s="707"/>
      <c r="EE471" s="707"/>
      <c r="EF471" s="707"/>
      <c r="EG471" s="707"/>
      <c r="EH471" s="707"/>
      <c r="EI471" s="707"/>
      <c r="EJ471" s="707"/>
      <c r="EK471" s="707"/>
      <c r="EL471" s="707"/>
      <c r="EM471" s="707"/>
      <c r="EN471" s="707"/>
      <c r="EO471" s="707"/>
      <c r="EP471" s="707"/>
      <c r="EQ471" s="707"/>
      <c r="ER471" s="707"/>
      <c r="ES471" s="707"/>
      <c r="ET471" s="707"/>
      <c r="EU471" s="707"/>
      <c r="EV471" s="707"/>
      <c r="EW471" s="707"/>
      <c r="EX471" s="707"/>
      <c r="EY471" s="707"/>
      <c r="EZ471" s="707"/>
      <c r="FA471" s="707"/>
      <c r="FB471" s="707"/>
      <c r="FC471" s="707"/>
      <c r="FD471" s="707"/>
      <c r="FE471" s="707"/>
      <c r="FF471" s="707"/>
      <c r="FG471" s="707"/>
      <c r="FH471" s="707"/>
      <c r="FI471" s="707"/>
      <c r="FJ471" s="707"/>
      <c r="FK471" s="707"/>
      <c r="FL471" s="707"/>
      <c r="FM471" s="707"/>
      <c r="FN471" s="707"/>
      <c r="FO471" s="707"/>
      <c r="FP471" s="707"/>
      <c r="FQ471" s="707"/>
      <c r="FR471" s="707"/>
      <c r="FS471" s="707"/>
      <c r="FT471" s="707"/>
      <c r="FU471" s="707"/>
      <c r="FV471" s="707"/>
      <c r="FW471" s="707"/>
      <c r="FX471" s="707"/>
      <c r="FY471" s="707"/>
      <c r="FZ471" s="707"/>
      <c r="GA471" s="707"/>
      <c r="GB471" s="707"/>
      <c r="GC471" s="707"/>
      <c r="GD471" s="707"/>
      <c r="GE471" s="707"/>
      <c r="GF471" s="707"/>
      <c r="GG471" s="707"/>
      <c r="GH471" s="707"/>
      <c r="GI471" s="707"/>
      <c r="GJ471" s="707"/>
      <c r="GK471" s="707"/>
      <c r="GL471" s="707"/>
      <c r="GM471" s="707"/>
      <c r="GN471" s="707"/>
      <c r="GO471" s="707"/>
      <c r="GP471" s="707"/>
      <c r="GQ471" s="707"/>
      <c r="GR471" s="707"/>
      <c r="GS471" s="707"/>
      <c r="GT471" s="707"/>
      <c r="GU471" s="707"/>
      <c r="GV471" s="707"/>
      <c r="GW471" s="707"/>
      <c r="GX471" s="707"/>
      <c r="GY471" s="707"/>
      <c r="GZ471" s="707"/>
      <c r="HA471" s="707"/>
      <c r="HB471" s="707"/>
      <c r="HC471" s="707"/>
      <c r="HD471" s="707"/>
      <c r="HE471" s="707"/>
      <c r="HF471" s="707"/>
      <c r="HG471" s="707"/>
      <c r="HH471" s="707"/>
      <c r="HI471" s="707"/>
      <c r="HJ471" s="707"/>
      <c r="HK471" s="707"/>
      <c r="HL471" s="707"/>
      <c r="HM471" s="707"/>
      <c r="HN471" s="707"/>
      <c r="HO471" s="707"/>
      <c r="HP471" s="707"/>
      <c r="HQ471" s="707"/>
      <c r="HR471" s="707"/>
      <c r="HS471" s="707"/>
      <c r="HT471" s="707"/>
      <c r="HU471" s="707"/>
      <c r="HV471" s="707"/>
      <c r="HW471" s="707"/>
      <c r="HX471" s="707"/>
      <c r="HY471" s="707"/>
      <c r="HZ471" s="707"/>
      <c r="IA471" s="707"/>
      <c r="IB471" s="707"/>
      <c r="IC471" s="707"/>
      <c r="ID471" s="707"/>
      <c r="IE471" s="707"/>
      <c r="IF471" s="707"/>
      <c r="IG471" s="707"/>
      <c r="IH471" s="707"/>
      <c r="II471" s="707"/>
      <c r="IJ471" s="707"/>
      <c r="IK471" s="707"/>
      <c r="IL471" s="707"/>
      <c r="IM471" s="707"/>
      <c r="IN471" s="707"/>
      <c r="IO471" s="707"/>
      <c r="IP471" s="707"/>
      <c r="IQ471" s="707"/>
      <c r="IR471" s="707"/>
      <c r="IS471" s="707"/>
      <c r="IT471" s="707"/>
      <c r="IU471" s="707"/>
      <c r="IV471" s="707"/>
      <c r="IW471" s="707"/>
    </row>
    <row r="472" customFormat="false" ht="12.75" hidden="false" customHeight="false" outlineLevel="1" collapsed="false">
      <c r="A472" s="367"/>
      <c r="B472" s="706"/>
      <c r="C472" s="706"/>
      <c r="D472" s="706"/>
      <c r="E472" s="713"/>
      <c r="F472" s="713"/>
      <c r="G472" s="713"/>
      <c r="H472" s="713"/>
      <c r="I472" s="713"/>
      <c r="J472" s="713"/>
      <c r="K472" s="713"/>
      <c r="L472" s="713"/>
      <c r="M472" s="713"/>
      <c r="N472" s="713"/>
      <c r="O472" s="713"/>
      <c r="P472" s="713"/>
      <c r="Q472" s="713"/>
      <c r="R472" s="713"/>
      <c r="S472" s="713"/>
      <c r="T472" s="713"/>
      <c r="U472" s="713"/>
      <c r="V472" s="713"/>
      <c r="W472" s="713"/>
      <c r="X472" s="713"/>
      <c r="Y472" s="713"/>
      <c r="Z472" s="713"/>
      <c r="AA472" s="707"/>
      <c r="AB472" s="707"/>
      <c r="AC472" s="707"/>
      <c r="AD472" s="707"/>
      <c r="AE472" s="707"/>
      <c r="AF472" s="707"/>
      <c r="AG472" s="707"/>
      <c r="AH472" s="707"/>
      <c r="AI472" s="707"/>
      <c r="AJ472" s="707"/>
      <c r="AK472" s="707"/>
      <c r="AL472" s="707"/>
      <c r="AM472" s="707"/>
      <c r="AN472" s="707"/>
      <c r="AO472" s="707"/>
      <c r="AP472" s="707"/>
      <c r="AQ472" s="707"/>
      <c r="AR472" s="707"/>
      <c r="AS472" s="707"/>
      <c r="AT472" s="707"/>
      <c r="AU472" s="707"/>
      <c r="AV472" s="707"/>
      <c r="AW472" s="707"/>
      <c r="AX472" s="707"/>
      <c r="AY472" s="707"/>
      <c r="AZ472" s="707"/>
      <c r="BA472" s="707"/>
      <c r="BB472" s="707"/>
      <c r="BC472" s="707"/>
      <c r="BD472" s="707"/>
      <c r="BE472" s="707"/>
      <c r="BF472" s="707"/>
      <c r="BG472" s="707"/>
      <c r="BH472" s="707"/>
      <c r="BI472" s="707"/>
      <c r="BJ472" s="707"/>
      <c r="BK472" s="707"/>
      <c r="BL472" s="707"/>
      <c r="BM472" s="707"/>
      <c r="BN472" s="707"/>
      <c r="BO472" s="707"/>
      <c r="BP472" s="707"/>
      <c r="BQ472" s="707"/>
      <c r="BR472" s="707"/>
      <c r="BS472" s="707"/>
      <c r="BT472" s="707"/>
      <c r="BU472" s="707"/>
      <c r="BV472" s="707"/>
      <c r="BW472" s="707"/>
      <c r="BX472" s="707"/>
      <c r="BY472" s="707"/>
      <c r="BZ472" s="707"/>
      <c r="CA472" s="707"/>
      <c r="CB472" s="707"/>
      <c r="CC472" s="707"/>
      <c r="CD472" s="707"/>
      <c r="CE472" s="707"/>
      <c r="CF472" s="707"/>
      <c r="CG472" s="707"/>
      <c r="CH472" s="707"/>
      <c r="CI472" s="707"/>
      <c r="CJ472" s="707"/>
      <c r="CK472" s="707"/>
      <c r="CL472" s="707"/>
      <c r="CM472" s="707"/>
      <c r="CN472" s="707"/>
      <c r="CO472" s="707"/>
      <c r="CP472" s="707"/>
      <c r="CQ472" s="707"/>
      <c r="CR472" s="707"/>
      <c r="CS472" s="707"/>
      <c r="CT472" s="707"/>
      <c r="CU472" s="707"/>
      <c r="CV472" s="707"/>
      <c r="CW472" s="707"/>
      <c r="CX472" s="707"/>
      <c r="CY472" s="707"/>
      <c r="CZ472" s="707"/>
      <c r="DA472" s="707"/>
      <c r="DB472" s="707"/>
      <c r="DC472" s="707"/>
      <c r="DD472" s="707"/>
      <c r="DE472" s="707"/>
      <c r="DF472" s="707"/>
      <c r="DG472" s="707"/>
      <c r="DH472" s="707"/>
      <c r="DI472" s="707"/>
      <c r="DJ472" s="707"/>
      <c r="DK472" s="707"/>
      <c r="DL472" s="707"/>
      <c r="DM472" s="707"/>
      <c r="DN472" s="707"/>
      <c r="DO472" s="707"/>
      <c r="DP472" s="707"/>
      <c r="DQ472" s="707"/>
      <c r="DR472" s="707"/>
      <c r="DS472" s="707"/>
      <c r="DT472" s="707"/>
      <c r="DU472" s="707"/>
      <c r="DV472" s="707"/>
      <c r="DW472" s="707"/>
      <c r="DX472" s="707"/>
      <c r="DY472" s="707"/>
      <c r="DZ472" s="707"/>
      <c r="EA472" s="707"/>
      <c r="EB472" s="707"/>
      <c r="EC472" s="707"/>
      <c r="ED472" s="707"/>
      <c r="EE472" s="707"/>
      <c r="EF472" s="707"/>
      <c r="EG472" s="707"/>
      <c r="EH472" s="707"/>
      <c r="EI472" s="707"/>
      <c r="EJ472" s="707"/>
      <c r="EK472" s="707"/>
      <c r="EL472" s="707"/>
      <c r="EM472" s="707"/>
      <c r="EN472" s="707"/>
      <c r="EO472" s="707"/>
      <c r="EP472" s="707"/>
      <c r="EQ472" s="707"/>
      <c r="ER472" s="707"/>
      <c r="ES472" s="707"/>
      <c r="ET472" s="707"/>
      <c r="EU472" s="707"/>
      <c r="EV472" s="707"/>
      <c r="EW472" s="707"/>
      <c r="EX472" s="707"/>
      <c r="EY472" s="707"/>
      <c r="EZ472" s="707"/>
      <c r="FA472" s="707"/>
      <c r="FB472" s="707"/>
      <c r="FC472" s="707"/>
      <c r="FD472" s="707"/>
      <c r="FE472" s="707"/>
      <c r="FF472" s="707"/>
      <c r="FG472" s="707"/>
      <c r="FH472" s="707"/>
      <c r="FI472" s="707"/>
      <c r="FJ472" s="707"/>
      <c r="FK472" s="707"/>
      <c r="FL472" s="707"/>
      <c r="FM472" s="707"/>
      <c r="FN472" s="707"/>
      <c r="FO472" s="707"/>
      <c r="FP472" s="707"/>
      <c r="FQ472" s="707"/>
      <c r="FR472" s="707"/>
      <c r="FS472" s="707"/>
      <c r="FT472" s="707"/>
      <c r="FU472" s="707"/>
      <c r="FV472" s="707"/>
      <c r="FW472" s="707"/>
      <c r="FX472" s="707"/>
      <c r="FY472" s="707"/>
      <c r="FZ472" s="707"/>
      <c r="GA472" s="707"/>
      <c r="GB472" s="707"/>
      <c r="GC472" s="707"/>
      <c r="GD472" s="707"/>
      <c r="GE472" s="707"/>
      <c r="GF472" s="707"/>
      <c r="GG472" s="707"/>
      <c r="GH472" s="707"/>
      <c r="GI472" s="707"/>
      <c r="GJ472" s="707"/>
      <c r="GK472" s="707"/>
      <c r="GL472" s="707"/>
      <c r="GM472" s="707"/>
      <c r="GN472" s="707"/>
      <c r="GO472" s="707"/>
      <c r="GP472" s="707"/>
      <c r="GQ472" s="707"/>
      <c r="GR472" s="707"/>
      <c r="GS472" s="707"/>
      <c r="GT472" s="707"/>
      <c r="GU472" s="707"/>
      <c r="GV472" s="707"/>
      <c r="GW472" s="707"/>
      <c r="GX472" s="707"/>
      <c r="GY472" s="707"/>
      <c r="GZ472" s="707"/>
      <c r="HA472" s="707"/>
      <c r="HB472" s="707"/>
      <c r="HC472" s="707"/>
      <c r="HD472" s="707"/>
      <c r="HE472" s="707"/>
      <c r="HF472" s="707"/>
      <c r="HG472" s="707"/>
      <c r="HH472" s="707"/>
      <c r="HI472" s="707"/>
      <c r="HJ472" s="707"/>
      <c r="HK472" s="707"/>
      <c r="HL472" s="707"/>
      <c r="HM472" s="707"/>
      <c r="HN472" s="707"/>
      <c r="HO472" s="707"/>
      <c r="HP472" s="707"/>
      <c r="HQ472" s="707"/>
      <c r="HR472" s="707"/>
      <c r="HS472" s="707"/>
      <c r="HT472" s="707"/>
      <c r="HU472" s="707"/>
      <c r="HV472" s="707"/>
      <c r="HW472" s="707"/>
      <c r="HX472" s="707"/>
      <c r="HY472" s="707"/>
      <c r="HZ472" s="707"/>
      <c r="IA472" s="707"/>
      <c r="IB472" s="707"/>
      <c r="IC472" s="707"/>
      <c r="ID472" s="707"/>
      <c r="IE472" s="707"/>
      <c r="IF472" s="707"/>
      <c r="IG472" s="707"/>
      <c r="IH472" s="707"/>
      <c r="II472" s="707"/>
      <c r="IJ472" s="707"/>
      <c r="IK472" s="707"/>
      <c r="IL472" s="707"/>
      <c r="IM472" s="707"/>
      <c r="IN472" s="707"/>
      <c r="IO472" s="707"/>
      <c r="IP472" s="707"/>
      <c r="IQ472" s="707"/>
      <c r="IR472" s="707"/>
      <c r="IS472" s="707"/>
      <c r="IT472" s="707"/>
      <c r="IU472" s="707"/>
      <c r="IV472" s="707"/>
      <c r="IW472" s="707"/>
    </row>
    <row r="473" customFormat="false" ht="12.75" hidden="false" customHeight="false" outlineLevel="1" collapsed="false">
      <c r="A473" s="367"/>
      <c r="B473" s="714"/>
      <c r="C473" s="714"/>
      <c r="D473" s="714"/>
      <c r="E473" s="713"/>
      <c r="F473" s="713"/>
      <c r="G473" s="713"/>
      <c r="H473" s="713"/>
      <c r="I473" s="713"/>
      <c r="J473" s="713"/>
      <c r="K473" s="713"/>
      <c r="L473" s="713"/>
      <c r="M473" s="713"/>
      <c r="N473" s="713"/>
      <c r="O473" s="713"/>
      <c r="P473" s="713"/>
      <c r="Q473" s="713"/>
      <c r="R473" s="713"/>
      <c r="S473" s="713"/>
      <c r="T473" s="713"/>
      <c r="U473" s="713"/>
      <c r="V473" s="713"/>
      <c r="W473" s="713"/>
      <c r="X473" s="713"/>
      <c r="Y473" s="713"/>
      <c r="Z473" s="713"/>
      <c r="AA473" s="707"/>
      <c r="AB473" s="707"/>
      <c r="AC473" s="707"/>
      <c r="AD473" s="707"/>
      <c r="AE473" s="707"/>
      <c r="AF473" s="707"/>
      <c r="AG473" s="707"/>
      <c r="AH473" s="707"/>
      <c r="AI473" s="707"/>
      <c r="AJ473" s="707"/>
      <c r="AK473" s="707"/>
      <c r="AL473" s="707"/>
      <c r="AM473" s="707"/>
      <c r="AN473" s="707"/>
      <c r="AO473" s="707"/>
      <c r="AP473" s="707"/>
      <c r="AQ473" s="707"/>
      <c r="AR473" s="707"/>
      <c r="AS473" s="707"/>
      <c r="AT473" s="707"/>
      <c r="AU473" s="707"/>
      <c r="AV473" s="707"/>
      <c r="AW473" s="707"/>
      <c r="AX473" s="707"/>
      <c r="AY473" s="707"/>
      <c r="AZ473" s="707"/>
      <c r="BA473" s="707"/>
      <c r="BB473" s="707"/>
      <c r="BC473" s="707"/>
      <c r="BD473" s="707"/>
      <c r="BE473" s="707"/>
      <c r="BF473" s="707"/>
      <c r="BG473" s="707"/>
      <c r="BH473" s="707"/>
      <c r="BI473" s="707"/>
      <c r="BJ473" s="707"/>
      <c r="BK473" s="707"/>
      <c r="BL473" s="707"/>
      <c r="BM473" s="707"/>
      <c r="BN473" s="707"/>
      <c r="BO473" s="707"/>
      <c r="BP473" s="707"/>
      <c r="BQ473" s="707"/>
      <c r="BR473" s="707"/>
      <c r="BS473" s="707"/>
      <c r="BT473" s="707"/>
      <c r="BU473" s="707"/>
      <c r="BV473" s="707"/>
      <c r="BW473" s="707"/>
      <c r="BX473" s="707"/>
      <c r="BY473" s="707"/>
      <c r="BZ473" s="707"/>
      <c r="CA473" s="707"/>
      <c r="CB473" s="707"/>
      <c r="CC473" s="707"/>
      <c r="CD473" s="707"/>
      <c r="CE473" s="707"/>
      <c r="CF473" s="707"/>
      <c r="CG473" s="707"/>
      <c r="CH473" s="707"/>
      <c r="CI473" s="707"/>
      <c r="CJ473" s="707"/>
      <c r="CK473" s="707"/>
      <c r="CL473" s="707"/>
      <c r="CM473" s="707"/>
      <c r="CN473" s="707"/>
      <c r="CO473" s="707"/>
      <c r="CP473" s="707"/>
      <c r="CQ473" s="707"/>
      <c r="CR473" s="707"/>
      <c r="CS473" s="707"/>
      <c r="CT473" s="707"/>
      <c r="CU473" s="707"/>
      <c r="CV473" s="707"/>
      <c r="CW473" s="707"/>
      <c r="CX473" s="707"/>
      <c r="CY473" s="707"/>
      <c r="CZ473" s="707"/>
      <c r="DA473" s="707"/>
      <c r="DB473" s="707"/>
      <c r="DC473" s="707"/>
      <c r="DD473" s="707"/>
      <c r="DE473" s="707"/>
      <c r="DF473" s="707"/>
      <c r="DG473" s="707"/>
      <c r="DH473" s="707"/>
      <c r="DI473" s="707"/>
      <c r="DJ473" s="707"/>
      <c r="DK473" s="707"/>
      <c r="DL473" s="707"/>
      <c r="DM473" s="707"/>
      <c r="DN473" s="707"/>
      <c r="DO473" s="707"/>
      <c r="DP473" s="707"/>
      <c r="DQ473" s="707"/>
      <c r="DR473" s="707"/>
      <c r="DS473" s="707"/>
      <c r="DT473" s="707"/>
      <c r="DU473" s="707"/>
      <c r="DV473" s="707"/>
      <c r="DW473" s="707"/>
      <c r="DX473" s="707"/>
      <c r="DY473" s="707"/>
      <c r="DZ473" s="707"/>
      <c r="EA473" s="707"/>
      <c r="EB473" s="707"/>
      <c r="EC473" s="707"/>
      <c r="ED473" s="707"/>
      <c r="EE473" s="707"/>
      <c r="EF473" s="707"/>
      <c r="EG473" s="707"/>
      <c r="EH473" s="707"/>
      <c r="EI473" s="707"/>
      <c r="EJ473" s="707"/>
      <c r="EK473" s="707"/>
      <c r="EL473" s="707"/>
      <c r="EM473" s="707"/>
      <c r="EN473" s="707"/>
      <c r="EO473" s="707"/>
      <c r="EP473" s="707"/>
      <c r="EQ473" s="707"/>
      <c r="ER473" s="707"/>
      <c r="ES473" s="707"/>
      <c r="ET473" s="707"/>
      <c r="EU473" s="707"/>
      <c r="EV473" s="707"/>
      <c r="EW473" s="707"/>
      <c r="EX473" s="707"/>
      <c r="EY473" s="707"/>
      <c r="EZ473" s="707"/>
      <c r="FA473" s="707"/>
      <c r="FB473" s="707"/>
      <c r="FC473" s="707"/>
      <c r="FD473" s="707"/>
      <c r="FE473" s="707"/>
      <c r="FF473" s="707"/>
      <c r="FG473" s="707"/>
      <c r="FH473" s="707"/>
      <c r="FI473" s="707"/>
      <c r="FJ473" s="707"/>
      <c r="FK473" s="707"/>
      <c r="FL473" s="707"/>
      <c r="FM473" s="707"/>
      <c r="FN473" s="707"/>
      <c r="FO473" s="707"/>
      <c r="FP473" s="707"/>
      <c r="FQ473" s="707"/>
      <c r="FR473" s="707"/>
      <c r="FS473" s="707"/>
      <c r="FT473" s="707"/>
      <c r="FU473" s="707"/>
      <c r="FV473" s="707"/>
      <c r="FW473" s="707"/>
      <c r="FX473" s="707"/>
      <c r="FY473" s="707"/>
      <c r="FZ473" s="707"/>
      <c r="GA473" s="707"/>
      <c r="GB473" s="707"/>
      <c r="GC473" s="707"/>
      <c r="GD473" s="707"/>
      <c r="GE473" s="707"/>
      <c r="GF473" s="707"/>
      <c r="GG473" s="707"/>
      <c r="GH473" s="707"/>
      <c r="GI473" s="707"/>
      <c r="GJ473" s="707"/>
      <c r="GK473" s="707"/>
      <c r="GL473" s="707"/>
      <c r="GM473" s="707"/>
      <c r="GN473" s="707"/>
      <c r="GO473" s="707"/>
      <c r="GP473" s="707"/>
      <c r="GQ473" s="707"/>
      <c r="GR473" s="707"/>
      <c r="GS473" s="707"/>
      <c r="GT473" s="707"/>
      <c r="GU473" s="707"/>
      <c r="GV473" s="707"/>
      <c r="GW473" s="707"/>
      <c r="GX473" s="707"/>
      <c r="GY473" s="707"/>
      <c r="GZ473" s="707"/>
      <c r="HA473" s="707"/>
      <c r="HB473" s="707"/>
      <c r="HC473" s="707"/>
      <c r="HD473" s="707"/>
      <c r="HE473" s="707"/>
      <c r="HF473" s="707"/>
      <c r="HG473" s="707"/>
      <c r="HH473" s="707"/>
      <c r="HI473" s="707"/>
      <c r="HJ473" s="707"/>
      <c r="HK473" s="707"/>
      <c r="HL473" s="707"/>
      <c r="HM473" s="707"/>
      <c r="HN473" s="707"/>
      <c r="HO473" s="707"/>
      <c r="HP473" s="707"/>
      <c r="HQ473" s="707"/>
      <c r="HR473" s="707"/>
      <c r="HS473" s="707"/>
      <c r="HT473" s="707"/>
      <c r="HU473" s="707"/>
      <c r="HV473" s="707"/>
      <c r="HW473" s="707"/>
      <c r="HX473" s="707"/>
      <c r="HY473" s="707"/>
      <c r="HZ473" s="707"/>
      <c r="IA473" s="707"/>
      <c r="IB473" s="707"/>
      <c r="IC473" s="707"/>
      <c r="ID473" s="707"/>
      <c r="IE473" s="707"/>
      <c r="IF473" s="707"/>
      <c r="IG473" s="707"/>
      <c r="IH473" s="707"/>
      <c r="II473" s="707"/>
      <c r="IJ473" s="707"/>
      <c r="IK473" s="707"/>
      <c r="IL473" s="707"/>
      <c r="IM473" s="707"/>
      <c r="IN473" s="707"/>
      <c r="IO473" s="707"/>
      <c r="IP473" s="707"/>
      <c r="IQ473" s="707"/>
      <c r="IR473" s="707"/>
      <c r="IS473" s="707"/>
      <c r="IT473" s="707"/>
      <c r="IU473" s="707"/>
      <c r="IV473" s="707"/>
      <c r="IW473" s="707"/>
    </row>
    <row r="474" customFormat="false" ht="12.75" hidden="false" customHeight="false" outlineLevel="1" collapsed="false">
      <c r="A474" s="367"/>
      <c r="B474" s="715"/>
      <c r="C474" s="715"/>
      <c r="D474" s="715"/>
      <c r="E474" s="713"/>
      <c r="F474" s="713"/>
      <c r="G474" s="713"/>
      <c r="H474" s="713"/>
      <c r="I474" s="713"/>
      <c r="J474" s="713"/>
      <c r="K474" s="713"/>
      <c r="L474" s="713"/>
      <c r="M474" s="713"/>
      <c r="N474" s="713"/>
      <c r="O474" s="713"/>
      <c r="P474" s="713"/>
      <c r="Q474" s="713"/>
      <c r="R474" s="713"/>
      <c r="S474" s="713"/>
      <c r="T474" s="713"/>
      <c r="U474" s="713"/>
      <c r="V474" s="713"/>
      <c r="W474" s="713"/>
      <c r="X474" s="713"/>
      <c r="Y474" s="713"/>
      <c r="Z474" s="713"/>
      <c r="AA474" s="707"/>
      <c r="AB474" s="707"/>
      <c r="AC474" s="707"/>
      <c r="AD474" s="707"/>
      <c r="AE474" s="707"/>
      <c r="AF474" s="707"/>
      <c r="AG474" s="707"/>
      <c r="AH474" s="707"/>
      <c r="AI474" s="707"/>
      <c r="AJ474" s="707"/>
      <c r="AK474" s="707"/>
      <c r="AL474" s="707"/>
      <c r="AM474" s="707"/>
      <c r="AN474" s="707"/>
      <c r="AO474" s="707"/>
      <c r="AP474" s="707"/>
      <c r="AQ474" s="707"/>
      <c r="AR474" s="707"/>
      <c r="AS474" s="707"/>
      <c r="AT474" s="707"/>
      <c r="AU474" s="707"/>
      <c r="AV474" s="707"/>
      <c r="AW474" s="707"/>
      <c r="AX474" s="707"/>
      <c r="AY474" s="707"/>
      <c r="AZ474" s="707"/>
      <c r="BA474" s="707"/>
      <c r="BB474" s="707"/>
      <c r="BC474" s="707"/>
      <c r="BD474" s="707"/>
      <c r="BE474" s="707"/>
      <c r="BF474" s="707"/>
      <c r="BG474" s="707"/>
      <c r="BH474" s="707"/>
      <c r="BI474" s="707"/>
      <c r="BJ474" s="707"/>
      <c r="BK474" s="707"/>
      <c r="BL474" s="707"/>
      <c r="BM474" s="707"/>
      <c r="BN474" s="707"/>
      <c r="BO474" s="707"/>
      <c r="BP474" s="707"/>
      <c r="BQ474" s="707"/>
      <c r="BR474" s="707"/>
      <c r="BS474" s="707"/>
      <c r="BT474" s="707"/>
      <c r="BU474" s="707"/>
      <c r="BV474" s="707"/>
      <c r="BW474" s="707"/>
      <c r="BX474" s="707"/>
      <c r="BY474" s="707"/>
      <c r="BZ474" s="707"/>
      <c r="CA474" s="707"/>
      <c r="CB474" s="707"/>
      <c r="CC474" s="707"/>
      <c r="CD474" s="707"/>
      <c r="CE474" s="707"/>
      <c r="CF474" s="707"/>
      <c r="CG474" s="707"/>
      <c r="CH474" s="707"/>
      <c r="CI474" s="707"/>
      <c r="CJ474" s="707"/>
      <c r="CK474" s="707"/>
      <c r="CL474" s="707"/>
      <c r="CM474" s="707"/>
      <c r="CN474" s="707"/>
      <c r="CO474" s="707"/>
      <c r="CP474" s="707"/>
      <c r="CQ474" s="707"/>
      <c r="CR474" s="707"/>
      <c r="CS474" s="707"/>
      <c r="CT474" s="707"/>
      <c r="CU474" s="707"/>
      <c r="CV474" s="707"/>
      <c r="CW474" s="707"/>
      <c r="CX474" s="707"/>
      <c r="CY474" s="707"/>
      <c r="CZ474" s="707"/>
      <c r="DA474" s="707"/>
      <c r="DB474" s="707"/>
      <c r="DC474" s="707"/>
      <c r="DD474" s="707"/>
      <c r="DE474" s="707"/>
      <c r="DF474" s="707"/>
      <c r="DG474" s="707"/>
      <c r="DH474" s="707"/>
      <c r="DI474" s="707"/>
      <c r="DJ474" s="707"/>
      <c r="DK474" s="707"/>
      <c r="DL474" s="707"/>
      <c r="DM474" s="707"/>
      <c r="DN474" s="707"/>
      <c r="DO474" s="707"/>
      <c r="DP474" s="707"/>
      <c r="DQ474" s="707"/>
      <c r="DR474" s="707"/>
      <c r="DS474" s="707"/>
      <c r="DT474" s="707"/>
      <c r="DU474" s="707"/>
      <c r="DV474" s="707"/>
      <c r="DW474" s="707"/>
      <c r="DX474" s="707"/>
      <c r="DY474" s="707"/>
      <c r="DZ474" s="707"/>
      <c r="EA474" s="707"/>
      <c r="EB474" s="707"/>
      <c r="EC474" s="707"/>
      <c r="ED474" s="707"/>
      <c r="EE474" s="707"/>
      <c r="EF474" s="707"/>
      <c r="EG474" s="707"/>
      <c r="EH474" s="707"/>
      <c r="EI474" s="707"/>
      <c r="EJ474" s="707"/>
      <c r="EK474" s="707"/>
      <c r="EL474" s="707"/>
      <c r="EM474" s="707"/>
      <c r="EN474" s="707"/>
      <c r="EO474" s="707"/>
      <c r="EP474" s="707"/>
      <c r="EQ474" s="707"/>
      <c r="ER474" s="707"/>
      <c r="ES474" s="707"/>
      <c r="ET474" s="707"/>
      <c r="EU474" s="707"/>
      <c r="EV474" s="707"/>
      <c r="EW474" s="707"/>
      <c r="EX474" s="707"/>
      <c r="EY474" s="707"/>
      <c r="EZ474" s="707"/>
      <c r="FA474" s="707"/>
      <c r="FB474" s="707"/>
      <c r="FC474" s="707"/>
      <c r="FD474" s="707"/>
      <c r="FE474" s="707"/>
      <c r="FF474" s="707"/>
      <c r="FG474" s="707"/>
      <c r="FH474" s="707"/>
      <c r="FI474" s="707"/>
      <c r="FJ474" s="707"/>
      <c r="FK474" s="707"/>
      <c r="FL474" s="707"/>
      <c r="FM474" s="707"/>
      <c r="FN474" s="707"/>
      <c r="FO474" s="707"/>
      <c r="FP474" s="707"/>
      <c r="FQ474" s="707"/>
      <c r="FR474" s="707"/>
      <c r="FS474" s="707"/>
      <c r="FT474" s="707"/>
      <c r="FU474" s="707"/>
      <c r="FV474" s="707"/>
      <c r="FW474" s="707"/>
      <c r="FX474" s="707"/>
      <c r="FY474" s="707"/>
      <c r="FZ474" s="707"/>
      <c r="GA474" s="707"/>
      <c r="GB474" s="707"/>
      <c r="GC474" s="707"/>
      <c r="GD474" s="707"/>
      <c r="GE474" s="707"/>
      <c r="GF474" s="707"/>
      <c r="GG474" s="707"/>
      <c r="GH474" s="707"/>
      <c r="GI474" s="707"/>
      <c r="GJ474" s="707"/>
      <c r="GK474" s="707"/>
      <c r="GL474" s="707"/>
      <c r="GM474" s="707"/>
      <c r="GN474" s="707"/>
      <c r="GO474" s="707"/>
      <c r="GP474" s="707"/>
      <c r="GQ474" s="707"/>
      <c r="GR474" s="707"/>
      <c r="GS474" s="707"/>
      <c r="GT474" s="707"/>
      <c r="GU474" s="707"/>
      <c r="GV474" s="707"/>
      <c r="GW474" s="707"/>
      <c r="GX474" s="707"/>
      <c r="GY474" s="707"/>
      <c r="GZ474" s="707"/>
      <c r="HA474" s="707"/>
      <c r="HB474" s="707"/>
      <c r="HC474" s="707"/>
      <c r="HD474" s="707"/>
      <c r="HE474" s="707"/>
      <c r="HF474" s="707"/>
      <c r="HG474" s="707"/>
      <c r="HH474" s="707"/>
      <c r="HI474" s="707"/>
      <c r="HJ474" s="707"/>
      <c r="HK474" s="707"/>
      <c r="HL474" s="707"/>
      <c r="HM474" s="707"/>
      <c r="HN474" s="707"/>
      <c r="HO474" s="707"/>
      <c r="HP474" s="707"/>
      <c r="HQ474" s="707"/>
      <c r="HR474" s="707"/>
      <c r="HS474" s="707"/>
      <c r="HT474" s="707"/>
      <c r="HU474" s="707"/>
      <c r="HV474" s="707"/>
      <c r="HW474" s="707"/>
      <c r="HX474" s="707"/>
      <c r="HY474" s="707"/>
      <c r="HZ474" s="707"/>
      <c r="IA474" s="707"/>
      <c r="IB474" s="707"/>
      <c r="IC474" s="707"/>
      <c r="ID474" s="707"/>
      <c r="IE474" s="707"/>
      <c r="IF474" s="707"/>
      <c r="IG474" s="707"/>
      <c r="IH474" s="707"/>
      <c r="II474" s="707"/>
      <c r="IJ474" s="707"/>
      <c r="IK474" s="707"/>
      <c r="IL474" s="707"/>
      <c r="IM474" s="707"/>
      <c r="IN474" s="707"/>
      <c r="IO474" s="707"/>
      <c r="IP474" s="707"/>
      <c r="IQ474" s="707"/>
      <c r="IR474" s="707"/>
      <c r="IS474" s="707"/>
      <c r="IT474" s="707"/>
      <c r="IU474" s="707"/>
      <c r="IV474" s="707"/>
      <c r="IW474" s="707"/>
    </row>
    <row r="475" customFormat="false" ht="12.75" hidden="false" customHeight="false" outlineLevel="1" collapsed="false">
      <c r="A475" s="366"/>
      <c r="B475" s="712"/>
      <c r="C475" s="712"/>
      <c r="D475" s="712"/>
      <c r="E475" s="713"/>
      <c r="F475" s="713"/>
      <c r="G475" s="713"/>
      <c r="H475" s="713"/>
      <c r="I475" s="713"/>
      <c r="J475" s="713"/>
      <c r="K475" s="713"/>
      <c r="L475" s="713"/>
      <c r="M475" s="713"/>
      <c r="N475" s="713"/>
      <c r="O475" s="713"/>
      <c r="P475" s="713"/>
      <c r="Q475" s="713"/>
      <c r="R475" s="713"/>
      <c r="S475" s="713"/>
      <c r="T475" s="713"/>
      <c r="U475" s="713"/>
      <c r="V475" s="713"/>
      <c r="W475" s="713"/>
      <c r="X475" s="713"/>
      <c r="Y475" s="713"/>
      <c r="Z475" s="713"/>
      <c r="AA475" s="707"/>
      <c r="AB475" s="707"/>
      <c r="AC475" s="707"/>
      <c r="AD475" s="707"/>
      <c r="AE475" s="707"/>
      <c r="AF475" s="707"/>
      <c r="AG475" s="707"/>
      <c r="AH475" s="707"/>
      <c r="AI475" s="707"/>
      <c r="AJ475" s="707"/>
      <c r="AK475" s="707"/>
      <c r="AL475" s="707"/>
      <c r="AM475" s="707"/>
      <c r="AN475" s="707"/>
      <c r="AO475" s="707"/>
      <c r="AP475" s="707"/>
      <c r="AQ475" s="707"/>
      <c r="AR475" s="707"/>
      <c r="AS475" s="707"/>
      <c r="AT475" s="707"/>
      <c r="AU475" s="707"/>
      <c r="AV475" s="707"/>
      <c r="AW475" s="707"/>
      <c r="AX475" s="707"/>
      <c r="AY475" s="707"/>
      <c r="AZ475" s="707"/>
      <c r="BA475" s="707"/>
      <c r="BB475" s="707"/>
      <c r="BC475" s="707"/>
      <c r="BD475" s="707"/>
      <c r="BE475" s="707"/>
      <c r="BF475" s="707"/>
      <c r="BG475" s="707"/>
      <c r="BH475" s="707"/>
      <c r="BI475" s="707"/>
      <c r="BJ475" s="707"/>
      <c r="BK475" s="707"/>
      <c r="BL475" s="707"/>
      <c r="BM475" s="707"/>
      <c r="BN475" s="707"/>
      <c r="BO475" s="707"/>
      <c r="BP475" s="707"/>
      <c r="BQ475" s="707"/>
      <c r="BR475" s="707"/>
      <c r="BS475" s="707"/>
      <c r="BT475" s="707"/>
      <c r="BU475" s="707"/>
      <c r="BV475" s="707"/>
      <c r="BW475" s="707"/>
      <c r="BX475" s="707"/>
      <c r="BY475" s="707"/>
      <c r="BZ475" s="707"/>
      <c r="CA475" s="707"/>
      <c r="CB475" s="707"/>
      <c r="CC475" s="707"/>
      <c r="CD475" s="707"/>
      <c r="CE475" s="707"/>
      <c r="CF475" s="707"/>
      <c r="CG475" s="707"/>
      <c r="CH475" s="707"/>
      <c r="CI475" s="707"/>
      <c r="CJ475" s="707"/>
      <c r="CK475" s="707"/>
      <c r="CL475" s="707"/>
      <c r="CM475" s="707"/>
      <c r="CN475" s="707"/>
      <c r="CO475" s="707"/>
      <c r="CP475" s="707"/>
      <c r="CQ475" s="707"/>
      <c r="CR475" s="707"/>
      <c r="CS475" s="707"/>
      <c r="CT475" s="707"/>
      <c r="CU475" s="707"/>
      <c r="CV475" s="707"/>
      <c r="CW475" s="707"/>
      <c r="CX475" s="707"/>
      <c r="CY475" s="707"/>
      <c r="CZ475" s="707"/>
      <c r="DA475" s="707"/>
      <c r="DB475" s="707"/>
      <c r="DC475" s="707"/>
      <c r="DD475" s="707"/>
      <c r="DE475" s="707"/>
      <c r="DF475" s="707"/>
      <c r="DG475" s="707"/>
      <c r="DH475" s="707"/>
      <c r="DI475" s="707"/>
      <c r="DJ475" s="707"/>
      <c r="DK475" s="707"/>
      <c r="DL475" s="707"/>
      <c r="DM475" s="707"/>
      <c r="DN475" s="707"/>
      <c r="DO475" s="707"/>
      <c r="DP475" s="707"/>
      <c r="DQ475" s="707"/>
      <c r="DR475" s="707"/>
      <c r="DS475" s="707"/>
      <c r="DT475" s="707"/>
      <c r="DU475" s="707"/>
      <c r="DV475" s="707"/>
      <c r="DW475" s="707"/>
      <c r="DX475" s="707"/>
      <c r="DY475" s="707"/>
      <c r="DZ475" s="707"/>
      <c r="EA475" s="707"/>
      <c r="EB475" s="707"/>
      <c r="EC475" s="707"/>
      <c r="ED475" s="707"/>
      <c r="EE475" s="707"/>
      <c r="EF475" s="707"/>
      <c r="EG475" s="707"/>
      <c r="EH475" s="707"/>
      <c r="EI475" s="707"/>
      <c r="EJ475" s="707"/>
      <c r="EK475" s="707"/>
      <c r="EL475" s="707"/>
      <c r="EM475" s="707"/>
      <c r="EN475" s="707"/>
      <c r="EO475" s="707"/>
      <c r="EP475" s="707"/>
      <c r="EQ475" s="707"/>
      <c r="ER475" s="707"/>
      <c r="ES475" s="707"/>
      <c r="ET475" s="707"/>
      <c r="EU475" s="707"/>
      <c r="EV475" s="707"/>
      <c r="EW475" s="707"/>
      <c r="EX475" s="707"/>
      <c r="EY475" s="707"/>
      <c r="EZ475" s="707"/>
      <c r="FA475" s="707"/>
      <c r="FB475" s="707"/>
      <c r="FC475" s="707"/>
      <c r="FD475" s="707"/>
      <c r="FE475" s="707"/>
      <c r="FF475" s="707"/>
      <c r="FG475" s="707"/>
      <c r="FH475" s="707"/>
      <c r="FI475" s="707"/>
      <c r="FJ475" s="707"/>
      <c r="FK475" s="707"/>
      <c r="FL475" s="707"/>
      <c r="FM475" s="707"/>
      <c r="FN475" s="707"/>
      <c r="FO475" s="707"/>
      <c r="FP475" s="707"/>
      <c r="FQ475" s="707"/>
      <c r="FR475" s="707"/>
      <c r="FS475" s="707"/>
      <c r="FT475" s="707"/>
      <c r="FU475" s="707"/>
      <c r="FV475" s="707"/>
      <c r="FW475" s="707"/>
      <c r="FX475" s="707"/>
      <c r="FY475" s="707"/>
      <c r="FZ475" s="707"/>
      <c r="GA475" s="707"/>
      <c r="GB475" s="707"/>
      <c r="GC475" s="707"/>
      <c r="GD475" s="707"/>
      <c r="GE475" s="707"/>
      <c r="GF475" s="707"/>
      <c r="GG475" s="707"/>
      <c r="GH475" s="707"/>
      <c r="GI475" s="707"/>
      <c r="GJ475" s="707"/>
      <c r="GK475" s="707"/>
      <c r="GL475" s="707"/>
      <c r="GM475" s="707"/>
      <c r="GN475" s="707"/>
      <c r="GO475" s="707"/>
      <c r="GP475" s="707"/>
      <c r="GQ475" s="707"/>
      <c r="GR475" s="707"/>
      <c r="GS475" s="707"/>
      <c r="GT475" s="707"/>
      <c r="GU475" s="707"/>
      <c r="GV475" s="707"/>
      <c r="GW475" s="707"/>
      <c r="GX475" s="707"/>
      <c r="GY475" s="707"/>
      <c r="GZ475" s="707"/>
      <c r="HA475" s="707"/>
      <c r="HB475" s="707"/>
      <c r="HC475" s="707"/>
      <c r="HD475" s="707"/>
      <c r="HE475" s="707"/>
      <c r="HF475" s="707"/>
      <c r="HG475" s="707"/>
      <c r="HH475" s="707"/>
      <c r="HI475" s="707"/>
      <c r="HJ475" s="707"/>
      <c r="HK475" s="707"/>
      <c r="HL475" s="707"/>
      <c r="HM475" s="707"/>
      <c r="HN475" s="707"/>
      <c r="HO475" s="707"/>
      <c r="HP475" s="707"/>
      <c r="HQ475" s="707"/>
      <c r="HR475" s="707"/>
      <c r="HS475" s="707"/>
      <c r="HT475" s="707"/>
      <c r="HU475" s="707"/>
      <c r="HV475" s="707"/>
      <c r="HW475" s="707"/>
      <c r="HX475" s="707"/>
      <c r="HY475" s="707"/>
      <c r="HZ475" s="707"/>
      <c r="IA475" s="707"/>
      <c r="IB475" s="707"/>
      <c r="IC475" s="707"/>
      <c r="ID475" s="707"/>
      <c r="IE475" s="707"/>
      <c r="IF475" s="707"/>
      <c r="IG475" s="707"/>
      <c r="IH475" s="707"/>
      <c r="II475" s="707"/>
      <c r="IJ475" s="707"/>
      <c r="IK475" s="707"/>
      <c r="IL475" s="707"/>
      <c r="IM475" s="707"/>
      <c r="IN475" s="707"/>
      <c r="IO475" s="707"/>
      <c r="IP475" s="707"/>
      <c r="IQ475" s="707"/>
      <c r="IR475" s="707"/>
      <c r="IS475" s="707"/>
      <c r="IT475" s="707"/>
      <c r="IU475" s="707"/>
      <c r="IV475" s="707"/>
      <c r="IW475" s="707"/>
    </row>
    <row r="476" customFormat="false" ht="12.75" hidden="false" customHeight="false" outlineLevel="1" collapsed="false">
      <c r="A476" s="245"/>
      <c r="B476" s="707"/>
      <c r="C476" s="707"/>
      <c r="D476" s="707"/>
      <c r="E476" s="713"/>
      <c r="F476" s="713"/>
      <c r="G476" s="713"/>
      <c r="H476" s="713"/>
      <c r="I476" s="713"/>
      <c r="J476" s="713"/>
      <c r="K476" s="713"/>
      <c r="L476" s="713"/>
      <c r="M476" s="713"/>
      <c r="N476" s="713"/>
      <c r="O476" s="713"/>
      <c r="P476" s="713"/>
      <c r="Q476" s="713"/>
      <c r="R476" s="713"/>
      <c r="S476" s="713"/>
      <c r="T476" s="713"/>
      <c r="U476" s="713"/>
      <c r="V476" s="713"/>
      <c r="W476" s="713"/>
      <c r="X476" s="713"/>
      <c r="Y476" s="713"/>
      <c r="Z476" s="713"/>
      <c r="AA476" s="707"/>
      <c r="AB476" s="707"/>
      <c r="AC476" s="707"/>
      <c r="AD476" s="707"/>
      <c r="AE476" s="707"/>
      <c r="AF476" s="707"/>
      <c r="AG476" s="707"/>
      <c r="AH476" s="707"/>
      <c r="AI476" s="707"/>
      <c r="AJ476" s="707"/>
      <c r="AK476" s="707"/>
      <c r="AL476" s="707"/>
      <c r="AM476" s="707"/>
      <c r="AN476" s="707"/>
      <c r="AO476" s="707"/>
      <c r="AP476" s="707"/>
      <c r="AQ476" s="707"/>
      <c r="AR476" s="707"/>
      <c r="AS476" s="707"/>
      <c r="AT476" s="707"/>
      <c r="AU476" s="707"/>
      <c r="AV476" s="707"/>
      <c r="AW476" s="707"/>
      <c r="AX476" s="707"/>
      <c r="AY476" s="707"/>
      <c r="AZ476" s="707"/>
      <c r="BA476" s="707"/>
      <c r="BB476" s="707"/>
      <c r="BC476" s="707"/>
      <c r="BD476" s="707"/>
      <c r="BE476" s="707"/>
      <c r="BF476" s="707"/>
      <c r="BG476" s="707"/>
      <c r="BH476" s="707"/>
      <c r="BI476" s="707"/>
      <c r="BJ476" s="707"/>
      <c r="BK476" s="707"/>
      <c r="BL476" s="707"/>
      <c r="BM476" s="707"/>
      <c r="BN476" s="707"/>
      <c r="BO476" s="707"/>
      <c r="BP476" s="707"/>
      <c r="BQ476" s="707"/>
      <c r="BR476" s="707"/>
      <c r="BS476" s="707"/>
      <c r="BT476" s="707"/>
      <c r="BU476" s="707"/>
      <c r="BV476" s="707"/>
      <c r="BW476" s="707"/>
      <c r="BX476" s="707"/>
      <c r="BY476" s="707"/>
      <c r="BZ476" s="707"/>
      <c r="CA476" s="707"/>
      <c r="CB476" s="707"/>
      <c r="CC476" s="707"/>
      <c r="CD476" s="707"/>
      <c r="CE476" s="707"/>
      <c r="CF476" s="707"/>
      <c r="CG476" s="707"/>
      <c r="CH476" s="707"/>
      <c r="CI476" s="707"/>
      <c r="CJ476" s="707"/>
      <c r="CK476" s="707"/>
      <c r="CL476" s="707"/>
      <c r="CM476" s="707"/>
      <c r="CN476" s="707"/>
      <c r="CO476" s="707"/>
      <c r="CP476" s="707"/>
      <c r="CQ476" s="707"/>
      <c r="CR476" s="707"/>
      <c r="CS476" s="707"/>
      <c r="CT476" s="707"/>
      <c r="CU476" s="707"/>
      <c r="CV476" s="707"/>
      <c r="CW476" s="707"/>
      <c r="CX476" s="707"/>
      <c r="CY476" s="707"/>
      <c r="CZ476" s="707"/>
      <c r="DA476" s="707"/>
      <c r="DB476" s="707"/>
      <c r="DC476" s="707"/>
      <c r="DD476" s="707"/>
      <c r="DE476" s="707"/>
      <c r="DF476" s="707"/>
      <c r="DG476" s="707"/>
      <c r="DH476" s="707"/>
      <c r="DI476" s="707"/>
      <c r="DJ476" s="707"/>
      <c r="DK476" s="707"/>
      <c r="DL476" s="707"/>
      <c r="DM476" s="707"/>
      <c r="DN476" s="707"/>
      <c r="DO476" s="707"/>
      <c r="DP476" s="707"/>
      <c r="DQ476" s="707"/>
      <c r="DR476" s="707"/>
      <c r="DS476" s="707"/>
      <c r="DT476" s="707"/>
      <c r="DU476" s="707"/>
      <c r="DV476" s="707"/>
      <c r="DW476" s="707"/>
      <c r="DX476" s="707"/>
      <c r="DY476" s="707"/>
      <c r="DZ476" s="707"/>
      <c r="EA476" s="707"/>
      <c r="EB476" s="707"/>
      <c r="EC476" s="707"/>
      <c r="ED476" s="707"/>
      <c r="EE476" s="707"/>
      <c r="EF476" s="707"/>
      <c r="EG476" s="707"/>
      <c r="EH476" s="707"/>
      <c r="EI476" s="707"/>
      <c r="EJ476" s="707"/>
      <c r="EK476" s="707"/>
      <c r="EL476" s="707"/>
      <c r="EM476" s="707"/>
      <c r="EN476" s="707"/>
      <c r="EO476" s="707"/>
      <c r="EP476" s="707"/>
      <c r="EQ476" s="707"/>
      <c r="ER476" s="707"/>
      <c r="ES476" s="707"/>
      <c r="ET476" s="707"/>
      <c r="EU476" s="707"/>
      <c r="EV476" s="707"/>
      <c r="EW476" s="707"/>
      <c r="EX476" s="707"/>
      <c r="EY476" s="707"/>
      <c r="EZ476" s="707"/>
      <c r="FA476" s="707"/>
      <c r="FB476" s="707"/>
      <c r="FC476" s="707"/>
      <c r="FD476" s="707"/>
      <c r="FE476" s="707"/>
      <c r="FF476" s="707"/>
      <c r="FG476" s="707"/>
      <c r="FH476" s="707"/>
      <c r="FI476" s="707"/>
      <c r="FJ476" s="707"/>
      <c r="FK476" s="707"/>
      <c r="FL476" s="707"/>
      <c r="FM476" s="707"/>
      <c r="FN476" s="707"/>
      <c r="FO476" s="707"/>
      <c r="FP476" s="707"/>
      <c r="FQ476" s="707"/>
      <c r="FR476" s="707"/>
      <c r="FS476" s="707"/>
      <c r="FT476" s="707"/>
      <c r="FU476" s="707"/>
      <c r="FV476" s="707"/>
      <c r="FW476" s="707"/>
      <c r="FX476" s="707"/>
      <c r="FY476" s="707"/>
      <c r="FZ476" s="707"/>
      <c r="GA476" s="707"/>
      <c r="GB476" s="707"/>
      <c r="GC476" s="707"/>
      <c r="GD476" s="707"/>
      <c r="GE476" s="707"/>
      <c r="GF476" s="707"/>
      <c r="GG476" s="707"/>
      <c r="GH476" s="707"/>
      <c r="GI476" s="707"/>
      <c r="GJ476" s="707"/>
      <c r="GK476" s="707"/>
      <c r="GL476" s="707"/>
      <c r="GM476" s="707"/>
      <c r="GN476" s="707"/>
      <c r="GO476" s="707"/>
      <c r="GP476" s="707"/>
      <c r="GQ476" s="707"/>
      <c r="GR476" s="707"/>
      <c r="GS476" s="707"/>
      <c r="GT476" s="707"/>
      <c r="GU476" s="707"/>
      <c r="GV476" s="707"/>
      <c r="GW476" s="707"/>
      <c r="GX476" s="707"/>
      <c r="GY476" s="707"/>
      <c r="GZ476" s="707"/>
      <c r="HA476" s="707"/>
      <c r="HB476" s="707"/>
      <c r="HC476" s="707"/>
      <c r="HD476" s="707"/>
      <c r="HE476" s="707"/>
      <c r="HF476" s="707"/>
      <c r="HG476" s="707"/>
      <c r="HH476" s="707"/>
      <c r="HI476" s="707"/>
      <c r="HJ476" s="707"/>
      <c r="HK476" s="707"/>
      <c r="HL476" s="707"/>
      <c r="HM476" s="707"/>
      <c r="HN476" s="707"/>
      <c r="HO476" s="707"/>
      <c r="HP476" s="707"/>
      <c r="HQ476" s="707"/>
      <c r="HR476" s="707"/>
      <c r="HS476" s="707"/>
      <c r="HT476" s="707"/>
      <c r="HU476" s="707"/>
      <c r="HV476" s="707"/>
      <c r="HW476" s="707"/>
      <c r="HX476" s="707"/>
      <c r="HY476" s="707"/>
      <c r="HZ476" s="707"/>
      <c r="IA476" s="707"/>
      <c r="IB476" s="707"/>
      <c r="IC476" s="707"/>
      <c r="ID476" s="707"/>
      <c r="IE476" s="707"/>
      <c r="IF476" s="707"/>
      <c r="IG476" s="707"/>
      <c r="IH476" s="707"/>
      <c r="II476" s="707"/>
      <c r="IJ476" s="707"/>
      <c r="IK476" s="707"/>
      <c r="IL476" s="707"/>
      <c r="IM476" s="707"/>
      <c r="IN476" s="707"/>
      <c r="IO476" s="707"/>
      <c r="IP476" s="707"/>
      <c r="IQ476" s="707"/>
      <c r="IR476" s="707"/>
      <c r="IS476" s="707"/>
      <c r="IT476" s="707"/>
      <c r="IU476" s="707"/>
      <c r="IV476" s="707"/>
      <c r="IW476" s="707"/>
    </row>
    <row r="477" customFormat="false" ht="12.75" hidden="false" customHeight="false" outlineLevel="1" collapsed="false">
      <c r="A477" s="388"/>
      <c r="B477" s="706"/>
      <c r="C477" s="706"/>
      <c r="D477" s="706"/>
      <c r="E477" s="713"/>
      <c r="F477" s="713"/>
      <c r="G477" s="713"/>
      <c r="H477" s="713"/>
      <c r="I477" s="713"/>
      <c r="J477" s="713"/>
      <c r="K477" s="713"/>
      <c r="L477" s="713"/>
      <c r="M477" s="713"/>
      <c r="N477" s="713"/>
      <c r="O477" s="713"/>
      <c r="P477" s="713"/>
      <c r="Q477" s="713"/>
      <c r="R477" s="713"/>
      <c r="S477" s="713"/>
      <c r="T477" s="713"/>
      <c r="U477" s="713"/>
      <c r="V477" s="713"/>
      <c r="W477" s="713"/>
      <c r="X477" s="713"/>
      <c r="Y477" s="713"/>
      <c r="Z477" s="713"/>
      <c r="AA477" s="707"/>
      <c r="AB477" s="707"/>
      <c r="AC477" s="707"/>
      <c r="AD477" s="707"/>
      <c r="AE477" s="707"/>
      <c r="AF477" s="707"/>
      <c r="AG477" s="707"/>
      <c r="AH477" s="707"/>
      <c r="AI477" s="707"/>
      <c r="AJ477" s="707"/>
      <c r="AK477" s="707"/>
      <c r="AL477" s="707"/>
      <c r="AM477" s="707"/>
      <c r="AN477" s="707"/>
      <c r="AO477" s="707"/>
      <c r="AP477" s="707"/>
      <c r="AQ477" s="707"/>
      <c r="AR477" s="707"/>
      <c r="AS477" s="707"/>
      <c r="AT477" s="707"/>
      <c r="AU477" s="707"/>
      <c r="AV477" s="707"/>
      <c r="AW477" s="707"/>
      <c r="AX477" s="707"/>
      <c r="AY477" s="707"/>
      <c r="AZ477" s="707"/>
      <c r="BA477" s="707"/>
      <c r="BB477" s="707"/>
      <c r="BC477" s="707"/>
      <c r="BD477" s="707"/>
      <c r="BE477" s="707"/>
      <c r="BF477" s="707"/>
      <c r="BG477" s="707"/>
      <c r="BH477" s="707"/>
      <c r="BI477" s="707"/>
      <c r="BJ477" s="707"/>
      <c r="BK477" s="707"/>
      <c r="BL477" s="707"/>
      <c r="BM477" s="707"/>
      <c r="BN477" s="707"/>
      <c r="BO477" s="707"/>
      <c r="BP477" s="707"/>
      <c r="BQ477" s="707"/>
      <c r="BR477" s="707"/>
      <c r="BS477" s="707"/>
      <c r="BT477" s="707"/>
      <c r="BU477" s="707"/>
      <c r="BV477" s="707"/>
      <c r="BW477" s="707"/>
      <c r="BX477" s="707"/>
      <c r="BY477" s="707"/>
      <c r="BZ477" s="707"/>
      <c r="CA477" s="707"/>
      <c r="CB477" s="707"/>
      <c r="CC477" s="707"/>
      <c r="CD477" s="707"/>
      <c r="CE477" s="707"/>
      <c r="CF477" s="707"/>
      <c r="CG477" s="707"/>
      <c r="CH477" s="707"/>
      <c r="CI477" s="707"/>
      <c r="CJ477" s="707"/>
      <c r="CK477" s="707"/>
      <c r="CL477" s="707"/>
      <c r="CM477" s="707"/>
      <c r="CN477" s="707"/>
      <c r="CO477" s="707"/>
      <c r="CP477" s="707"/>
      <c r="CQ477" s="707"/>
      <c r="CR477" s="707"/>
      <c r="CS477" s="707"/>
      <c r="CT477" s="707"/>
      <c r="CU477" s="707"/>
      <c r="CV477" s="707"/>
      <c r="CW477" s="707"/>
      <c r="CX477" s="707"/>
      <c r="CY477" s="707"/>
      <c r="CZ477" s="707"/>
      <c r="DA477" s="707"/>
      <c r="DB477" s="707"/>
      <c r="DC477" s="707"/>
      <c r="DD477" s="707"/>
      <c r="DE477" s="707"/>
      <c r="DF477" s="707"/>
      <c r="DG477" s="707"/>
      <c r="DH477" s="707"/>
      <c r="DI477" s="707"/>
      <c r="DJ477" s="707"/>
      <c r="DK477" s="707"/>
      <c r="DL477" s="707"/>
      <c r="DM477" s="707"/>
      <c r="DN477" s="707"/>
      <c r="DO477" s="707"/>
      <c r="DP477" s="707"/>
      <c r="DQ477" s="707"/>
      <c r="DR477" s="707"/>
      <c r="DS477" s="707"/>
      <c r="DT477" s="707"/>
      <c r="DU477" s="707"/>
      <c r="DV477" s="707"/>
      <c r="DW477" s="707"/>
      <c r="DX477" s="707"/>
      <c r="DY477" s="707"/>
      <c r="DZ477" s="707"/>
      <c r="EA477" s="707"/>
      <c r="EB477" s="707"/>
      <c r="EC477" s="707"/>
      <c r="ED477" s="707"/>
      <c r="EE477" s="707"/>
      <c r="EF477" s="707"/>
      <c r="EG477" s="707"/>
      <c r="EH477" s="707"/>
      <c r="EI477" s="707"/>
      <c r="EJ477" s="707"/>
      <c r="EK477" s="707"/>
      <c r="EL477" s="707"/>
      <c r="EM477" s="707"/>
      <c r="EN477" s="707"/>
      <c r="EO477" s="707"/>
      <c r="EP477" s="707"/>
      <c r="EQ477" s="707"/>
      <c r="ER477" s="707"/>
      <c r="ES477" s="707"/>
      <c r="ET477" s="707"/>
      <c r="EU477" s="707"/>
      <c r="EV477" s="707"/>
      <c r="EW477" s="707"/>
      <c r="EX477" s="707"/>
      <c r="EY477" s="707"/>
      <c r="EZ477" s="707"/>
      <c r="FA477" s="707"/>
      <c r="FB477" s="707"/>
      <c r="FC477" s="707"/>
      <c r="FD477" s="707"/>
      <c r="FE477" s="707"/>
      <c r="FF477" s="707"/>
      <c r="FG477" s="707"/>
      <c r="FH477" s="707"/>
      <c r="FI477" s="707"/>
      <c r="FJ477" s="707"/>
      <c r="FK477" s="707"/>
      <c r="FL477" s="707"/>
      <c r="FM477" s="707"/>
      <c r="FN477" s="707"/>
      <c r="FO477" s="707"/>
      <c r="FP477" s="707"/>
      <c r="FQ477" s="707"/>
      <c r="FR477" s="707"/>
      <c r="FS477" s="707"/>
      <c r="FT477" s="707"/>
      <c r="FU477" s="707"/>
      <c r="FV477" s="707"/>
      <c r="FW477" s="707"/>
      <c r="FX477" s="707"/>
      <c r="FY477" s="707"/>
      <c r="FZ477" s="707"/>
      <c r="GA477" s="707"/>
      <c r="GB477" s="707"/>
      <c r="GC477" s="707"/>
      <c r="GD477" s="707"/>
      <c r="GE477" s="707"/>
      <c r="GF477" s="707"/>
      <c r="GG477" s="707"/>
      <c r="GH477" s="707"/>
      <c r="GI477" s="707"/>
      <c r="GJ477" s="707"/>
      <c r="GK477" s="707"/>
      <c r="GL477" s="707"/>
      <c r="GM477" s="707"/>
      <c r="GN477" s="707"/>
      <c r="GO477" s="707"/>
      <c r="GP477" s="707"/>
      <c r="GQ477" s="707"/>
      <c r="GR477" s="707"/>
      <c r="GS477" s="707"/>
      <c r="GT477" s="707"/>
      <c r="GU477" s="707"/>
      <c r="GV477" s="707"/>
      <c r="GW477" s="707"/>
      <c r="GX477" s="707"/>
      <c r="GY477" s="707"/>
      <c r="GZ477" s="707"/>
      <c r="HA477" s="707"/>
      <c r="HB477" s="707"/>
      <c r="HC477" s="707"/>
      <c r="HD477" s="707"/>
      <c r="HE477" s="707"/>
      <c r="HF477" s="707"/>
      <c r="HG477" s="707"/>
      <c r="HH477" s="707"/>
      <c r="HI477" s="707"/>
      <c r="HJ477" s="707"/>
      <c r="HK477" s="707"/>
      <c r="HL477" s="707"/>
      <c r="HM477" s="707"/>
      <c r="HN477" s="707"/>
      <c r="HO477" s="707"/>
      <c r="HP477" s="707"/>
      <c r="HQ477" s="707"/>
      <c r="HR477" s="707"/>
      <c r="HS477" s="707"/>
      <c r="HT477" s="707"/>
      <c r="HU477" s="707"/>
      <c r="HV477" s="707"/>
      <c r="HW477" s="707"/>
      <c r="HX477" s="707"/>
      <c r="HY477" s="707"/>
      <c r="HZ477" s="707"/>
      <c r="IA477" s="707"/>
      <c r="IB477" s="707"/>
      <c r="IC477" s="707"/>
      <c r="ID477" s="707"/>
      <c r="IE477" s="707"/>
      <c r="IF477" s="707"/>
      <c r="IG477" s="707"/>
      <c r="IH477" s="707"/>
      <c r="II477" s="707"/>
      <c r="IJ477" s="707"/>
      <c r="IK477" s="707"/>
      <c r="IL477" s="707"/>
      <c r="IM477" s="707"/>
      <c r="IN477" s="707"/>
      <c r="IO477" s="707"/>
      <c r="IP477" s="707"/>
      <c r="IQ477" s="707"/>
      <c r="IR477" s="707"/>
      <c r="IS477" s="707"/>
      <c r="IT477" s="707"/>
      <c r="IU477" s="707"/>
      <c r="IV477" s="707"/>
      <c r="IW477" s="707"/>
    </row>
    <row r="478" customFormat="false" ht="12.75" hidden="false" customHeight="false" outlineLevel="1" collapsed="false">
      <c r="A478" s="716"/>
      <c r="B478" s="717"/>
      <c r="C478" s="717"/>
      <c r="D478" s="717"/>
      <c r="E478" s="713"/>
      <c r="F478" s="713"/>
      <c r="G478" s="713"/>
      <c r="H478" s="713"/>
      <c r="I478" s="713"/>
      <c r="J478" s="713"/>
      <c r="K478" s="713"/>
      <c r="L478" s="713"/>
      <c r="M478" s="713"/>
      <c r="N478" s="713"/>
      <c r="O478" s="713"/>
      <c r="P478" s="713"/>
      <c r="Q478" s="713"/>
      <c r="R478" s="713"/>
      <c r="S478" s="713"/>
      <c r="T478" s="713"/>
      <c r="U478" s="713"/>
      <c r="V478" s="713"/>
      <c r="W478" s="713"/>
      <c r="X478" s="713"/>
      <c r="Y478" s="713"/>
      <c r="Z478" s="713"/>
      <c r="AA478" s="707"/>
      <c r="AB478" s="707"/>
      <c r="AC478" s="707"/>
      <c r="AD478" s="707"/>
      <c r="AE478" s="707"/>
      <c r="AF478" s="707"/>
      <c r="AG478" s="707"/>
      <c r="AH478" s="707"/>
      <c r="AI478" s="707"/>
      <c r="AJ478" s="707"/>
      <c r="AK478" s="707"/>
      <c r="AL478" s="707"/>
      <c r="AM478" s="707"/>
      <c r="AN478" s="707"/>
      <c r="AO478" s="707"/>
      <c r="AP478" s="707"/>
      <c r="AQ478" s="707"/>
      <c r="AR478" s="707"/>
      <c r="AS478" s="707"/>
      <c r="AT478" s="707"/>
      <c r="AU478" s="707"/>
      <c r="AV478" s="707"/>
      <c r="AW478" s="707"/>
      <c r="AX478" s="707"/>
      <c r="AY478" s="707"/>
      <c r="AZ478" s="707"/>
      <c r="BA478" s="707"/>
      <c r="BB478" s="707"/>
      <c r="BC478" s="707"/>
      <c r="BD478" s="707"/>
      <c r="BE478" s="707"/>
      <c r="BF478" s="707"/>
      <c r="BG478" s="707"/>
      <c r="BH478" s="707"/>
      <c r="BI478" s="707"/>
      <c r="BJ478" s="707"/>
      <c r="BK478" s="707"/>
      <c r="BL478" s="707"/>
      <c r="BM478" s="707"/>
      <c r="BN478" s="707"/>
      <c r="BO478" s="707"/>
      <c r="BP478" s="707"/>
      <c r="BQ478" s="707"/>
      <c r="BR478" s="707"/>
      <c r="BS478" s="707"/>
      <c r="BT478" s="707"/>
      <c r="BU478" s="707"/>
      <c r="BV478" s="707"/>
      <c r="BW478" s="707"/>
      <c r="BX478" s="707"/>
      <c r="BY478" s="707"/>
      <c r="BZ478" s="707"/>
      <c r="CA478" s="707"/>
      <c r="CB478" s="707"/>
      <c r="CC478" s="707"/>
      <c r="CD478" s="707"/>
      <c r="CE478" s="707"/>
      <c r="CF478" s="707"/>
      <c r="CG478" s="707"/>
      <c r="CH478" s="707"/>
      <c r="CI478" s="707"/>
      <c r="CJ478" s="707"/>
      <c r="CK478" s="707"/>
      <c r="CL478" s="707"/>
      <c r="CM478" s="707"/>
      <c r="CN478" s="707"/>
      <c r="CO478" s="707"/>
      <c r="CP478" s="707"/>
      <c r="CQ478" s="707"/>
      <c r="CR478" s="707"/>
      <c r="CS478" s="707"/>
      <c r="CT478" s="707"/>
      <c r="CU478" s="707"/>
      <c r="CV478" s="707"/>
      <c r="CW478" s="707"/>
      <c r="CX478" s="707"/>
      <c r="CY478" s="707"/>
      <c r="CZ478" s="707"/>
      <c r="DA478" s="707"/>
      <c r="DB478" s="707"/>
      <c r="DC478" s="707"/>
      <c r="DD478" s="707"/>
      <c r="DE478" s="707"/>
      <c r="DF478" s="707"/>
      <c r="DG478" s="707"/>
      <c r="DH478" s="707"/>
      <c r="DI478" s="707"/>
      <c r="DJ478" s="707"/>
      <c r="DK478" s="707"/>
      <c r="DL478" s="707"/>
      <c r="DM478" s="707"/>
      <c r="DN478" s="707"/>
      <c r="DO478" s="707"/>
      <c r="DP478" s="707"/>
      <c r="DQ478" s="707"/>
      <c r="DR478" s="707"/>
      <c r="DS478" s="707"/>
      <c r="DT478" s="707"/>
      <c r="DU478" s="707"/>
      <c r="DV478" s="707"/>
      <c r="DW478" s="707"/>
      <c r="DX478" s="707"/>
      <c r="DY478" s="707"/>
      <c r="DZ478" s="707"/>
      <c r="EA478" s="707"/>
      <c r="EB478" s="707"/>
      <c r="EC478" s="707"/>
      <c r="ED478" s="707"/>
      <c r="EE478" s="707"/>
      <c r="EF478" s="707"/>
      <c r="EG478" s="707"/>
      <c r="EH478" s="707"/>
      <c r="EI478" s="707"/>
      <c r="EJ478" s="707"/>
      <c r="EK478" s="707"/>
      <c r="EL478" s="707"/>
      <c r="EM478" s="707"/>
      <c r="EN478" s="707"/>
      <c r="EO478" s="707"/>
      <c r="EP478" s="707"/>
      <c r="EQ478" s="707"/>
      <c r="ER478" s="707"/>
      <c r="ES478" s="707"/>
      <c r="ET478" s="707"/>
      <c r="EU478" s="707"/>
      <c r="EV478" s="707"/>
      <c r="EW478" s="707"/>
      <c r="EX478" s="707"/>
      <c r="EY478" s="707"/>
      <c r="EZ478" s="707"/>
      <c r="FA478" s="707"/>
      <c r="FB478" s="707"/>
      <c r="FC478" s="707"/>
      <c r="FD478" s="707"/>
      <c r="FE478" s="707"/>
      <c r="FF478" s="707"/>
      <c r="FG478" s="707"/>
      <c r="FH478" s="707"/>
      <c r="FI478" s="707"/>
      <c r="FJ478" s="707"/>
      <c r="FK478" s="707"/>
      <c r="FL478" s="707"/>
      <c r="FM478" s="707"/>
      <c r="FN478" s="707"/>
      <c r="FO478" s="707"/>
      <c r="FP478" s="707"/>
      <c r="FQ478" s="707"/>
      <c r="FR478" s="707"/>
      <c r="FS478" s="707"/>
      <c r="FT478" s="707"/>
      <c r="FU478" s="707"/>
      <c r="FV478" s="707"/>
      <c r="FW478" s="707"/>
      <c r="FX478" s="707"/>
      <c r="FY478" s="707"/>
      <c r="FZ478" s="707"/>
      <c r="GA478" s="707"/>
      <c r="GB478" s="707"/>
      <c r="GC478" s="707"/>
      <c r="GD478" s="707"/>
      <c r="GE478" s="707"/>
      <c r="GF478" s="707"/>
      <c r="GG478" s="707"/>
      <c r="GH478" s="707"/>
      <c r="GI478" s="707"/>
      <c r="GJ478" s="707"/>
      <c r="GK478" s="707"/>
      <c r="GL478" s="707"/>
      <c r="GM478" s="707"/>
      <c r="GN478" s="707"/>
      <c r="GO478" s="707"/>
      <c r="GP478" s="707"/>
      <c r="GQ478" s="707"/>
      <c r="GR478" s="707"/>
      <c r="GS478" s="707"/>
      <c r="GT478" s="707"/>
      <c r="GU478" s="707"/>
      <c r="GV478" s="707"/>
      <c r="GW478" s="707"/>
      <c r="GX478" s="707"/>
      <c r="GY478" s="707"/>
      <c r="GZ478" s="707"/>
      <c r="HA478" s="707"/>
      <c r="HB478" s="707"/>
      <c r="HC478" s="707"/>
      <c r="HD478" s="707"/>
      <c r="HE478" s="707"/>
      <c r="HF478" s="707"/>
      <c r="HG478" s="707"/>
      <c r="HH478" s="707"/>
      <c r="HI478" s="707"/>
      <c r="HJ478" s="707"/>
      <c r="HK478" s="707"/>
      <c r="HL478" s="707"/>
      <c r="HM478" s="707"/>
      <c r="HN478" s="707"/>
      <c r="HO478" s="707"/>
      <c r="HP478" s="707"/>
      <c r="HQ478" s="707"/>
      <c r="HR478" s="707"/>
      <c r="HS478" s="707"/>
      <c r="HT478" s="707"/>
      <c r="HU478" s="707"/>
      <c r="HV478" s="707"/>
      <c r="HW478" s="707"/>
      <c r="HX478" s="707"/>
      <c r="HY478" s="707"/>
      <c r="HZ478" s="707"/>
      <c r="IA478" s="707"/>
      <c r="IB478" s="707"/>
      <c r="IC478" s="707"/>
      <c r="ID478" s="707"/>
      <c r="IE478" s="707"/>
      <c r="IF478" s="707"/>
      <c r="IG478" s="707"/>
      <c r="IH478" s="707"/>
      <c r="II478" s="707"/>
      <c r="IJ478" s="707"/>
      <c r="IK478" s="707"/>
      <c r="IL478" s="707"/>
      <c r="IM478" s="707"/>
      <c r="IN478" s="707"/>
      <c r="IO478" s="707"/>
      <c r="IP478" s="707"/>
      <c r="IQ478" s="707"/>
      <c r="IR478" s="707"/>
      <c r="IS478" s="707"/>
      <c r="IT478" s="707"/>
      <c r="IU478" s="707"/>
      <c r="IV478" s="707"/>
      <c r="IW478" s="707"/>
    </row>
    <row r="479" customFormat="false" ht="12.75" hidden="false" customHeight="false" outlineLevel="1" collapsed="false">
      <c r="A479" s="716"/>
      <c r="B479" s="717"/>
      <c r="C479" s="717"/>
      <c r="D479" s="717"/>
      <c r="E479" s="713"/>
      <c r="F479" s="713"/>
      <c r="G479" s="713"/>
      <c r="H479" s="713"/>
      <c r="I479" s="713"/>
      <c r="J479" s="713"/>
      <c r="K479" s="713"/>
      <c r="L479" s="713"/>
      <c r="M479" s="713"/>
      <c r="N479" s="713"/>
      <c r="O479" s="713"/>
      <c r="P479" s="713"/>
      <c r="Q479" s="713"/>
      <c r="R479" s="713"/>
      <c r="S479" s="713"/>
      <c r="T479" s="713"/>
      <c r="U479" s="713"/>
      <c r="V479" s="713"/>
      <c r="W479" s="713"/>
      <c r="X479" s="713"/>
      <c r="Y479" s="713"/>
      <c r="Z479" s="713"/>
      <c r="AA479" s="707"/>
      <c r="AB479" s="707"/>
      <c r="AC479" s="707"/>
      <c r="AD479" s="707"/>
      <c r="AE479" s="707"/>
      <c r="AF479" s="707"/>
      <c r="AG479" s="707"/>
      <c r="AH479" s="707"/>
      <c r="AI479" s="707"/>
      <c r="AJ479" s="707"/>
      <c r="AK479" s="707"/>
      <c r="AL479" s="707"/>
      <c r="AM479" s="707"/>
      <c r="AN479" s="707"/>
      <c r="AO479" s="707"/>
      <c r="AP479" s="707"/>
      <c r="AQ479" s="707"/>
      <c r="AR479" s="707"/>
      <c r="AS479" s="707"/>
      <c r="AT479" s="707"/>
      <c r="AU479" s="707"/>
      <c r="AV479" s="707"/>
      <c r="AW479" s="707"/>
      <c r="AX479" s="707"/>
      <c r="AY479" s="707"/>
      <c r="AZ479" s="707"/>
      <c r="BA479" s="707"/>
      <c r="BB479" s="707"/>
      <c r="BC479" s="707"/>
      <c r="BD479" s="707"/>
      <c r="BE479" s="707"/>
      <c r="BF479" s="707"/>
      <c r="BG479" s="707"/>
      <c r="BH479" s="707"/>
      <c r="BI479" s="707"/>
      <c r="BJ479" s="707"/>
      <c r="BK479" s="707"/>
      <c r="BL479" s="707"/>
      <c r="BM479" s="707"/>
      <c r="BN479" s="707"/>
      <c r="BO479" s="707"/>
      <c r="BP479" s="707"/>
      <c r="BQ479" s="707"/>
      <c r="BR479" s="707"/>
      <c r="BS479" s="707"/>
      <c r="BT479" s="707"/>
      <c r="BU479" s="707"/>
      <c r="BV479" s="707"/>
      <c r="BW479" s="707"/>
      <c r="BX479" s="707"/>
      <c r="BY479" s="707"/>
      <c r="BZ479" s="707"/>
      <c r="CA479" s="707"/>
      <c r="CB479" s="707"/>
      <c r="CC479" s="707"/>
      <c r="CD479" s="707"/>
      <c r="CE479" s="707"/>
      <c r="CF479" s="707"/>
      <c r="CG479" s="707"/>
      <c r="CH479" s="707"/>
      <c r="CI479" s="707"/>
      <c r="CJ479" s="707"/>
      <c r="CK479" s="707"/>
      <c r="CL479" s="707"/>
      <c r="CM479" s="707"/>
      <c r="CN479" s="707"/>
      <c r="CO479" s="707"/>
      <c r="CP479" s="707"/>
      <c r="CQ479" s="707"/>
      <c r="CR479" s="707"/>
      <c r="CS479" s="707"/>
      <c r="CT479" s="707"/>
      <c r="CU479" s="707"/>
      <c r="CV479" s="707"/>
      <c r="CW479" s="707"/>
      <c r="CX479" s="707"/>
      <c r="CY479" s="707"/>
      <c r="CZ479" s="707"/>
      <c r="DA479" s="707"/>
      <c r="DB479" s="707"/>
      <c r="DC479" s="707"/>
      <c r="DD479" s="707"/>
      <c r="DE479" s="707"/>
      <c r="DF479" s="707"/>
      <c r="DG479" s="707"/>
      <c r="DH479" s="707"/>
      <c r="DI479" s="707"/>
      <c r="DJ479" s="707"/>
      <c r="DK479" s="707"/>
      <c r="DL479" s="707"/>
      <c r="DM479" s="707"/>
      <c r="DN479" s="707"/>
      <c r="DO479" s="707"/>
      <c r="DP479" s="707"/>
      <c r="DQ479" s="707"/>
      <c r="DR479" s="707"/>
      <c r="DS479" s="707"/>
      <c r="DT479" s="707"/>
      <c r="DU479" s="707"/>
      <c r="DV479" s="707"/>
      <c r="DW479" s="707"/>
      <c r="DX479" s="707"/>
      <c r="DY479" s="707"/>
      <c r="DZ479" s="707"/>
      <c r="EA479" s="707"/>
      <c r="EB479" s="707"/>
      <c r="EC479" s="707"/>
      <c r="ED479" s="707"/>
      <c r="EE479" s="707"/>
      <c r="EF479" s="707"/>
      <c r="EG479" s="707"/>
      <c r="EH479" s="707"/>
      <c r="EI479" s="707"/>
      <c r="EJ479" s="707"/>
      <c r="EK479" s="707"/>
      <c r="EL479" s="707"/>
      <c r="EM479" s="707"/>
      <c r="EN479" s="707"/>
      <c r="EO479" s="707"/>
      <c r="EP479" s="707"/>
      <c r="EQ479" s="707"/>
      <c r="ER479" s="707"/>
      <c r="ES479" s="707"/>
      <c r="ET479" s="707"/>
      <c r="EU479" s="707"/>
      <c r="EV479" s="707"/>
      <c r="EW479" s="707"/>
      <c r="EX479" s="707"/>
      <c r="EY479" s="707"/>
      <c r="EZ479" s="707"/>
      <c r="FA479" s="707"/>
      <c r="FB479" s="707"/>
      <c r="FC479" s="707"/>
      <c r="FD479" s="707"/>
      <c r="FE479" s="707"/>
      <c r="FF479" s="707"/>
      <c r="FG479" s="707"/>
      <c r="FH479" s="707"/>
      <c r="FI479" s="707"/>
      <c r="FJ479" s="707"/>
      <c r="FK479" s="707"/>
      <c r="FL479" s="707"/>
      <c r="FM479" s="707"/>
      <c r="FN479" s="707"/>
      <c r="FO479" s="707"/>
      <c r="FP479" s="707"/>
      <c r="FQ479" s="707"/>
      <c r="FR479" s="707"/>
      <c r="FS479" s="707"/>
      <c r="FT479" s="707"/>
      <c r="FU479" s="707"/>
      <c r="FV479" s="707"/>
      <c r="FW479" s="707"/>
      <c r="FX479" s="707"/>
      <c r="FY479" s="707"/>
      <c r="FZ479" s="707"/>
      <c r="GA479" s="707"/>
      <c r="GB479" s="707"/>
      <c r="GC479" s="707"/>
      <c r="GD479" s="707"/>
      <c r="GE479" s="707"/>
      <c r="GF479" s="707"/>
      <c r="GG479" s="707"/>
      <c r="GH479" s="707"/>
      <c r="GI479" s="707"/>
      <c r="GJ479" s="707"/>
      <c r="GK479" s="707"/>
      <c r="GL479" s="707"/>
      <c r="GM479" s="707"/>
      <c r="GN479" s="707"/>
      <c r="GO479" s="707"/>
      <c r="GP479" s="707"/>
      <c r="GQ479" s="707"/>
      <c r="GR479" s="707"/>
      <c r="GS479" s="707"/>
      <c r="GT479" s="707"/>
      <c r="GU479" s="707"/>
      <c r="GV479" s="707"/>
      <c r="GW479" s="707"/>
      <c r="GX479" s="707"/>
      <c r="GY479" s="707"/>
      <c r="GZ479" s="707"/>
      <c r="HA479" s="707"/>
      <c r="HB479" s="707"/>
      <c r="HC479" s="707"/>
      <c r="HD479" s="707"/>
      <c r="HE479" s="707"/>
      <c r="HF479" s="707"/>
      <c r="HG479" s="707"/>
      <c r="HH479" s="707"/>
      <c r="HI479" s="707"/>
      <c r="HJ479" s="707"/>
      <c r="HK479" s="707"/>
      <c r="HL479" s="707"/>
      <c r="HM479" s="707"/>
      <c r="HN479" s="707"/>
      <c r="HO479" s="707"/>
      <c r="HP479" s="707"/>
      <c r="HQ479" s="707"/>
      <c r="HR479" s="707"/>
      <c r="HS479" s="707"/>
      <c r="HT479" s="707"/>
      <c r="HU479" s="707"/>
      <c r="HV479" s="707"/>
      <c r="HW479" s="707"/>
      <c r="HX479" s="707"/>
      <c r="HY479" s="707"/>
      <c r="HZ479" s="707"/>
      <c r="IA479" s="707"/>
      <c r="IB479" s="707"/>
      <c r="IC479" s="707"/>
      <c r="ID479" s="707"/>
      <c r="IE479" s="707"/>
      <c r="IF479" s="707"/>
      <c r="IG479" s="707"/>
      <c r="IH479" s="707"/>
      <c r="II479" s="707"/>
      <c r="IJ479" s="707"/>
      <c r="IK479" s="707"/>
      <c r="IL479" s="707"/>
      <c r="IM479" s="707"/>
      <c r="IN479" s="707"/>
      <c r="IO479" s="707"/>
      <c r="IP479" s="707"/>
      <c r="IQ479" s="707"/>
      <c r="IR479" s="707"/>
      <c r="IS479" s="707"/>
      <c r="IT479" s="707"/>
      <c r="IU479" s="707"/>
      <c r="IV479" s="707"/>
      <c r="IW479" s="707"/>
    </row>
    <row r="480" customFormat="false" ht="12.75" hidden="false" customHeight="false" outlineLevel="1" collapsed="false">
      <c r="A480" s="716"/>
      <c r="B480" s="717"/>
      <c r="C480" s="717"/>
      <c r="D480" s="717"/>
      <c r="E480" s="713"/>
      <c r="F480" s="713"/>
      <c r="G480" s="713"/>
      <c r="H480" s="713"/>
      <c r="I480" s="713"/>
      <c r="J480" s="713"/>
      <c r="K480" s="713"/>
      <c r="L480" s="713"/>
      <c r="M480" s="713"/>
      <c r="N480" s="713"/>
      <c r="O480" s="713"/>
      <c r="P480" s="713"/>
      <c r="Q480" s="713"/>
      <c r="R480" s="713"/>
      <c r="S480" s="713"/>
      <c r="T480" s="713"/>
      <c r="U480" s="713"/>
      <c r="V480" s="713"/>
      <c r="W480" s="713"/>
      <c r="X480" s="713"/>
      <c r="Y480" s="713"/>
      <c r="Z480" s="713"/>
      <c r="AA480" s="707"/>
      <c r="AB480" s="707"/>
      <c r="AC480" s="707"/>
      <c r="AD480" s="707"/>
      <c r="AE480" s="707"/>
      <c r="AF480" s="707"/>
      <c r="AG480" s="707"/>
      <c r="AH480" s="707"/>
      <c r="AI480" s="707"/>
      <c r="AJ480" s="707"/>
      <c r="AK480" s="707"/>
      <c r="AL480" s="707"/>
      <c r="AM480" s="707"/>
      <c r="AN480" s="707"/>
      <c r="AO480" s="707"/>
      <c r="AP480" s="707"/>
      <c r="AQ480" s="707"/>
      <c r="AR480" s="707"/>
      <c r="AS480" s="707"/>
      <c r="AT480" s="707"/>
      <c r="AU480" s="707"/>
      <c r="AV480" s="707"/>
      <c r="AW480" s="707"/>
      <c r="AX480" s="707"/>
      <c r="AY480" s="707"/>
      <c r="AZ480" s="707"/>
      <c r="BA480" s="707"/>
      <c r="BB480" s="707"/>
      <c r="BC480" s="707"/>
      <c r="BD480" s="707"/>
      <c r="BE480" s="707"/>
      <c r="BF480" s="707"/>
      <c r="BG480" s="707"/>
      <c r="BH480" s="707"/>
      <c r="BI480" s="707"/>
      <c r="BJ480" s="707"/>
      <c r="BK480" s="707"/>
      <c r="BL480" s="707"/>
      <c r="BM480" s="707"/>
      <c r="BN480" s="707"/>
      <c r="BO480" s="707"/>
      <c r="BP480" s="707"/>
      <c r="BQ480" s="707"/>
      <c r="BR480" s="707"/>
      <c r="BS480" s="707"/>
      <c r="BT480" s="707"/>
      <c r="BU480" s="707"/>
      <c r="BV480" s="707"/>
      <c r="BW480" s="707"/>
      <c r="BX480" s="707"/>
      <c r="BY480" s="707"/>
      <c r="BZ480" s="707"/>
      <c r="CA480" s="707"/>
      <c r="CB480" s="707"/>
      <c r="CC480" s="707"/>
      <c r="CD480" s="707"/>
      <c r="CE480" s="707"/>
      <c r="CF480" s="707"/>
      <c r="CG480" s="707"/>
      <c r="CH480" s="707"/>
      <c r="CI480" s="707"/>
      <c r="CJ480" s="707"/>
      <c r="CK480" s="707"/>
      <c r="CL480" s="707"/>
      <c r="CM480" s="707"/>
      <c r="CN480" s="707"/>
      <c r="CO480" s="707"/>
      <c r="CP480" s="707"/>
      <c r="CQ480" s="707"/>
      <c r="CR480" s="707"/>
      <c r="CS480" s="707"/>
      <c r="CT480" s="707"/>
      <c r="CU480" s="707"/>
      <c r="CV480" s="707"/>
      <c r="CW480" s="707"/>
      <c r="CX480" s="707"/>
      <c r="CY480" s="707"/>
      <c r="CZ480" s="707"/>
      <c r="DA480" s="707"/>
      <c r="DB480" s="707"/>
      <c r="DC480" s="707"/>
      <c r="DD480" s="707"/>
      <c r="DE480" s="707"/>
      <c r="DF480" s="707"/>
      <c r="DG480" s="707"/>
      <c r="DH480" s="707"/>
      <c r="DI480" s="707"/>
      <c r="DJ480" s="707"/>
      <c r="DK480" s="707"/>
      <c r="DL480" s="707"/>
      <c r="DM480" s="707"/>
      <c r="DN480" s="707"/>
      <c r="DO480" s="707"/>
      <c r="DP480" s="707"/>
      <c r="DQ480" s="707"/>
      <c r="DR480" s="707"/>
      <c r="DS480" s="707"/>
      <c r="DT480" s="707"/>
      <c r="DU480" s="707"/>
      <c r="DV480" s="707"/>
      <c r="DW480" s="707"/>
      <c r="DX480" s="707"/>
      <c r="DY480" s="707"/>
      <c r="DZ480" s="707"/>
      <c r="EA480" s="707"/>
      <c r="EB480" s="707"/>
      <c r="EC480" s="707"/>
      <c r="ED480" s="707"/>
      <c r="EE480" s="707"/>
      <c r="EF480" s="707"/>
      <c r="EG480" s="707"/>
      <c r="EH480" s="707"/>
      <c r="EI480" s="707"/>
      <c r="EJ480" s="707"/>
      <c r="EK480" s="707"/>
      <c r="EL480" s="707"/>
      <c r="EM480" s="707"/>
      <c r="EN480" s="707"/>
      <c r="EO480" s="707"/>
      <c r="EP480" s="707"/>
      <c r="EQ480" s="707"/>
      <c r="ER480" s="707"/>
      <c r="ES480" s="707"/>
      <c r="ET480" s="707"/>
      <c r="EU480" s="707"/>
      <c r="EV480" s="707"/>
      <c r="EW480" s="707"/>
      <c r="EX480" s="707"/>
      <c r="EY480" s="707"/>
      <c r="EZ480" s="707"/>
      <c r="FA480" s="707"/>
      <c r="FB480" s="707"/>
      <c r="FC480" s="707"/>
      <c r="FD480" s="707"/>
      <c r="FE480" s="707"/>
      <c r="FF480" s="707"/>
      <c r="FG480" s="707"/>
      <c r="FH480" s="707"/>
      <c r="FI480" s="707"/>
      <c r="FJ480" s="707"/>
      <c r="FK480" s="707"/>
      <c r="FL480" s="707"/>
      <c r="FM480" s="707"/>
      <c r="FN480" s="707"/>
      <c r="FO480" s="707"/>
      <c r="FP480" s="707"/>
      <c r="FQ480" s="707"/>
      <c r="FR480" s="707"/>
      <c r="FS480" s="707"/>
      <c r="FT480" s="707"/>
      <c r="FU480" s="707"/>
      <c r="FV480" s="707"/>
      <c r="FW480" s="707"/>
      <c r="FX480" s="707"/>
      <c r="FY480" s="707"/>
      <c r="FZ480" s="707"/>
      <c r="GA480" s="707"/>
      <c r="GB480" s="707"/>
      <c r="GC480" s="707"/>
      <c r="GD480" s="707"/>
      <c r="GE480" s="707"/>
      <c r="GF480" s="707"/>
      <c r="GG480" s="707"/>
      <c r="GH480" s="707"/>
      <c r="GI480" s="707"/>
      <c r="GJ480" s="707"/>
      <c r="GK480" s="707"/>
      <c r="GL480" s="707"/>
      <c r="GM480" s="707"/>
      <c r="GN480" s="707"/>
      <c r="GO480" s="707"/>
      <c r="GP480" s="707"/>
      <c r="GQ480" s="707"/>
      <c r="GR480" s="707"/>
      <c r="GS480" s="707"/>
      <c r="GT480" s="707"/>
      <c r="GU480" s="707"/>
      <c r="GV480" s="707"/>
      <c r="GW480" s="707"/>
      <c r="GX480" s="707"/>
      <c r="GY480" s="707"/>
      <c r="GZ480" s="707"/>
      <c r="HA480" s="707"/>
      <c r="HB480" s="707"/>
      <c r="HC480" s="707"/>
      <c r="HD480" s="707"/>
      <c r="HE480" s="707"/>
      <c r="HF480" s="707"/>
      <c r="HG480" s="707"/>
      <c r="HH480" s="707"/>
      <c r="HI480" s="707"/>
      <c r="HJ480" s="707"/>
      <c r="HK480" s="707"/>
      <c r="HL480" s="707"/>
      <c r="HM480" s="707"/>
      <c r="HN480" s="707"/>
      <c r="HO480" s="707"/>
      <c r="HP480" s="707"/>
      <c r="HQ480" s="707"/>
      <c r="HR480" s="707"/>
      <c r="HS480" s="707"/>
      <c r="HT480" s="707"/>
      <c r="HU480" s="707"/>
      <c r="HV480" s="707"/>
      <c r="HW480" s="707"/>
      <c r="HX480" s="707"/>
      <c r="HY480" s="707"/>
      <c r="HZ480" s="707"/>
      <c r="IA480" s="707"/>
      <c r="IB480" s="707"/>
      <c r="IC480" s="707"/>
      <c r="ID480" s="707"/>
      <c r="IE480" s="707"/>
      <c r="IF480" s="707"/>
      <c r="IG480" s="707"/>
      <c r="IH480" s="707"/>
      <c r="II480" s="707"/>
      <c r="IJ480" s="707"/>
      <c r="IK480" s="707"/>
      <c r="IL480" s="707"/>
      <c r="IM480" s="707"/>
      <c r="IN480" s="707"/>
      <c r="IO480" s="707"/>
      <c r="IP480" s="707"/>
      <c r="IQ480" s="707"/>
      <c r="IR480" s="707"/>
      <c r="IS480" s="707"/>
      <c r="IT480" s="707"/>
      <c r="IU480" s="707"/>
      <c r="IV480" s="707"/>
      <c r="IW480" s="707"/>
    </row>
    <row r="481" customFormat="false" ht="12.75" hidden="false" customHeight="false" outlineLevel="1" collapsed="false">
      <c r="A481" s="716"/>
      <c r="B481" s="717"/>
      <c r="C481" s="717"/>
      <c r="D481" s="717"/>
      <c r="E481" s="713"/>
      <c r="F481" s="713"/>
      <c r="G481" s="713"/>
      <c r="H481" s="713"/>
      <c r="I481" s="713"/>
      <c r="J481" s="713"/>
      <c r="K481" s="713"/>
      <c r="L481" s="713"/>
      <c r="M481" s="713"/>
      <c r="N481" s="713"/>
      <c r="O481" s="713"/>
      <c r="P481" s="713"/>
      <c r="Q481" s="713"/>
      <c r="R481" s="713"/>
      <c r="S481" s="713"/>
      <c r="T481" s="713"/>
      <c r="U481" s="713"/>
      <c r="V481" s="713"/>
      <c r="W481" s="713"/>
      <c r="X481" s="713"/>
      <c r="Y481" s="713"/>
      <c r="Z481" s="713"/>
      <c r="AA481" s="707"/>
      <c r="AB481" s="707"/>
      <c r="AC481" s="707"/>
      <c r="AD481" s="707"/>
      <c r="AE481" s="707"/>
      <c r="AF481" s="707"/>
      <c r="AG481" s="707"/>
      <c r="AH481" s="707"/>
      <c r="AI481" s="707"/>
      <c r="AJ481" s="707"/>
      <c r="AK481" s="707"/>
      <c r="AL481" s="707"/>
      <c r="AM481" s="707"/>
      <c r="AN481" s="707"/>
      <c r="AO481" s="707"/>
      <c r="AP481" s="707"/>
      <c r="AQ481" s="707"/>
      <c r="AR481" s="707"/>
      <c r="AS481" s="707"/>
      <c r="AT481" s="707"/>
      <c r="AU481" s="707"/>
      <c r="AV481" s="707"/>
      <c r="AW481" s="707"/>
      <c r="AX481" s="707"/>
      <c r="AY481" s="707"/>
      <c r="AZ481" s="707"/>
      <c r="BA481" s="707"/>
      <c r="BB481" s="707"/>
      <c r="BC481" s="707"/>
      <c r="BD481" s="707"/>
      <c r="BE481" s="707"/>
      <c r="BF481" s="707"/>
      <c r="BG481" s="707"/>
      <c r="BH481" s="707"/>
      <c r="BI481" s="707"/>
      <c r="BJ481" s="707"/>
      <c r="BK481" s="707"/>
      <c r="BL481" s="707"/>
      <c r="BM481" s="707"/>
      <c r="BN481" s="707"/>
      <c r="BO481" s="707"/>
      <c r="BP481" s="707"/>
      <c r="BQ481" s="707"/>
      <c r="BR481" s="707"/>
      <c r="BS481" s="707"/>
      <c r="BT481" s="707"/>
      <c r="BU481" s="707"/>
      <c r="BV481" s="707"/>
      <c r="BW481" s="707"/>
      <c r="BX481" s="707"/>
      <c r="BY481" s="707"/>
      <c r="BZ481" s="707"/>
      <c r="CA481" s="707"/>
      <c r="CB481" s="707"/>
      <c r="CC481" s="707"/>
      <c r="CD481" s="707"/>
      <c r="CE481" s="707"/>
      <c r="CF481" s="707"/>
      <c r="CG481" s="707"/>
      <c r="CH481" s="707"/>
      <c r="CI481" s="707"/>
      <c r="CJ481" s="707"/>
      <c r="CK481" s="707"/>
      <c r="CL481" s="707"/>
      <c r="CM481" s="707"/>
      <c r="CN481" s="707"/>
      <c r="CO481" s="707"/>
      <c r="CP481" s="707"/>
      <c r="CQ481" s="707"/>
      <c r="CR481" s="707"/>
      <c r="CS481" s="707"/>
      <c r="CT481" s="707"/>
      <c r="CU481" s="707"/>
      <c r="CV481" s="707"/>
      <c r="CW481" s="707"/>
      <c r="CX481" s="707"/>
      <c r="CY481" s="707"/>
      <c r="CZ481" s="707"/>
      <c r="DA481" s="707"/>
      <c r="DB481" s="707"/>
      <c r="DC481" s="707"/>
      <c r="DD481" s="707"/>
      <c r="DE481" s="707"/>
      <c r="DF481" s="707"/>
      <c r="DG481" s="707"/>
      <c r="DH481" s="707"/>
      <c r="DI481" s="707"/>
      <c r="DJ481" s="707"/>
      <c r="DK481" s="707"/>
      <c r="DL481" s="707"/>
      <c r="DM481" s="707"/>
      <c r="DN481" s="707"/>
      <c r="DO481" s="707"/>
      <c r="DP481" s="707"/>
      <c r="DQ481" s="707"/>
      <c r="DR481" s="707"/>
      <c r="DS481" s="707"/>
      <c r="DT481" s="707"/>
      <c r="DU481" s="707"/>
      <c r="DV481" s="707"/>
      <c r="DW481" s="707"/>
      <c r="DX481" s="707"/>
      <c r="DY481" s="707"/>
      <c r="DZ481" s="707"/>
      <c r="EA481" s="707"/>
      <c r="EB481" s="707"/>
      <c r="EC481" s="707"/>
      <c r="ED481" s="707"/>
      <c r="EE481" s="707"/>
      <c r="EF481" s="707"/>
      <c r="EG481" s="707"/>
      <c r="EH481" s="707"/>
      <c r="EI481" s="707"/>
      <c r="EJ481" s="707"/>
      <c r="EK481" s="707"/>
      <c r="EL481" s="707"/>
      <c r="EM481" s="707"/>
      <c r="EN481" s="707"/>
      <c r="EO481" s="707"/>
      <c r="EP481" s="707"/>
      <c r="EQ481" s="707"/>
      <c r="ER481" s="707"/>
      <c r="ES481" s="707"/>
      <c r="ET481" s="707"/>
      <c r="EU481" s="707"/>
      <c r="EV481" s="707"/>
      <c r="EW481" s="707"/>
      <c r="EX481" s="707"/>
      <c r="EY481" s="707"/>
      <c r="EZ481" s="707"/>
      <c r="FA481" s="707"/>
      <c r="FB481" s="707"/>
      <c r="FC481" s="707"/>
      <c r="FD481" s="707"/>
      <c r="FE481" s="707"/>
      <c r="FF481" s="707"/>
      <c r="FG481" s="707"/>
      <c r="FH481" s="707"/>
      <c r="FI481" s="707"/>
      <c r="FJ481" s="707"/>
      <c r="FK481" s="707"/>
      <c r="FL481" s="707"/>
      <c r="FM481" s="707"/>
      <c r="FN481" s="707"/>
      <c r="FO481" s="707"/>
      <c r="FP481" s="707"/>
      <c r="FQ481" s="707"/>
      <c r="FR481" s="707"/>
      <c r="FS481" s="707"/>
      <c r="FT481" s="707"/>
      <c r="FU481" s="707"/>
      <c r="FV481" s="707"/>
      <c r="FW481" s="707"/>
      <c r="FX481" s="707"/>
      <c r="FY481" s="707"/>
      <c r="FZ481" s="707"/>
      <c r="GA481" s="707"/>
      <c r="GB481" s="707"/>
      <c r="GC481" s="707"/>
      <c r="GD481" s="707"/>
      <c r="GE481" s="707"/>
      <c r="GF481" s="707"/>
      <c r="GG481" s="707"/>
      <c r="GH481" s="707"/>
      <c r="GI481" s="707"/>
      <c r="GJ481" s="707"/>
      <c r="GK481" s="707"/>
      <c r="GL481" s="707"/>
      <c r="GM481" s="707"/>
      <c r="GN481" s="707"/>
      <c r="GO481" s="707"/>
      <c r="GP481" s="707"/>
      <c r="GQ481" s="707"/>
      <c r="GR481" s="707"/>
      <c r="GS481" s="707"/>
      <c r="GT481" s="707"/>
      <c r="GU481" s="707"/>
      <c r="GV481" s="707"/>
      <c r="GW481" s="707"/>
      <c r="GX481" s="707"/>
      <c r="GY481" s="707"/>
      <c r="GZ481" s="707"/>
      <c r="HA481" s="707"/>
      <c r="HB481" s="707"/>
      <c r="HC481" s="707"/>
      <c r="HD481" s="707"/>
      <c r="HE481" s="707"/>
      <c r="HF481" s="707"/>
      <c r="HG481" s="707"/>
      <c r="HH481" s="707"/>
      <c r="HI481" s="707"/>
      <c r="HJ481" s="707"/>
      <c r="HK481" s="707"/>
      <c r="HL481" s="707"/>
      <c r="HM481" s="707"/>
      <c r="HN481" s="707"/>
      <c r="HO481" s="707"/>
      <c r="HP481" s="707"/>
      <c r="HQ481" s="707"/>
      <c r="HR481" s="707"/>
      <c r="HS481" s="707"/>
      <c r="HT481" s="707"/>
      <c r="HU481" s="707"/>
      <c r="HV481" s="707"/>
      <c r="HW481" s="707"/>
      <c r="HX481" s="707"/>
      <c r="HY481" s="707"/>
      <c r="HZ481" s="707"/>
      <c r="IA481" s="707"/>
      <c r="IB481" s="707"/>
      <c r="IC481" s="707"/>
      <c r="ID481" s="707"/>
      <c r="IE481" s="707"/>
      <c r="IF481" s="707"/>
      <c r="IG481" s="707"/>
      <c r="IH481" s="707"/>
      <c r="II481" s="707"/>
      <c r="IJ481" s="707"/>
      <c r="IK481" s="707"/>
      <c r="IL481" s="707"/>
      <c r="IM481" s="707"/>
      <c r="IN481" s="707"/>
      <c r="IO481" s="707"/>
      <c r="IP481" s="707"/>
      <c r="IQ481" s="707"/>
      <c r="IR481" s="707"/>
      <c r="IS481" s="707"/>
      <c r="IT481" s="707"/>
      <c r="IU481" s="707"/>
      <c r="IV481" s="707"/>
      <c r="IW481" s="707"/>
    </row>
    <row r="482" customFormat="false" ht="12.75" hidden="false" customHeight="false" outlineLevel="1" collapsed="false">
      <c r="A482" s="716"/>
      <c r="B482" s="717"/>
      <c r="C482" s="717"/>
      <c r="D482" s="717"/>
      <c r="E482" s="713"/>
      <c r="F482" s="713"/>
      <c r="G482" s="713"/>
      <c r="H482" s="713"/>
      <c r="I482" s="713"/>
      <c r="J482" s="713"/>
      <c r="K482" s="713"/>
      <c r="L482" s="713"/>
      <c r="M482" s="713"/>
      <c r="N482" s="713"/>
      <c r="O482" s="713"/>
      <c r="P482" s="713"/>
      <c r="Q482" s="713"/>
      <c r="R482" s="713"/>
      <c r="S482" s="713"/>
      <c r="T482" s="713"/>
      <c r="U482" s="713"/>
      <c r="V482" s="713"/>
      <c r="W482" s="713"/>
      <c r="X482" s="713"/>
      <c r="Y482" s="713"/>
      <c r="Z482" s="713"/>
      <c r="AA482" s="707"/>
      <c r="AB482" s="707"/>
      <c r="AC482" s="707"/>
      <c r="AD482" s="707"/>
      <c r="AE482" s="707"/>
      <c r="AF482" s="707"/>
      <c r="AG482" s="707"/>
      <c r="AH482" s="707"/>
      <c r="AI482" s="707"/>
      <c r="AJ482" s="707"/>
      <c r="AK482" s="707"/>
      <c r="AL482" s="707"/>
      <c r="AM482" s="707"/>
      <c r="AN482" s="707"/>
      <c r="AO482" s="707"/>
      <c r="AP482" s="707"/>
      <c r="AQ482" s="707"/>
      <c r="AR482" s="707"/>
      <c r="AS482" s="707"/>
      <c r="AT482" s="707"/>
      <c r="AU482" s="707"/>
      <c r="AV482" s="707"/>
      <c r="AW482" s="707"/>
      <c r="AX482" s="707"/>
      <c r="AY482" s="707"/>
      <c r="AZ482" s="707"/>
      <c r="BA482" s="707"/>
      <c r="BB482" s="707"/>
      <c r="BC482" s="707"/>
      <c r="BD482" s="707"/>
      <c r="BE482" s="707"/>
      <c r="BF482" s="707"/>
      <c r="BG482" s="707"/>
      <c r="BH482" s="707"/>
      <c r="BI482" s="707"/>
      <c r="BJ482" s="707"/>
      <c r="BK482" s="707"/>
      <c r="BL482" s="707"/>
      <c r="BM482" s="707"/>
      <c r="BN482" s="707"/>
      <c r="BO482" s="707"/>
      <c r="BP482" s="707"/>
      <c r="BQ482" s="707"/>
      <c r="BR482" s="707"/>
      <c r="BS482" s="707"/>
      <c r="BT482" s="707"/>
      <c r="BU482" s="707"/>
      <c r="BV482" s="707"/>
      <c r="BW482" s="707"/>
      <c r="BX482" s="707"/>
      <c r="BY482" s="707"/>
      <c r="BZ482" s="707"/>
      <c r="CA482" s="707"/>
      <c r="CB482" s="707"/>
      <c r="CC482" s="707"/>
      <c r="CD482" s="707"/>
      <c r="CE482" s="707"/>
      <c r="CF482" s="707"/>
      <c r="CG482" s="707"/>
      <c r="CH482" s="707"/>
      <c r="CI482" s="707"/>
      <c r="CJ482" s="707"/>
      <c r="CK482" s="707"/>
      <c r="CL482" s="707"/>
      <c r="CM482" s="707"/>
      <c r="CN482" s="707"/>
      <c r="CO482" s="707"/>
      <c r="CP482" s="707"/>
      <c r="CQ482" s="707"/>
      <c r="CR482" s="707"/>
      <c r="CS482" s="707"/>
      <c r="CT482" s="707"/>
      <c r="CU482" s="707"/>
      <c r="CV482" s="707"/>
      <c r="CW482" s="707"/>
      <c r="CX482" s="707"/>
      <c r="CY482" s="707"/>
      <c r="CZ482" s="707"/>
      <c r="DA482" s="707"/>
      <c r="DB482" s="707"/>
      <c r="DC482" s="707"/>
      <c r="DD482" s="707"/>
      <c r="DE482" s="707"/>
      <c r="DF482" s="707"/>
      <c r="DG482" s="707"/>
      <c r="DH482" s="707"/>
      <c r="DI482" s="707"/>
      <c r="DJ482" s="707"/>
      <c r="DK482" s="707"/>
      <c r="DL482" s="707"/>
      <c r="DM482" s="707"/>
      <c r="DN482" s="707"/>
      <c r="DO482" s="707"/>
      <c r="DP482" s="707"/>
      <c r="DQ482" s="707"/>
      <c r="DR482" s="707"/>
      <c r="DS482" s="707"/>
      <c r="DT482" s="707"/>
      <c r="DU482" s="707"/>
      <c r="DV482" s="707"/>
      <c r="DW482" s="707"/>
      <c r="DX482" s="707"/>
      <c r="DY482" s="707"/>
      <c r="DZ482" s="707"/>
      <c r="EA482" s="707"/>
      <c r="EB482" s="707"/>
      <c r="EC482" s="707"/>
      <c r="ED482" s="707"/>
      <c r="EE482" s="707"/>
      <c r="EF482" s="707"/>
      <c r="EG482" s="707"/>
      <c r="EH482" s="707"/>
      <c r="EI482" s="707"/>
      <c r="EJ482" s="707"/>
      <c r="EK482" s="707"/>
      <c r="EL482" s="707"/>
      <c r="EM482" s="707"/>
      <c r="EN482" s="707"/>
      <c r="EO482" s="707"/>
      <c r="EP482" s="707"/>
      <c r="EQ482" s="707"/>
      <c r="ER482" s="707"/>
      <c r="ES482" s="707"/>
      <c r="ET482" s="707"/>
      <c r="EU482" s="707"/>
      <c r="EV482" s="707"/>
      <c r="EW482" s="707"/>
      <c r="EX482" s="707"/>
      <c r="EY482" s="707"/>
      <c r="EZ482" s="707"/>
      <c r="FA482" s="707"/>
      <c r="FB482" s="707"/>
      <c r="FC482" s="707"/>
      <c r="FD482" s="707"/>
      <c r="FE482" s="707"/>
      <c r="FF482" s="707"/>
      <c r="FG482" s="707"/>
      <c r="FH482" s="707"/>
      <c r="FI482" s="707"/>
      <c r="FJ482" s="707"/>
      <c r="FK482" s="707"/>
      <c r="FL482" s="707"/>
      <c r="FM482" s="707"/>
      <c r="FN482" s="707"/>
      <c r="FO482" s="707"/>
      <c r="FP482" s="707"/>
      <c r="FQ482" s="707"/>
      <c r="FR482" s="707"/>
      <c r="FS482" s="707"/>
      <c r="FT482" s="707"/>
      <c r="FU482" s="707"/>
      <c r="FV482" s="707"/>
      <c r="FW482" s="707"/>
      <c r="FX482" s="707"/>
      <c r="FY482" s="707"/>
      <c r="FZ482" s="707"/>
      <c r="GA482" s="707"/>
      <c r="GB482" s="707"/>
      <c r="GC482" s="707"/>
      <c r="GD482" s="707"/>
      <c r="GE482" s="707"/>
      <c r="GF482" s="707"/>
      <c r="GG482" s="707"/>
      <c r="GH482" s="707"/>
      <c r="GI482" s="707"/>
      <c r="GJ482" s="707"/>
      <c r="GK482" s="707"/>
      <c r="GL482" s="707"/>
      <c r="GM482" s="707"/>
      <c r="GN482" s="707"/>
      <c r="GO482" s="707"/>
      <c r="GP482" s="707"/>
      <c r="GQ482" s="707"/>
      <c r="GR482" s="707"/>
      <c r="GS482" s="707"/>
      <c r="GT482" s="707"/>
      <c r="GU482" s="707"/>
      <c r="GV482" s="707"/>
      <c r="GW482" s="707"/>
      <c r="GX482" s="707"/>
      <c r="GY482" s="707"/>
      <c r="GZ482" s="707"/>
      <c r="HA482" s="707"/>
      <c r="HB482" s="707"/>
      <c r="HC482" s="707"/>
      <c r="HD482" s="707"/>
      <c r="HE482" s="707"/>
      <c r="HF482" s="707"/>
      <c r="HG482" s="707"/>
      <c r="HH482" s="707"/>
      <c r="HI482" s="707"/>
      <c r="HJ482" s="707"/>
      <c r="HK482" s="707"/>
      <c r="HL482" s="707"/>
      <c r="HM482" s="707"/>
      <c r="HN482" s="707"/>
      <c r="HO482" s="707"/>
      <c r="HP482" s="707"/>
      <c r="HQ482" s="707"/>
      <c r="HR482" s="707"/>
      <c r="HS482" s="707"/>
      <c r="HT482" s="707"/>
      <c r="HU482" s="707"/>
      <c r="HV482" s="707"/>
      <c r="HW482" s="707"/>
      <c r="HX482" s="707"/>
      <c r="HY482" s="707"/>
      <c r="HZ482" s="707"/>
      <c r="IA482" s="707"/>
      <c r="IB482" s="707"/>
      <c r="IC482" s="707"/>
      <c r="ID482" s="707"/>
      <c r="IE482" s="707"/>
      <c r="IF482" s="707"/>
      <c r="IG482" s="707"/>
      <c r="IH482" s="707"/>
      <c r="II482" s="707"/>
      <c r="IJ482" s="707"/>
      <c r="IK482" s="707"/>
      <c r="IL482" s="707"/>
      <c r="IM482" s="707"/>
      <c r="IN482" s="707"/>
      <c r="IO482" s="707"/>
      <c r="IP482" s="707"/>
      <c r="IQ482" s="707"/>
      <c r="IR482" s="707"/>
      <c r="IS482" s="707"/>
      <c r="IT482" s="707"/>
      <c r="IU482" s="707"/>
      <c r="IV482" s="707"/>
      <c r="IW482" s="707"/>
    </row>
    <row r="483" customFormat="false" ht="12.75" hidden="false" customHeight="false" outlineLevel="1" collapsed="false">
      <c r="A483" s="398"/>
      <c r="B483" s="717"/>
      <c r="C483" s="717"/>
      <c r="D483" s="717"/>
      <c r="E483" s="713"/>
      <c r="F483" s="713"/>
      <c r="G483" s="713"/>
      <c r="H483" s="713"/>
      <c r="I483" s="713"/>
      <c r="J483" s="713"/>
      <c r="K483" s="713"/>
      <c r="L483" s="713"/>
      <c r="M483" s="713"/>
      <c r="N483" s="713"/>
      <c r="O483" s="713"/>
      <c r="P483" s="713"/>
      <c r="Q483" s="713"/>
      <c r="R483" s="713"/>
      <c r="S483" s="713"/>
      <c r="T483" s="713"/>
      <c r="U483" s="713"/>
      <c r="V483" s="713"/>
      <c r="W483" s="713"/>
      <c r="X483" s="713"/>
      <c r="Y483" s="713"/>
      <c r="Z483" s="713"/>
      <c r="AA483" s="707"/>
      <c r="AB483" s="707"/>
      <c r="AC483" s="707"/>
      <c r="AD483" s="707"/>
      <c r="AE483" s="707"/>
      <c r="AF483" s="707"/>
      <c r="AG483" s="707"/>
      <c r="AH483" s="707"/>
      <c r="AI483" s="707"/>
      <c r="AJ483" s="707"/>
      <c r="AK483" s="707"/>
      <c r="AL483" s="707"/>
      <c r="AM483" s="707"/>
      <c r="AN483" s="707"/>
      <c r="AO483" s="707"/>
      <c r="AP483" s="707"/>
      <c r="AQ483" s="707"/>
      <c r="AR483" s="707"/>
      <c r="AS483" s="707"/>
      <c r="AT483" s="707"/>
      <c r="AU483" s="707"/>
      <c r="AV483" s="707"/>
      <c r="AW483" s="707"/>
      <c r="AX483" s="707"/>
      <c r="AY483" s="707"/>
      <c r="AZ483" s="707"/>
      <c r="BA483" s="707"/>
      <c r="BB483" s="707"/>
      <c r="BC483" s="707"/>
      <c r="BD483" s="707"/>
      <c r="BE483" s="707"/>
      <c r="BF483" s="707"/>
      <c r="BG483" s="707"/>
      <c r="BH483" s="707"/>
      <c r="BI483" s="707"/>
      <c r="BJ483" s="707"/>
      <c r="BK483" s="707"/>
      <c r="BL483" s="707"/>
      <c r="BM483" s="707"/>
      <c r="BN483" s="707"/>
      <c r="BO483" s="707"/>
      <c r="BP483" s="707"/>
      <c r="BQ483" s="707"/>
      <c r="BR483" s="707"/>
      <c r="BS483" s="707"/>
      <c r="BT483" s="707"/>
      <c r="BU483" s="707"/>
      <c r="BV483" s="707"/>
      <c r="BW483" s="707"/>
      <c r="BX483" s="707"/>
      <c r="BY483" s="707"/>
      <c r="BZ483" s="707"/>
      <c r="CA483" s="707"/>
      <c r="CB483" s="707"/>
      <c r="CC483" s="707"/>
      <c r="CD483" s="707"/>
      <c r="CE483" s="707"/>
      <c r="CF483" s="707"/>
      <c r="CG483" s="707"/>
      <c r="CH483" s="707"/>
      <c r="CI483" s="707"/>
      <c r="CJ483" s="707"/>
      <c r="CK483" s="707"/>
      <c r="CL483" s="707"/>
      <c r="CM483" s="707"/>
      <c r="CN483" s="707"/>
      <c r="CO483" s="707"/>
      <c r="CP483" s="707"/>
      <c r="CQ483" s="707"/>
      <c r="CR483" s="707"/>
      <c r="CS483" s="707"/>
      <c r="CT483" s="707"/>
      <c r="CU483" s="707"/>
      <c r="CV483" s="707"/>
      <c r="CW483" s="707"/>
      <c r="CX483" s="707"/>
      <c r="CY483" s="707"/>
      <c r="CZ483" s="707"/>
      <c r="DA483" s="707"/>
      <c r="DB483" s="707"/>
      <c r="DC483" s="707"/>
      <c r="DD483" s="707"/>
      <c r="DE483" s="707"/>
      <c r="DF483" s="707"/>
      <c r="DG483" s="707"/>
      <c r="DH483" s="707"/>
      <c r="DI483" s="707"/>
      <c r="DJ483" s="707"/>
      <c r="DK483" s="707"/>
      <c r="DL483" s="707"/>
      <c r="DM483" s="707"/>
      <c r="DN483" s="707"/>
      <c r="DO483" s="707"/>
      <c r="DP483" s="707"/>
      <c r="DQ483" s="707"/>
      <c r="DR483" s="707"/>
      <c r="DS483" s="707"/>
      <c r="DT483" s="707"/>
      <c r="DU483" s="707"/>
      <c r="DV483" s="707"/>
      <c r="DW483" s="707"/>
      <c r="DX483" s="707"/>
      <c r="DY483" s="707"/>
      <c r="DZ483" s="707"/>
      <c r="EA483" s="707"/>
      <c r="EB483" s="707"/>
      <c r="EC483" s="707"/>
      <c r="ED483" s="707"/>
      <c r="EE483" s="707"/>
      <c r="EF483" s="707"/>
      <c r="EG483" s="707"/>
      <c r="EH483" s="707"/>
      <c r="EI483" s="707"/>
      <c r="EJ483" s="707"/>
      <c r="EK483" s="707"/>
      <c r="EL483" s="707"/>
      <c r="EM483" s="707"/>
      <c r="EN483" s="707"/>
      <c r="EO483" s="707"/>
      <c r="EP483" s="707"/>
      <c r="EQ483" s="707"/>
      <c r="ER483" s="707"/>
      <c r="ES483" s="707"/>
      <c r="ET483" s="707"/>
      <c r="EU483" s="707"/>
      <c r="EV483" s="707"/>
      <c r="EW483" s="707"/>
      <c r="EX483" s="707"/>
      <c r="EY483" s="707"/>
      <c r="EZ483" s="707"/>
      <c r="FA483" s="707"/>
      <c r="FB483" s="707"/>
      <c r="FC483" s="707"/>
      <c r="FD483" s="707"/>
      <c r="FE483" s="707"/>
      <c r="FF483" s="707"/>
      <c r="FG483" s="707"/>
      <c r="FH483" s="707"/>
      <c r="FI483" s="707"/>
      <c r="FJ483" s="707"/>
      <c r="FK483" s="707"/>
      <c r="FL483" s="707"/>
      <c r="FM483" s="707"/>
      <c r="FN483" s="707"/>
      <c r="FO483" s="707"/>
      <c r="FP483" s="707"/>
      <c r="FQ483" s="707"/>
      <c r="FR483" s="707"/>
      <c r="FS483" s="707"/>
      <c r="FT483" s="707"/>
      <c r="FU483" s="707"/>
      <c r="FV483" s="707"/>
      <c r="FW483" s="707"/>
      <c r="FX483" s="707"/>
      <c r="FY483" s="707"/>
      <c r="FZ483" s="707"/>
      <c r="GA483" s="707"/>
      <c r="GB483" s="707"/>
      <c r="GC483" s="707"/>
      <c r="GD483" s="707"/>
      <c r="GE483" s="707"/>
      <c r="GF483" s="707"/>
      <c r="GG483" s="707"/>
      <c r="GH483" s="707"/>
      <c r="GI483" s="707"/>
      <c r="GJ483" s="707"/>
      <c r="GK483" s="707"/>
      <c r="GL483" s="707"/>
      <c r="GM483" s="707"/>
      <c r="GN483" s="707"/>
      <c r="GO483" s="707"/>
      <c r="GP483" s="707"/>
      <c r="GQ483" s="707"/>
      <c r="GR483" s="707"/>
      <c r="GS483" s="707"/>
      <c r="GT483" s="707"/>
      <c r="GU483" s="707"/>
      <c r="GV483" s="707"/>
      <c r="GW483" s="707"/>
      <c r="GX483" s="707"/>
      <c r="GY483" s="707"/>
      <c r="GZ483" s="707"/>
      <c r="HA483" s="707"/>
      <c r="HB483" s="707"/>
      <c r="HC483" s="707"/>
      <c r="HD483" s="707"/>
      <c r="HE483" s="707"/>
      <c r="HF483" s="707"/>
      <c r="HG483" s="707"/>
      <c r="HH483" s="707"/>
      <c r="HI483" s="707"/>
      <c r="HJ483" s="707"/>
      <c r="HK483" s="707"/>
      <c r="HL483" s="707"/>
      <c r="HM483" s="707"/>
      <c r="HN483" s="707"/>
      <c r="HO483" s="707"/>
      <c r="HP483" s="707"/>
      <c r="HQ483" s="707"/>
      <c r="HR483" s="707"/>
      <c r="HS483" s="707"/>
      <c r="HT483" s="707"/>
      <c r="HU483" s="707"/>
      <c r="HV483" s="707"/>
      <c r="HW483" s="707"/>
      <c r="HX483" s="707"/>
      <c r="HY483" s="707"/>
      <c r="HZ483" s="707"/>
      <c r="IA483" s="707"/>
      <c r="IB483" s="707"/>
      <c r="IC483" s="707"/>
      <c r="ID483" s="707"/>
      <c r="IE483" s="707"/>
      <c r="IF483" s="707"/>
      <c r="IG483" s="707"/>
      <c r="IH483" s="707"/>
      <c r="II483" s="707"/>
      <c r="IJ483" s="707"/>
      <c r="IK483" s="707"/>
      <c r="IL483" s="707"/>
      <c r="IM483" s="707"/>
      <c r="IN483" s="707"/>
      <c r="IO483" s="707"/>
      <c r="IP483" s="707"/>
      <c r="IQ483" s="707"/>
      <c r="IR483" s="707"/>
      <c r="IS483" s="707"/>
      <c r="IT483" s="707"/>
      <c r="IU483" s="707"/>
      <c r="IV483" s="707"/>
      <c r="IW483" s="707"/>
    </row>
    <row r="484" customFormat="false" ht="12.75" hidden="false" customHeight="false" outlineLevel="1" collapsed="false">
      <c r="A484" s="716"/>
      <c r="B484" s="717"/>
      <c r="C484" s="717"/>
      <c r="D484" s="717"/>
      <c r="E484" s="713"/>
      <c r="F484" s="713"/>
      <c r="G484" s="713"/>
      <c r="H484" s="713"/>
      <c r="I484" s="713"/>
      <c r="J484" s="713"/>
      <c r="K484" s="713"/>
      <c r="L484" s="713"/>
      <c r="M484" s="713"/>
      <c r="N484" s="713"/>
      <c r="O484" s="713"/>
      <c r="P484" s="713"/>
      <c r="Q484" s="713"/>
      <c r="R484" s="713"/>
      <c r="S484" s="713"/>
      <c r="T484" s="713"/>
      <c r="U484" s="713"/>
      <c r="V484" s="713"/>
      <c r="W484" s="713"/>
      <c r="X484" s="713"/>
      <c r="Y484" s="713"/>
      <c r="Z484" s="713"/>
      <c r="AA484" s="707"/>
      <c r="AB484" s="707"/>
      <c r="AC484" s="707"/>
      <c r="AD484" s="707"/>
      <c r="AE484" s="707"/>
      <c r="AF484" s="707"/>
      <c r="AG484" s="707"/>
      <c r="AH484" s="707"/>
      <c r="AI484" s="707"/>
      <c r="AJ484" s="707"/>
      <c r="AK484" s="707"/>
      <c r="AL484" s="707"/>
      <c r="AM484" s="707"/>
      <c r="AN484" s="707"/>
      <c r="AO484" s="707"/>
      <c r="AP484" s="707"/>
      <c r="AQ484" s="707"/>
      <c r="AR484" s="707"/>
      <c r="AS484" s="707"/>
      <c r="AT484" s="707"/>
      <c r="AU484" s="707"/>
      <c r="AV484" s="707"/>
      <c r="AW484" s="707"/>
      <c r="AX484" s="707"/>
      <c r="AY484" s="707"/>
      <c r="AZ484" s="707"/>
      <c r="BA484" s="707"/>
      <c r="BB484" s="707"/>
      <c r="BC484" s="707"/>
      <c r="BD484" s="707"/>
      <c r="BE484" s="707"/>
      <c r="BF484" s="707"/>
      <c r="BG484" s="707"/>
      <c r="BH484" s="707"/>
      <c r="BI484" s="707"/>
      <c r="BJ484" s="707"/>
      <c r="BK484" s="707"/>
      <c r="BL484" s="707"/>
      <c r="BM484" s="707"/>
      <c r="BN484" s="707"/>
      <c r="BO484" s="707"/>
      <c r="BP484" s="707"/>
      <c r="BQ484" s="707"/>
      <c r="BR484" s="707"/>
      <c r="BS484" s="707"/>
      <c r="BT484" s="707"/>
      <c r="BU484" s="707"/>
      <c r="BV484" s="707"/>
      <c r="BW484" s="707"/>
      <c r="BX484" s="707"/>
      <c r="BY484" s="707"/>
      <c r="BZ484" s="707"/>
      <c r="CA484" s="707"/>
      <c r="CB484" s="707"/>
      <c r="CC484" s="707"/>
      <c r="CD484" s="707"/>
      <c r="CE484" s="707"/>
      <c r="CF484" s="707"/>
      <c r="CG484" s="707"/>
      <c r="CH484" s="707"/>
      <c r="CI484" s="707"/>
      <c r="CJ484" s="707"/>
      <c r="CK484" s="707"/>
      <c r="CL484" s="707"/>
      <c r="CM484" s="707"/>
      <c r="CN484" s="707"/>
      <c r="CO484" s="707"/>
      <c r="CP484" s="707"/>
      <c r="CQ484" s="707"/>
      <c r="CR484" s="707"/>
      <c r="CS484" s="707"/>
      <c r="CT484" s="707"/>
      <c r="CU484" s="707"/>
      <c r="CV484" s="707"/>
      <c r="CW484" s="707"/>
      <c r="CX484" s="707"/>
      <c r="CY484" s="707"/>
      <c r="CZ484" s="707"/>
      <c r="DA484" s="707"/>
      <c r="DB484" s="707"/>
      <c r="DC484" s="707"/>
      <c r="DD484" s="707"/>
      <c r="DE484" s="707"/>
      <c r="DF484" s="707"/>
      <c r="DG484" s="707"/>
      <c r="DH484" s="707"/>
      <c r="DI484" s="707"/>
      <c r="DJ484" s="707"/>
      <c r="DK484" s="707"/>
      <c r="DL484" s="707"/>
      <c r="DM484" s="707"/>
      <c r="DN484" s="707"/>
      <c r="DO484" s="707"/>
      <c r="DP484" s="707"/>
      <c r="DQ484" s="707"/>
      <c r="DR484" s="707"/>
      <c r="DS484" s="707"/>
      <c r="DT484" s="707"/>
      <c r="DU484" s="707"/>
      <c r="DV484" s="707"/>
      <c r="DW484" s="707"/>
      <c r="DX484" s="707"/>
      <c r="DY484" s="707"/>
      <c r="DZ484" s="707"/>
      <c r="EA484" s="707"/>
      <c r="EB484" s="707"/>
      <c r="EC484" s="707"/>
      <c r="ED484" s="707"/>
      <c r="EE484" s="707"/>
      <c r="EF484" s="707"/>
      <c r="EG484" s="707"/>
      <c r="EH484" s="707"/>
      <c r="EI484" s="707"/>
      <c r="EJ484" s="707"/>
      <c r="EK484" s="707"/>
      <c r="EL484" s="707"/>
      <c r="EM484" s="707"/>
      <c r="EN484" s="707"/>
      <c r="EO484" s="707"/>
      <c r="EP484" s="707"/>
      <c r="EQ484" s="707"/>
      <c r="ER484" s="707"/>
      <c r="ES484" s="707"/>
      <c r="ET484" s="707"/>
      <c r="EU484" s="707"/>
      <c r="EV484" s="707"/>
      <c r="EW484" s="707"/>
      <c r="EX484" s="707"/>
      <c r="EY484" s="707"/>
      <c r="EZ484" s="707"/>
      <c r="FA484" s="707"/>
      <c r="FB484" s="707"/>
      <c r="FC484" s="707"/>
      <c r="FD484" s="707"/>
      <c r="FE484" s="707"/>
      <c r="FF484" s="707"/>
      <c r="FG484" s="707"/>
      <c r="FH484" s="707"/>
      <c r="FI484" s="707"/>
      <c r="FJ484" s="707"/>
      <c r="FK484" s="707"/>
      <c r="FL484" s="707"/>
      <c r="FM484" s="707"/>
      <c r="FN484" s="707"/>
      <c r="FO484" s="707"/>
      <c r="FP484" s="707"/>
      <c r="FQ484" s="707"/>
      <c r="FR484" s="707"/>
      <c r="FS484" s="707"/>
      <c r="FT484" s="707"/>
      <c r="FU484" s="707"/>
      <c r="FV484" s="707"/>
      <c r="FW484" s="707"/>
      <c r="FX484" s="707"/>
      <c r="FY484" s="707"/>
      <c r="FZ484" s="707"/>
      <c r="GA484" s="707"/>
      <c r="GB484" s="707"/>
      <c r="GC484" s="707"/>
      <c r="GD484" s="707"/>
      <c r="GE484" s="707"/>
      <c r="GF484" s="707"/>
      <c r="GG484" s="707"/>
      <c r="GH484" s="707"/>
      <c r="GI484" s="707"/>
      <c r="GJ484" s="707"/>
      <c r="GK484" s="707"/>
      <c r="GL484" s="707"/>
      <c r="GM484" s="707"/>
      <c r="GN484" s="707"/>
      <c r="GO484" s="707"/>
      <c r="GP484" s="707"/>
      <c r="GQ484" s="707"/>
      <c r="GR484" s="707"/>
      <c r="GS484" s="707"/>
      <c r="GT484" s="707"/>
      <c r="GU484" s="707"/>
      <c r="GV484" s="707"/>
      <c r="GW484" s="707"/>
      <c r="GX484" s="707"/>
      <c r="GY484" s="707"/>
      <c r="GZ484" s="707"/>
      <c r="HA484" s="707"/>
      <c r="HB484" s="707"/>
      <c r="HC484" s="707"/>
      <c r="HD484" s="707"/>
      <c r="HE484" s="707"/>
      <c r="HF484" s="707"/>
      <c r="HG484" s="707"/>
      <c r="HH484" s="707"/>
      <c r="HI484" s="707"/>
      <c r="HJ484" s="707"/>
      <c r="HK484" s="707"/>
      <c r="HL484" s="707"/>
      <c r="HM484" s="707"/>
      <c r="HN484" s="707"/>
      <c r="HO484" s="707"/>
      <c r="HP484" s="707"/>
      <c r="HQ484" s="707"/>
      <c r="HR484" s="707"/>
      <c r="HS484" s="707"/>
      <c r="HT484" s="707"/>
      <c r="HU484" s="707"/>
      <c r="HV484" s="707"/>
      <c r="HW484" s="707"/>
      <c r="HX484" s="707"/>
      <c r="HY484" s="707"/>
      <c r="HZ484" s="707"/>
      <c r="IA484" s="707"/>
      <c r="IB484" s="707"/>
      <c r="IC484" s="707"/>
      <c r="ID484" s="707"/>
      <c r="IE484" s="707"/>
      <c r="IF484" s="707"/>
      <c r="IG484" s="707"/>
      <c r="IH484" s="707"/>
      <c r="II484" s="707"/>
      <c r="IJ484" s="707"/>
      <c r="IK484" s="707"/>
      <c r="IL484" s="707"/>
      <c r="IM484" s="707"/>
      <c r="IN484" s="707"/>
      <c r="IO484" s="707"/>
      <c r="IP484" s="707"/>
      <c r="IQ484" s="707"/>
      <c r="IR484" s="707"/>
      <c r="IS484" s="707"/>
      <c r="IT484" s="707"/>
      <c r="IU484" s="707"/>
      <c r="IV484" s="707"/>
      <c r="IW484" s="707"/>
    </row>
    <row r="485" customFormat="false" ht="12.75" hidden="false" customHeight="false" outlineLevel="1" collapsed="false">
      <c r="A485" s="716"/>
      <c r="B485" s="717"/>
      <c r="C485" s="717"/>
      <c r="D485" s="717"/>
      <c r="E485" s="713"/>
      <c r="F485" s="713"/>
      <c r="G485" s="713"/>
      <c r="H485" s="713"/>
      <c r="I485" s="713"/>
      <c r="J485" s="713"/>
      <c r="K485" s="713"/>
      <c r="L485" s="713"/>
      <c r="M485" s="713"/>
      <c r="N485" s="713"/>
      <c r="O485" s="713"/>
      <c r="P485" s="713"/>
      <c r="Q485" s="713"/>
      <c r="R485" s="713"/>
      <c r="S485" s="713"/>
      <c r="T485" s="713"/>
      <c r="U485" s="713"/>
      <c r="V485" s="713"/>
      <c r="W485" s="713"/>
      <c r="X485" s="713"/>
      <c r="Y485" s="713"/>
      <c r="Z485" s="713"/>
      <c r="AA485" s="707"/>
      <c r="AB485" s="707"/>
      <c r="AC485" s="707"/>
      <c r="AD485" s="707"/>
      <c r="AE485" s="707"/>
      <c r="AF485" s="707"/>
      <c r="AG485" s="707"/>
      <c r="AH485" s="707"/>
      <c r="AI485" s="707"/>
      <c r="AJ485" s="707"/>
      <c r="AK485" s="707"/>
      <c r="AL485" s="707"/>
      <c r="AM485" s="707"/>
      <c r="AN485" s="707"/>
      <c r="AO485" s="707"/>
      <c r="AP485" s="707"/>
      <c r="AQ485" s="707"/>
      <c r="AR485" s="707"/>
      <c r="AS485" s="707"/>
      <c r="AT485" s="707"/>
      <c r="AU485" s="707"/>
      <c r="AV485" s="707"/>
      <c r="AW485" s="707"/>
      <c r="AX485" s="707"/>
      <c r="AY485" s="707"/>
      <c r="AZ485" s="707"/>
      <c r="BA485" s="707"/>
      <c r="BB485" s="707"/>
      <c r="BC485" s="707"/>
      <c r="BD485" s="707"/>
      <c r="BE485" s="707"/>
      <c r="BF485" s="707"/>
      <c r="BG485" s="707"/>
      <c r="BH485" s="707"/>
      <c r="BI485" s="707"/>
      <c r="BJ485" s="707"/>
      <c r="BK485" s="707"/>
      <c r="BL485" s="707"/>
      <c r="BM485" s="707"/>
      <c r="BN485" s="707"/>
      <c r="BO485" s="707"/>
      <c r="BP485" s="707"/>
      <c r="BQ485" s="707"/>
      <c r="BR485" s="707"/>
      <c r="BS485" s="707"/>
      <c r="BT485" s="707"/>
      <c r="BU485" s="707"/>
      <c r="BV485" s="707"/>
      <c r="BW485" s="707"/>
      <c r="BX485" s="707"/>
      <c r="BY485" s="707"/>
      <c r="BZ485" s="707"/>
      <c r="CA485" s="707"/>
      <c r="CB485" s="707"/>
      <c r="CC485" s="707"/>
      <c r="CD485" s="707"/>
      <c r="CE485" s="707"/>
      <c r="CF485" s="707"/>
      <c r="CG485" s="707"/>
      <c r="CH485" s="707"/>
      <c r="CI485" s="707"/>
      <c r="CJ485" s="707"/>
      <c r="CK485" s="707"/>
      <c r="CL485" s="707"/>
      <c r="CM485" s="707"/>
      <c r="CN485" s="707"/>
      <c r="CO485" s="707"/>
      <c r="CP485" s="707"/>
      <c r="CQ485" s="707"/>
      <c r="CR485" s="707"/>
      <c r="CS485" s="707"/>
      <c r="CT485" s="707"/>
      <c r="CU485" s="707"/>
      <c r="CV485" s="707"/>
      <c r="CW485" s="707"/>
      <c r="CX485" s="707"/>
      <c r="CY485" s="707"/>
      <c r="CZ485" s="707"/>
      <c r="DA485" s="707"/>
      <c r="DB485" s="707"/>
      <c r="DC485" s="707"/>
      <c r="DD485" s="707"/>
      <c r="DE485" s="707"/>
      <c r="DF485" s="707"/>
      <c r="DG485" s="707"/>
      <c r="DH485" s="707"/>
      <c r="DI485" s="707"/>
      <c r="DJ485" s="707"/>
      <c r="DK485" s="707"/>
      <c r="DL485" s="707"/>
      <c r="DM485" s="707"/>
      <c r="DN485" s="707"/>
      <c r="DO485" s="707"/>
      <c r="DP485" s="707"/>
      <c r="DQ485" s="707"/>
      <c r="DR485" s="707"/>
      <c r="DS485" s="707"/>
      <c r="DT485" s="707"/>
      <c r="DU485" s="707"/>
      <c r="DV485" s="707"/>
      <c r="DW485" s="707"/>
      <c r="DX485" s="707"/>
      <c r="DY485" s="707"/>
      <c r="DZ485" s="707"/>
      <c r="EA485" s="707"/>
      <c r="EB485" s="707"/>
      <c r="EC485" s="707"/>
      <c r="ED485" s="707"/>
      <c r="EE485" s="707"/>
      <c r="EF485" s="707"/>
      <c r="EG485" s="707"/>
      <c r="EH485" s="707"/>
      <c r="EI485" s="707"/>
      <c r="EJ485" s="707"/>
      <c r="EK485" s="707"/>
      <c r="EL485" s="707"/>
      <c r="EM485" s="707"/>
      <c r="EN485" s="707"/>
      <c r="EO485" s="707"/>
      <c r="EP485" s="707"/>
      <c r="EQ485" s="707"/>
      <c r="ER485" s="707"/>
      <c r="ES485" s="707"/>
      <c r="ET485" s="707"/>
      <c r="EU485" s="707"/>
      <c r="EV485" s="707"/>
      <c r="EW485" s="707"/>
      <c r="EX485" s="707"/>
      <c r="EY485" s="707"/>
      <c r="EZ485" s="707"/>
      <c r="FA485" s="707"/>
      <c r="FB485" s="707"/>
      <c r="FC485" s="707"/>
      <c r="FD485" s="707"/>
      <c r="FE485" s="707"/>
      <c r="FF485" s="707"/>
      <c r="FG485" s="707"/>
      <c r="FH485" s="707"/>
      <c r="FI485" s="707"/>
      <c r="FJ485" s="707"/>
      <c r="FK485" s="707"/>
      <c r="FL485" s="707"/>
      <c r="FM485" s="707"/>
      <c r="FN485" s="707"/>
      <c r="FO485" s="707"/>
      <c r="FP485" s="707"/>
      <c r="FQ485" s="707"/>
      <c r="FR485" s="707"/>
      <c r="FS485" s="707"/>
      <c r="FT485" s="707"/>
      <c r="FU485" s="707"/>
      <c r="FV485" s="707"/>
      <c r="FW485" s="707"/>
      <c r="FX485" s="707"/>
      <c r="FY485" s="707"/>
      <c r="FZ485" s="707"/>
      <c r="GA485" s="707"/>
      <c r="GB485" s="707"/>
      <c r="GC485" s="707"/>
      <c r="GD485" s="707"/>
      <c r="GE485" s="707"/>
      <c r="GF485" s="707"/>
      <c r="GG485" s="707"/>
      <c r="GH485" s="707"/>
      <c r="GI485" s="707"/>
      <c r="GJ485" s="707"/>
      <c r="GK485" s="707"/>
      <c r="GL485" s="707"/>
      <c r="GM485" s="707"/>
      <c r="GN485" s="707"/>
      <c r="GO485" s="707"/>
      <c r="GP485" s="707"/>
      <c r="GQ485" s="707"/>
      <c r="GR485" s="707"/>
      <c r="GS485" s="707"/>
      <c r="GT485" s="707"/>
      <c r="GU485" s="707"/>
      <c r="GV485" s="707"/>
      <c r="GW485" s="707"/>
      <c r="GX485" s="707"/>
      <c r="GY485" s="707"/>
      <c r="GZ485" s="707"/>
      <c r="HA485" s="707"/>
      <c r="HB485" s="707"/>
      <c r="HC485" s="707"/>
      <c r="HD485" s="707"/>
      <c r="HE485" s="707"/>
      <c r="HF485" s="707"/>
      <c r="HG485" s="707"/>
      <c r="HH485" s="707"/>
      <c r="HI485" s="707"/>
      <c r="HJ485" s="707"/>
      <c r="HK485" s="707"/>
      <c r="HL485" s="707"/>
      <c r="HM485" s="707"/>
      <c r="HN485" s="707"/>
      <c r="HO485" s="707"/>
      <c r="HP485" s="707"/>
      <c r="HQ485" s="707"/>
      <c r="HR485" s="707"/>
      <c r="HS485" s="707"/>
      <c r="HT485" s="707"/>
      <c r="HU485" s="707"/>
      <c r="HV485" s="707"/>
      <c r="HW485" s="707"/>
      <c r="HX485" s="707"/>
      <c r="HY485" s="707"/>
      <c r="HZ485" s="707"/>
      <c r="IA485" s="707"/>
      <c r="IB485" s="707"/>
      <c r="IC485" s="707"/>
      <c r="ID485" s="707"/>
      <c r="IE485" s="707"/>
      <c r="IF485" s="707"/>
      <c r="IG485" s="707"/>
      <c r="IH485" s="707"/>
      <c r="II485" s="707"/>
      <c r="IJ485" s="707"/>
      <c r="IK485" s="707"/>
      <c r="IL485" s="707"/>
      <c r="IM485" s="707"/>
      <c r="IN485" s="707"/>
      <c r="IO485" s="707"/>
      <c r="IP485" s="707"/>
      <c r="IQ485" s="707"/>
      <c r="IR485" s="707"/>
      <c r="IS485" s="707"/>
      <c r="IT485" s="707"/>
      <c r="IU485" s="707"/>
      <c r="IV485" s="707"/>
      <c r="IW485" s="707"/>
    </row>
    <row r="486" customFormat="false" ht="12.75" hidden="false" customHeight="false" outlineLevel="1" collapsed="false">
      <c r="A486" s="716"/>
      <c r="B486" s="717"/>
      <c r="C486" s="717"/>
      <c r="D486" s="717"/>
      <c r="E486" s="713"/>
      <c r="F486" s="713"/>
      <c r="G486" s="713"/>
      <c r="H486" s="713"/>
      <c r="I486" s="713"/>
      <c r="J486" s="713"/>
      <c r="K486" s="713"/>
      <c r="L486" s="713"/>
      <c r="M486" s="713"/>
      <c r="N486" s="713"/>
      <c r="O486" s="713"/>
      <c r="P486" s="713"/>
      <c r="Q486" s="713"/>
      <c r="R486" s="713"/>
      <c r="S486" s="713"/>
      <c r="T486" s="713"/>
      <c r="U486" s="713"/>
      <c r="V486" s="713"/>
      <c r="W486" s="713"/>
      <c r="X486" s="713"/>
      <c r="Y486" s="713"/>
      <c r="Z486" s="713"/>
      <c r="AA486" s="707"/>
      <c r="AB486" s="707"/>
      <c r="AC486" s="707"/>
      <c r="AD486" s="707"/>
      <c r="AE486" s="707"/>
      <c r="AF486" s="707"/>
      <c r="AG486" s="707"/>
      <c r="AH486" s="707"/>
      <c r="AI486" s="707"/>
      <c r="AJ486" s="707"/>
      <c r="AK486" s="707"/>
      <c r="AL486" s="707"/>
      <c r="AM486" s="707"/>
      <c r="AN486" s="707"/>
      <c r="AO486" s="707"/>
      <c r="AP486" s="707"/>
      <c r="AQ486" s="707"/>
      <c r="AR486" s="707"/>
      <c r="AS486" s="707"/>
      <c r="AT486" s="707"/>
      <c r="AU486" s="707"/>
      <c r="AV486" s="707"/>
      <c r="AW486" s="707"/>
      <c r="AX486" s="707"/>
      <c r="AY486" s="707"/>
      <c r="AZ486" s="707"/>
      <c r="BA486" s="707"/>
      <c r="BB486" s="707"/>
      <c r="BC486" s="707"/>
      <c r="BD486" s="707"/>
      <c r="BE486" s="707"/>
      <c r="BF486" s="707"/>
      <c r="BG486" s="707"/>
      <c r="BH486" s="707"/>
      <c r="BI486" s="707"/>
      <c r="BJ486" s="707"/>
      <c r="BK486" s="707"/>
      <c r="BL486" s="707"/>
      <c r="BM486" s="707"/>
      <c r="BN486" s="707"/>
      <c r="BO486" s="707"/>
      <c r="BP486" s="707"/>
      <c r="BQ486" s="707"/>
      <c r="BR486" s="707"/>
      <c r="BS486" s="707"/>
      <c r="BT486" s="707"/>
      <c r="BU486" s="707"/>
      <c r="BV486" s="707"/>
      <c r="BW486" s="707"/>
      <c r="BX486" s="707"/>
      <c r="BY486" s="707"/>
      <c r="BZ486" s="707"/>
      <c r="CA486" s="707"/>
      <c r="CB486" s="707"/>
      <c r="CC486" s="707"/>
      <c r="CD486" s="707"/>
      <c r="CE486" s="707"/>
      <c r="CF486" s="707"/>
      <c r="CG486" s="707"/>
      <c r="CH486" s="707"/>
      <c r="CI486" s="707"/>
      <c r="CJ486" s="707"/>
      <c r="CK486" s="707"/>
      <c r="CL486" s="707"/>
      <c r="CM486" s="707"/>
      <c r="CN486" s="707"/>
      <c r="CO486" s="707"/>
      <c r="CP486" s="707"/>
      <c r="CQ486" s="707"/>
      <c r="CR486" s="707"/>
      <c r="CS486" s="707"/>
      <c r="CT486" s="707"/>
      <c r="CU486" s="707"/>
      <c r="CV486" s="707"/>
      <c r="CW486" s="707"/>
      <c r="CX486" s="707"/>
      <c r="CY486" s="707"/>
      <c r="CZ486" s="707"/>
      <c r="DA486" s="707"/>
      <c r="DB486" s="707"/>
      <c r="DC486" s="707"/>
      <c r="DD486" s="707"/>
      <c r="DE486" s="707"/>
      <c r="DF486" s="707"/>
      <c r="DG486" s="707"/>
      <c r="DH486" s="707"/>
      <c r="DI486" s="707"/>
      <c r="DJ486" s="707"/>
      <c r="DK486" s="707"/>
      <c r="DL486" s="707"/>
      <c r="DM486" s="707"/>
      <c r="DN486" s="707"/>
      <c r="DO486" s="707"/>
      <c r="DP486" s="707"/>
      <c r="DQ486" s="707"/>
      <c r="DR486" s="707"/>
      <c r="DS486" s="707"/>
      <c r="DT486" s="707"/>
      <c r="DU486" s="707"/>
      <c r="DV486" s="707"/>
      <c r="DW486" s="707"/>
      <c r="DX486" s="707"/>
      <c r="DY486" s="707"/>
      <c r="DZ486" s="707"/>
      <c r="EA486" s="707"/>
      <c r="EB486" s="707"/>
      <c r="EC486" s="707"/>
      <c r="ED486" s="707"/>
      <c r="EE486" s="707"/>
      <c r="EF486" s="707"/>
      <c r="EG486" s="707"/>
      <c r="EH486" s="707"/>
      <c r="EI486" s="707"/>
      <c r="EJ486" s="707"/>
      <c r="EK486" s="707"/>
      <c r="EL486" s="707"/>
      <c r="EM486" s="707"/>
      <c r="EN486" s="707"/>
      <c r="EO486" s="707"/>
      <c r="EP486" s="707"/>
      <c r="EQ486" s="707"/>
      <c r="ER486" s="707"/>
      <c r="ES486" s="707"/>
      <c r="ET486" s="707"/>
      <c r="EU486" s="707"/>
      <c r="EV486" s="707"/>
      <c r="EW486" s="707"/>
      <c r="EX486" s="707"/>
      <c r="EY486" s="707"/>
      <c r="EZ486" s="707"/>
      <c r="FA486" s="707"/>
      <c r="FB486" s="707"/>
      <c r="FC486" s="707"/>
      <c r="FD486" s="707"/>
      <c r="FE486" s="707"/>
      <c r="FF486" s="707"/>
      <c r="FG486" s="707"/>
      <c r="FH486" s="707"/>
      <c r="FI486" s="707"/>
      <c r="FJ486" s="707"/>
      <c r="FK486" s="707"/>
      <c r="FL486" s="707"/>
      <c r="FM486" s="707"/>
      <c r="FN486" s="707"/>
      <c r="FO486" s="707"/>
      <c r="FP486" s="707"/>
      <c r="FQ486" s="707"/>
      <c r="FR486" s="707"/>
      <c r="FS486" s="707"/>
      <c r="FT486" s="707"/>
      <c r="FU486" s="707"/>
      <c r="FV486" s="707"/>
      <c r="FW486" s="707"/>
      <c r="FX486" s="707"/>
      <c r="FY486" s="707"/>
      <c r="FZ486" s="707"/>
      <c r="GA486" s="707"/>
      <c r="GB486" s="707"/>
      <c r="GC486" s="707"/>
      <c r="GD486" s="707"/>
      <c r="GE486" s="707"/>
      <c r="GF486" s="707"/>
      <c r="GG486" s="707"/>
      <c r="GH486" s="707"/>
      <c r="GI486" s="707"/>
      <c r="GJ486" s="707"/>
      <c r="GK486" s="707"/>
      <c r="GL486" s="707"/>
      <c r="GM486" s="707"/>
      <c r="GN486" s="707"/>
      <c r="GO486" s="707"/>
      <c r="GP486" s="707"/>
      <c r="GQ486" s="707"/>
      <c r="GR486" s="707"/>
      <c r="GS486" s="707"/>
      <c r="GT486" s="707"/>
      <c r="GU486" s="707"/>
      <c r="GV486" s="707"/>
      <c r="GW486" s="707"/>
      <c r="GX486" s="707"/>
      <c r="GY486" s="707"/>
      <c r="GZ486" s="707"/>
      <c r="HA486" s="707"/>
      <c r="HB486" s="707"/>
      <c r="HC486" s="707"/>
      <c r="HD486" s="707"/>
      <c r="HE486" s="707"/>
      <c r="HF486" s="707"/>
      <c r="HG486" s="707"/>
      <c r="HH486" s="707"/>
      <c r="HI486" s="707"/>
      <c r="HJ486" s="707"/>
      <c r="HK486" s="707"/>
      <c r="HL486" s="707"/>
      <c r="HM486" s="707"/>
      <c r="HN486" s="707"/>
      <c r="HO486" s="707"/>
      <c r="HP486" s="707"/>
      <c r="HQ486" s="707"/>
      <c r="HR486" s="707"/>
      <c r="HS486" s="707"/>
      <c r="HT486" s="707"/>
      <c r="HU486" s="707"/>
      <c r="HV486" s="707"/>
      <c r="HW486" s="707"/>
      <c r="HX486" s="707"/>
      <c r="HY486" s="707"/>
      <c r="HZ486" s="707"/>
      <c r="IA486" s="707"/>
      <c r="IB486" s="707"/>
      <c r="IC486" s="707"/>
      <c r="ID486" s="707"/>
      <c r="IE486" s="707"/>
      <c r="IF486" s="707"/>
      <c r="IG486" s="707"/>
      <c r="IH486" s="707"/>
      <c r="II486" s="707"/>
      <c r="IJ486" s="707"/>
      <c r="IK486" s="707"/>
      <c r="IL486" s="707"/>
      <c r="IM486" s="707"/>
      <c r="IN486" s="707"/>
      <c r="IO486" s="707"/>
      <c r="IP486" s="707"/>
      <c r="IQ486" s="707"/>
      <c r="IR486" s="707"/>
      <c r="IS486" s="707"/>
      <c r="IT486" s="707"/>
      <c r="IU486" s="707"/>
      <c r="IV486" s="707"/>
      <c r="IW486" s="707"/>
    </row>
    <row r="487" customFormat="false" ht="12.75" hidden="false" customHeight="false" outlineLevel="1" collapsed="false">
      <c r="A487" s="716"/>
      <c r="B487" s="717"/>
      <c r="C487" s="717"/>
      <c r="D487" s="717"/>
      <c r="E487" s="713"/>
      <c r="F487" s="713"/>
      <c r="G487" s="713"/>
      <c r="H487" s="713"/>
      <c r="I487" s="713"/>
      <c r="J487" s="713"/>
      <c r="K487" s="713"/>
      <c r="L487" s="713"/>
      <c r="M487" s="713"/>
      <c r="N487" s="713"/>
      <c r="O487" s="713"/>
      <c r="P487" s="713"/>
      <c r="Q487" s="713"/>
      <c r="R487" s="713"/>
      <c r="S487" s="713"/>
      <c r="T487" s="713"/>
      <c r="U487" s="713"/>
      <c r="V487" s="713"/>
      <c r="W487" s="713"/>
      <c r="X487" s="713"/>
      <c r="Y487" s="713"/>
      <c r="Z487" s="713"/>
      <c r="AA487" s="707"/>
      <c r="AB487" s="707"/>
      <c r="AC487" s="707"/>
      <c r="AD487" s="707"/>
      <c r="AE487" s="707"/>
      <c r="AF487" s="707"/>
      <c r="AG487" s="707"/>
      <c r="AH487" s="707"/>
      <c r="AI487" s="707"/>
      <c r="AJ487" s="707"/>
      <c r="AK487" s="707"/>
      <c r="AL487" s="707"/>
      <c r="AM487" s="707"/>
      <c r="AN487" s="707"/>
      <c r="AO487" s="707"/>
      <c r="AP487" s="707"/>
      <c r="AQ487" s="707"/>
      <c r="AR487" s="707"/>
      <c r="AS487" s="707"/>
      <c r="AT487" s="707"/>
      <c r="AU487" s="707"/>
      <c r="AV487" s="707"/>
      <c r="AW487" s="707"/>
      <c r="AX487" s="707"/>
      <c r="AY487" s="707"/>
      <c r="AZ487" s="707"/>
      <c r="BA487" s="707"/>
      <c r="BB487" s="707"/>
      <c r="BC487" s="707"/>
      <c r="BD487" s="707"/>
      <c r="BE487" s="707"/>
      <c r="BF487" s="707"/>
      <c r="BG487" s="707"/>
      <c r="BH487" s="707"/>
      <c r="BI487" s="707"/>
      <c r="BJ487" s="707"/>
      <c r="BK487" s="707"/>
      <c r="BL487" s="707"/>
      <c r="BM487" s="707"/>
      <c r="BN487" s="707"/>
      <c r="BO487" s="707"/>
      <c r="BP487" s="707"/>
      <c r="BQ487" s="707"/>
      <c r="BR487" s="707"/>
      <c r="BS487" s="707"/>
      <c r="BT487" s="707"/>
      <c r="BU487" s="707"/>
      <c r="BV487" s="707"/>
      <c r="BW487" s="707"/>
      <c r="BX487" s="707"/>
      <c r="BY487" s="707"/>
      <c r="BZ487" s="707"/>
      <c r="CA487" s="707"/>
      <c r="CB487" s="707"/>
      <c r="CC487" s="707"/>
      <c r="CD487" s="707"/>
      <c r="CE487" s="707"/>
      <c r="CF487" s="707"/>
      <c r="CG487" s="707"/>
      <c r="CH487" s="707"/>
      <c r="CI487" s="707"/>
      <c r="CJ487" s="707"/>
      <c r="CK487" s="707"/>
      <c r="CL487" s="707"/>
      <c r="CM487" s="707"/>
      <c r="CN487" s="707"/>
      <c r="CO487" s="707"/>
      <c r="CP487" s="707"/>
      <c r="CQ487" s="707"/>
      <c r="CR487" s="707"/>
      <c r="CS487" s="707"/>
      <c r="CT487" s="707"/>
      <c r="CU487" s="707"/>
      <c r="CV487" s="707"/>
      <c r="CW487" s="707"/>
      <c r="CX487" s="707"/>
      <c r="CY487" s="707"/>
      <c r="CZ487" s="707"/>
      <c r="DA487" s="707"/>
      <c r="DB487" s="707"/>
      <c r="DC487" s="707"/>
      <c r="DD487" s="707"/>
      <c r="DE487" s="707"/>
      <c r="DF487" s="707"/>
      <c r="DG487" s="707"/>
      <c r="DH487" s="707"/>
      <c r="DI487" s="707"/>
      <c r="DJ487" s="707"/>
      <c r="DK487" s="707"/>
      <c r="DL487" s="707"/>
      <c r="DM487" s="707"/>
      <c r="DN487" s="707"/>
      <c r="DO487" s="707"/>
      <c r="DP487" s="707"/>
      <c r="DQ487" s="707"/>
      <c r="DR487" s="707"/>
      <c r="DS487" s="707"/>
      <c r="DT487" s="707"/>
      <c r="DU487" s="707"/>
      <c r="DV487" s="707"/>
      <c r="DW487" s="707"/>
      <c r="DX487" s="707"/>
      <c r="DY487" s="707"/>
      <c r="DZ487" s="707"/>
      <c r="EA487" s="707"/>
      <c r="EB487" s="707"/>
      <c r="EC487" s="707"/>
      <c r="ED487" s="707"/>
      <c r="EE487" s="707"/>
      <c r="EF487" s="707"/>
      <c r="EG487" s="707"/>
      <c r="EH487" s="707"/>
      <c r="EI487" s="707"/>
      <c r="EJ487" s="707"/>
      <c r="EK487" s="707"/>
      <c r="EL487" s="707"/>
      <c r="EM487" s="707"/>
      <c r="EN487" s="707"/>
      <c r="EO487" s="707"/>
      <c r="EP487" s="707"/>
      <c r="EQ487" s="707"/>
      <c r="ER487" s="707"/>
      <c r="ES487" s="707"/>
      <c r="ET487" s="707"/>
      <c r="EU487" s="707"/>
      <c r="EV487" s="707"/>
      <c r="EW487" s="707"/>
      <c r="EX487" s="707"/>
      <c r="EY487" s="707"/>
      <c r="EZ487" s="707"/>
      <c r="FA487" s="707"/>
      <c r="FB487" s="707"/>
      <c r="FC487" s="707"/>
      <c r="FD487" s="707"/>
      <c r="FE487" s="707"/>
      <c r="FF487" s="707"/>
      <c r="FG487" s="707"/>
      <c r="FH487" s="707"/>
      <c r="FI487" s="707"/>
      <c r="FJ487" s="707"/>
      <c r="FK487" s="707"/>
      <c r="FL487" s="707"/>
      <c r="FM487" s="707"/>
      <c r="FN487" s="707"/>
      <c r="FO487" s="707"/>
      <c r="FP487" s="707"/>
      <c r="FQ487" s="707"/>
      <c r="FR487" s="707"/>
      <c r="FS487" s="707"/>
      <c r="FT487" s="707"/>
      <c r="FU487" s="707"/>
      <c r="FV487" s="707"/>
      <c r="FW487" s="707"/>
      <c r="FX487" s="707"/>
      <c r="FY487" s="707"/>
      <c r="FZ487" s="707"/>
      <c r="GA487" s="707"/>
      <c r="GB487" s="707"/>
      <c r="GC487" s="707"/>
      <c r="GD487" s="707"/>
      <c r="GE487" s="707"/>
      <c r="GF487" s="707"/>
      <c r="GG487" s="707"/>
      <c r="GH487" s="707"/>
      <c r="GI487" s="707"/>
      <c r="GJ487" s="707"/>
      <c r="GK487" s="707"/>
      <c r="GL487" s="707"/>
      <c r="GM487" s="707"/>
      <c r="GN487" s="707"/>
      <c r="GO487" s="707"/>
      <c r="GP487" s="707"/>
      <c r="GQ487" s="707"/>
      <c r="GR487" s="707"/>
      <c r="GS487" s="707"/>
      <c r="GT487" s="707"/>
      <c r="GU487" s="707"/>
      <c r="GV487" s="707"/>
      <c r="GW487" s="707"/>
      <c r="GX487" s="707"/>
      <c r="GY487" s="707"/>
      <c r="GZ487" s="707"/>
      <c r="HA487" s="707"/>
      <c r="HB487" s="707"/>
      <c r="HC487" s="707"/>
      <c r="HD487" s="707"/>
      <c r="HE487" s="707"/>
      <c r="HF487" s="707"/>
      <c r="HG487" s="707"/>
      <c r="HH487" s="707"/>
      <c r="HI487" s="707"/>
      <c r="HJ487" s="707"/>
      <c r="HK487" s="707"/>
      <c r="HL487" s="707"/>
      <c r="HM487" s="707"/>
      <c r="HN487" s="707"/>
      <c r="HO487" s="707"/>
      <c r="HP487" s="707"/>
      <c r="HQ487" s="707"/>
      <c r="HR487" s="707"/>
      <c r="HS487" s="707"/>
      <c r="HT487" s="707"/>
      <c r="HU487" s="707"/>
      <c r="HV487" s="707"/>
      <c r="HW487" s="707"/>
      <c r="HX487" s="707"/>
      <c r="HY487" s="707"/>
      <c r="HZ487" s="707"/>
      <c r="IA487" s="707"/>
      <c r="IB487" s="707"/>
      <c r="IC487" s="707"/>
      <c r="ID487" s="707"/>
      <c r="IE487" s="707"/>
      <c r="IF487" s="707"/>
      <c r="IG487" s="707"/>
      <c r="IH487" s="707"/>
      <c r="II487" s="707"/>
      <c r="IJ487" s="707"/>
      <c r="IK487" s="707"/>
      <c r="IL487" s="707"/>
      <c r="IM487" s="707"/>
      <c r="IN487" s="707"/>
      <c r="IO487" s="707"/>
      <c r="IP487" s="707"/>
      <c r="IQ487" s="707"/>
      <c r="IR487" s="707"/>
      <c r="IS487" s="707"/>
      <c r="IT487" s="707"/>
      <c r="IU487" s="707"/>
      <c r="IV487" s="707"/>
      <c r="IW487" s="707"/>
    </row>
    <row r="488" customFormat="false" ht="12.75" hidden="false" customHeight="false" outlineLevel="1" collapsed="false">
      <c r="A488" s="716"/>
      <c r="B488" s="718"/>
      <c r="C488" s="718"/>
      <c r="D488" s="718"/>
      <c r="E488" s="713"/>
      <c r="F488" s="713"/>
      <c r="G488" s="713"/>
      <c r="H488" s="713"/>
      <c r="I488" s="713"/>
      <c r="J488" s="713"/>
      <c r="K488" s="713"/>
      <c r="L488" s="713"/>
      <c r="M488" s="713"/>
      <c r="N488" s="713"/>
      <c r="O488" s="713"/>
      <c r="P488" s="713"/>
      <c r="Q488" s="713"/>
      <c r="R488" s="713"/>
      <c r="S488" s="713"/>
      <c r="T488" s="713"/>
      <c r="U488" s="713"/>
      <c r="V488" s="713"/>
      <c r="W488" s="713"/>
      <c r="X488" s="713"/>
      <c r="Y488" s="713"/>
      <c r="Z488" s="713"/>
      <c r="AA488" s="707"/>
      <c r="AB488" s="707"/>
      <c r="AC488" s="707"/>
      <c r="AD488" s="707"/>
      <c r="AE488" s="707"/>
      <c r="AF488" s="707"/>
      <c r="AG488" s="707"/>
      <c r="AH488" s="707"/>
      <c r="AI488" s="707"/>
      <c r="AJ488" s="707"/>
      <c r="AK488" s="707"/>
      <c r="AL488" s="707"/>
      <c r="AM488" s="707"/>
      <c r="AN488" s="707"/>
      <c r="AO488" s="707"/>
      <c r="AP488" s="707"/>
      <c r="AQ488" s="707"/>
      <c r="AR488" s="707"/>
      <c r="AS488" s="707"/>
      <c r="AT488" s="707"/>
      <c r="AU488" s="707"/>
      <c r="AV488" s="707"/>
      <c r="AW488" s="707"/>
      <c r="AX488" s="707"/>
      <c r="AY488" s="707"/>
      <c r="AZ488" s="707"/>
      <c r="BA488" s="707"/>
      <c r="BB488" s="707"/>
      <c r="BC488" s="707"/>
      <c r="BD488" s="707"/>
      <c r="BE488" s="707"/>
      <c r="BF488" s="707"/>
      <c r="BG488" s="707"/>
      <c r="BH488" s="707"/>
      <c r="BI488" s="707"/>
      <c r="BJ488" s="707"/>
      <c r="BK488" s="707"/>
      <c r="BL488" s="707"/>
      <c r="BM488" s="707"/>
      <c r="BN488" s="707"/>
      <c r="BO488" s="707"/>
      <c r="BP488" s="707"/>
      <c r="BQ488" s="707"/>
      <c r="BR488" s="707"/>
      <c r="BS488" s="707"/>
      <c r="BT488" s="707"/>
      <c r="BU488" s="707"/>
      <c r="BV488" s="707"/>
      <c r="BW488" s="707"/>
      <c r="BX488" s="707"/>
      <c r="BY488" s="707"/>
      <c r="BZ488" s="707"/>
      <c r="CA488" s="707"/>
      <c r="CB488" s="707"/>
      <c r="CC488" s="707"/>
      <c r="CD488" s="707"/>
      <c r="CE488" s="707"/>
      <c r="CF488" s="707"/>
      <c r="CG488" s="707"/>
      <c r="CH488" s="707"/>
      <c r="CI488" s="707"/>
      <c r="CJ488" s="707"/>
      <c r="CK488" s="707"/>
      <c r="CL488" s="707"/>
      <c r="CM488" s="707"/>
      <c r="CN488" s="707"/>
      <c r="CO488" s="707"/>
      <c r="CP488" s="707"/>
      <c r="CQ488" s="707"/>
      <c r="CR488" s="707"/>
      <c r="CS488" s="707"/>
      <c r="CT488" s="707"/>
      <c r="CU488" s="707"/>
      <c r="CV488" s="707"/>
      <c r="CW488" s="707"/>
      <c r="CX488" s="707"/>
      <c r="CY488" s="707"/>
      <c r="CZ488" s="707"/>
      <c r="DA488" s="707"/>
      <c r="DB488" s="707"/>
      <c r="DC488" s="707"/>
      <c r="DD488" s="707"/>
      <c r="DE488" s="707"/>
      <c r="DF488" s="707"/>
      <c r="DG488" s="707"/>
      <c r="DH488" s="707"/>
      <c r="DI488" s="707"/>
      <c r="DJ488" s="707"/>
      <c r="DK488" s="707"/>
      <c r="DL488" s="707"/>
      <c r="DM488" s="707"/>
      <c r="DN488" s="707"/>
      <c r="DO488" s="707"/>
      <c r="DP488" s="707"/>
      <c r="DQ488" s="707"/>
      <c r="DR488" s="707"/>
      <c r="DS488" s="707"/>
      <c r="DT488" s="707"/>
      <c r="DU488" s="707"/>
      <c r="DV488" s="707"/>
      <c r="DW488" s="707"/>
      <c r="DX488" s="707"/>
      <c r="DY488" s="707"/>
      <c r="DZ488" s="707"/>
      <c r="EA488" s="707"/>
      <c r="EB488" s="707"/>
      <c r="EC488" s="707"/>
      <c r="ED488" s="707"/>
      <c r="EE488" s="707"/>
      <c r="EF488" s="707"/>
      <c r="EG488" s="707"/>
      <c r="EH488" s="707"/>
      <c r="EI488" s="707"/>
      <c r="EJ488" s="707"/>
      <c r="EK488" s="707"/>
      <c r="EL488" s="707"/>
      <c r="EM488" s="707"/>
      <c r="EN488" s="707"/>
      <c r="EO488" s="707"/>
      <c r="EP488" s="707"/>
      <c r="EQ488" s="707"/>
      <c r="ER488" s="707"/>
      <c r="ES488" s="707"/>
      <c r="ET488" s="707"/>
      <c r="EU488" s="707"/>
      <c r="EV488" s="707"/>
      <c r="EW488" s="707"/>
      <c r="EX488" s="707"/>
      <c r="EY488" s="707"/>
      <c r="EZ488" s="707"/>
      <c r="FA488" s="707"/>
      <c r="FB488" s="707"/>
      <c r="FC488" s="707"/>
      <c r="FD488" s="707"/>
      <c r="FE488" s="707"/>
      <c r="FF488" s="707"/>
      <c r="FG488" s="707"/>
      <c r="FH488" s="707"/>
      <c r="FI488" s="707"/>
      <c r="FJ488" s="707"/>
      <c r="FK488" s="707"/>
      <c r="FL488" s="707"/>
      <c r="FM488" s="707"/>
      <c r="FN488" s="707"/>
      <c r="FO488" s="707"/>
      <c r="FP488" s="707"/>
      <c r="FQ488" s="707"/>
      <c r="FR488" s="707"/>
      <c r="FS488" s="707"/>
      <c r="FT488" s="707"/>
      <c r="FU488" s="707"/>
      <c r="FV488" s="707"/>
      <c r="FW488" s="707"/>
      <c r="FX488" s="707"/>
      <c r="FY488" s="707"/>
      <c r="FZ488" s="707"/>
      <c r="GA488" s="707"/>
      <c r="GB488" s="707"/>
      <c r="GC488" s="707"/>
      <c r="GD488" s="707"/>
      <c r="GE488" s="707"/>
      <c r="GF488" s="707"/>
      <c r="GG488" s="707"/>
      <c r="GH488" s="707"/>
      <c r="GI488" s="707"/>
      <c r="GJ488" s="707"/>
      <c r="GK488" s="707"/>
      <c r="GL488" s="707"/>
      <c r="GM488" s="707"/>
      <c r="GN488" s="707"/>
      <c r="GO488" s="707"/>
      <c r="GP488" s="707"/>
      <c r="GQ488" s="707"/>
      <c r="GR488" s="707"/>
      <c r="GS488" s="707"/>
      <c r="GT488" s="707"/>
      <c r="GU488" s="707"/>
      <c r="GV488" s="707"/>
      <c r="GW488" s="707"/>
      <c r="GX488" s="707"/>
      <c r="GY488" s="707"/>
      <c r="GZ488" s="707"/>
      <c r="HA488" s="707"/>
      <c r="HB488" s="707"/>
      <c r="HC488" s="707"/>
      <c r="HD488" s="707"/>
      <c r="HE488" s="707"/>
      <c r="HF488" s="707"/>
      <c r="HG488" s="707"/>
      <c r="HH488" s="707"/>
      <c r="HI488" s="707"/>
      <c r="HJ488" s="707"/>
      <c r="HK488" s="707"/>
      <c r="HL488" s="707"/>
      <c r="HM488" s="707"/>
      <c r="HN488" s="707"/>
      <c r="HO488" s="707"/>
      <c r="HP488" s="707"/>
      <c r="HQ488" s="707"/>
      <c r="HR488" s="707"/>
      <c r="HS488" s="707"/>
      <c r="HT488" s="707"/>
      <c r="HU488" s="707"/>
      <c r="HV488" s="707"/>
      <c r="HW488" s="707"/>
      <c r="HX488" s="707"/>
      <c r="HY488" s="707"/>
      <c r="HZ488" s="707"/>
      <c r="IA488" s="707"/>
      <c r="IB488" s="707"/>
      <c r="IC488" s="707"/>
      <c r="ID488" s="707"/>
      <c r="IE488" s="707"/>
      <c r="IF488" s="707"/>
      <c r="IG488" s="707"/>
      <c r="IH488" s="707"/>
      <c r="II488" s="707"/>
      <c r="IJ488" s="707"/>
      <c r="IK488" s="707"/>
      <c r="IL488" s="707"/>
      <c r="IM488" s="707"/>
      <c r="IN488" s="707"/>
      <c r="IO488" s="707"/>
      <c r="IP488" s="707"/>
      <c r="IQ488" s="707"/>
      <c r="IR488" s="707"/>
      <c r="IS488" s="707"/>
      <c r="IT488" s="707"/>
      <c r="IU488" s="707"/>
      <c r="IV488" s="707"/>
      <c r="IW488" s="707"/>
    </row>
    <row r="489" customFormat="false" ht="12.75" hidden="false" customHeight="false" outlineLevel="1" collapsed="false">
      <c r="A489" s="388"/>
      <c r="B489" s="717"/>
      <c r="C489" s="717"/>
      <c r="D489" s="717"/>
      <c r="E489" s="713"/>
      <c r="F489" s="713"/>
      <c r="G489" s="713"/>
      <c r="H489" s="713"/>
      <c r="I489" s="713"/>
      <c r="J489" s="713"/>
      <c r="K489" s="713"/>
      <c r="L489" s="713"/>
      <c r="M489" s="713"/>
      <c r="N489" s="713"/>
      <c r="O489" s="713"/>
      <c r="P489" s="713"/>
      <c r="Q489" s="713"/>
      <c r="R489" s="713"/>
      <c r="S489" s="713"/>
      <c r="T489" s="713"/>
      <c r="U489" s="713"/>
      <c r="V489" s="713"/>
      <c r="W489" s="713"/>
      <c r="X489" s="713"/>
      <c r="Y489" s="713"/>
      <c r="Z489" s="713"/>
      <c r="AA489" s="707"/>
      <c r="AB489" s="707"/>
      <c r="AC489" s="707"/>
      <c r="AD489" s="707"/>
      <c r="AE489" s="707"/>
      <c r="AF489" s="707"/>
      <c r="AG489" s="707"/>
      <c r="AH489" s="707"/>
      <c r="AI489" s="707"/>
      <c r="AJ489" s="707"/>
      <c r="AK489" s="707"/>
      <c r="AL489" s="707"/>
      <c r="AM489" s="707"/>
      <c r="AN489" s="707"/>
      <c r="AO489" s="707"/>
      <c r="AP489" s="707"/>
      <c r="AQ489" s="707"/>
      <c r="AR489" s="707"/>
      <c r="AS489" s="707"/>
      <c r="AT489" s="707"/>
      <c r="AU489" s="707"/>
      <c r="AV489" s="707"/>
      <c r="AW489" s="707"/>
      <c r="AX489" s="707"/>
      <c r="AY489" s="707"/>
      <c r="AZ489" s="707"/>
      <c r="BA489" s="707"/>
      <c r="BB489" s="707"/>
      <c r="BC489" s="707"/>
      <c r="BD489" s="707"/>
      <c r="BE489" s="707"/>
      <c r="BF489" s="707"/>
      <c r="BG489" s="707"/>
      <c r="BH489" s="707"/>
      <c r="BI489" s="707"/>
      <c r="BJ489" s="707"/>
      <c r="BK489" s="707"/>
      <c r="BL489" s="707"/>
      <c r="BM489" s="707"/>
      <c r="BN489" s="707"/>
      <c r="BO489" s="707"/>
      <c r="BP489" s="707"/>
      <c r="BQ489" s="707"/>
      <c r="BR489" s="707"/>
      <c r="BS489" s="707"/>
      <c r="BT489" s="707"/>
      <c r="BU489" s="707"/>
      <c r="BV489" s="707"/>
      <c r="BW489" s="707"/>
      <c r="BX489" s="707"/>
      <c r="BY489" s="707"/>
      <c r="BZ489" s="707"/>
      <c r="CA489" s="707"/>
      <c r="CB489" s="707"/>
      <c r="CC489" s="707"/>
      <c r="CD489" s="707"/>
      <c r="CE489" s="707"/>
      <c r="CF489" s="707"/>
      <c r="CG489" s="707"/>
      <c r="CH489" s="707"/>
      <c r="CI489" s="707"/>
      <c r="CJ489" s="707"/>
      <c r="CK489" s="707"/>
      <c r="CL489" s="707"/>
      <c r="CM489" s="707"/>
      <c r="CN489" s="707"/>
      <c r="CO489" s="707"/>
      <c r="CP489" s="707"/>
      <c r="CQ489" s="707"/>
      <c r="CR489" s="707"/>
      <c r="CS489" s="707"/>
      <c r="CT489" s="707"/>
      <c r="CU489" s="707"/>
      <c r="CV489" s="707"/>
      <c r="CW489" s="707"/>
      <c r="CX489" s="707"/>
      <c r="CY489" s="707"/>
      <c r="CZ489" s="707"/>
      <c r="DA489" s="707"/>
      <c r="DB489" s="707"/>
      <c r="DC489" s="707"/>
      <c r="DD489" s="707"/>
      <c r="DE489" s="707"/>
      <c r="DF489" s="707"/>
      <c r="DG489" s="707"/>
      <c r="DH489" s="707"/>
      <c r="DI489" s="707"/>
      <c r="DJ489" s="707"/>
      <c r="DK489" s="707"/>
      <c r="DL489" s="707"/>
      <c r="DM489" s="707"/>
      <c r="DN489" s="707"/>
      <c r="DO489" s="707"/>
      <c r="DP489" s="707"/>
      <c r="DQ489" s="707"/>
      <c r="DR489" s="707"/>
      <c r="DS489" s="707"/>
      <c r="DT489" s="707"/>
      <c r="DU489" s="707"/>
      <c r="DV489" s="707"/>
      <c r="DW489" s="707"/>
      <c r="DX489" s="707"/>
      <c r="DY489" s="707"/>
      <c r="DZ489" s="707"/>
      <c r="EA489" s="707"/>
      <c r="EB489" s="707"/>
      <c r="EC489" s="707"/>
      <c r="ED489" s="707"/>
      <c r="EE489" s="707"/>
      <c r="EF489" s="707"/>
      <c r="EG489" s="707"/>
      <c r="EH489" s="707"/>
      <c r="EI489" s="707"/>
      <c r="EJ489" s="707"/>
      <c r="EK489" s="707"/>
      <c r="EL489" s="707"/>
      <c r="EM489" s="707"/>
      <c r="EN489" s="707"/>
      <c r="EO489" s="707"/>
      <c r="EP489" s="707"/>
      <c r="EQ489" s="707"/>
      <c r="ER489" s="707"/>
      <c r="ES489" s="707"/>
      <c r="ET489" s="707"/>
      <c r="EU489" s="707"/>
      <c r="EV489" s="707"/>
      <c r="EW489" s="707"/>
      <c r="EX489" s="707"/>
      <c r="EY489" s="707"/>
      <c r="EZ489" s="707"/>
      <c r="FA489" s="707"/>
      <c r="FB489" s="707"/>
      <c r="FC489" s="707"/>
      <c r="FD489" s="707"/>
      <c r="FE489" s="707"/>
      <c r="FF489" s="707"/>
      <c r="FG489" s="707"/>
      <c r="FH489" s="707"/>
      <c r="FI489" s="707"/>
      <c r="FJ489" s="707"/>
      <c r="FK489" s="707"/>
      <c r="FL489" s="707"/>
      <c r="FM489" s="707"/>
      <c r="FN489" s="707"/>
      <c r="FO489" s="707"/>
      <c r="FP489" s="707"/>
      <c r="FQ489" s="707"/>
      <c r="FR489" s="707"/>
      <c r="FS489" s="707"/>
      <c r="FT489" s="707"/>
      <c r="FU489" s="707"/>
      <c r="FV489" s="707"/>
      <c r="FW489" s="707"/>
      <c r="FX489" s="707"/>
      <c r="FY489" s="707"/>
      <c r="FZ489" s="707"/>
      <c r="GA489" s="707"/>
      <c r="GB489" s="707"/>
      <c r="GC489" s="707"/>
      <c r="GD489" s="707"/>
      <c r="GE489" s="707"/>
      <c r="GF489" s="707"/>
      <c r="GG489" s="707"/>
      <c r="GH489" s="707"/>
      <c r="GI489" s="707"/>
      <c r="GJ489" s="707"/>
      <c r="GK489" s="707"/>
      <c r="GL489" s="707"/>
      <c r="GM489" s="707"/>
      <c r="GN489" s="707"/>
      <c r="GO489" s="707"/>
      <c r="GP489" s="707"/>
      <c r="GQ489" s="707"/>
      <c r="GR489" s="707"/>
      <c r="GS489" s="707"/>
      <c r="GT489" s="707"/>
      <c r="GU489" s="707"/>
      <c r="GV489" s="707"/>
      <c r="GW489" s="707"/>
      <c r="GX489" s="707"/>
      <c r="GY489" s="707"/>
      <c r="GZ489" s="707"/>
      <c r="HA489" s="707"/>
      <c r="HB489" s="707"/>
      <c r="HC489" s="707"/>
      <c r="HD489" s="707"/>
      <c r="HE489" s="707"/>
      <c r="HF489" s="707"/>
      <c r="HG489" s="707"/>
      <c r="HH489" s="707"/>
      <c r="HI489" s="707"/>
      <c r="HJ489" s="707"/>
      <c r="HK489" s="707"/>
      <c r="HL489" s="707"/>
      <c r="HM489" s="707"/>
      <c r="HN489" s="707"/>
      <c r="HO489" s="707"/>
      <c r="HP489" s="707"/>
      <c r="HQ489" s="707"/>
      <c r="HR489" s="707"/>
      <c r="HS489" s="707"/>
      <c r="HT489" s="707"/>
      <c r="HU489" s="707"/>
      <c r="HV489" s="707"/>
      <c r="HW489" s="707"/>
      <c r="HX489" s="707"/>
      <c r="HY489" s="707"/>
      <c r="HZ489" s="707"/>
      <c r="IA489" s="707"/>
      <c r="IB489" s="707"/>
      <c r="IC489" s="707"/>
      <c r="ID489" s="707"/>
      <c r="IE489" s="707"/>
      <c r="IF489" s="707"/>
      <c r="IG489" s="707"/>
      <c r="IH489" s="707"/>
      <c r="II489" s="707"/>
      <c r="IJ489" s="707"/>
      <c r="IK489" s="707"/>
      <c r="IL489" s="707"/>
      <c r="IM489" s="707"/>
      <c r="IN489" s="707"/>
      <c r="IO489" s="707"/>
      <c r="IP489" s="707"/>
      <c r="IQ489" s="707"/>
      <c r="IR489" s="707"/>
      <c r="IS489" s="707"/>
      <c r="IT489" s="707"/>
      <c r="IU489" s="707"/>
      <c r="IV489" s="707"/>
      <c r="IW489" s="707"/>
    </row>
    <row r="490" customFormat="false" ht="12.75" hidden="false" customHeight="false" outlineLevel="1" collapsed="false">
      <c r="A490" s="388"/>
      <c r="B490" s="717"/>
      <c r="C490" s="717"/>
      <c r="D490" s="717"/>
      <c r="E490" s="713"/>
      <c r="F490" s="713"/>
      <c r="G490" s="713"/>
      <c r="H490" s="713"/>
      <c r="I490" s="713"/>
      <c r="J490" s="713"/>
      <c r="K490" s="713"/>
      <c r="L490" s="713"/>
      <c r="M490" s="713"/>
      <c r="N490" s="713"/>
      <c r="O490" s="713"/>
      <c r="P490" s="713"/>
      <c r="Q490" s="713"/>
      <c r="R490" s="713"/>
      <c r="S490" s="713"/>
      <c r="T490" s="713"/>
      <c r="U490" s="713"/>
      <c r="V490" s="713"/>
      <c r="W490" s="713"/>
      <c r="X490" s="713"/>
      <c r="Y490" s="713"/>
      <c r="Z490" s="713"/>
      <c r="AA490" s="707"/>
      <c r="AB490" s="707"/>
      <c r="AC490" s="707"/>
      <c r="AD490" s="707"/>
      <c r="AE490" s="707"/>
      <c r="AF490" s="707"/>
      <c r="AG490" s="707"/>
      <c r="AH490" s="707"/>
      <c r="AI490" s="707"/>
      <c r="AJ490" s="707"/>
      <c r="AK490" s="707"/>
      <c r="AL490" s="707"/>
      <c r="AM490" s="707"/>
      <c r="AN490" s="707"/>
      <c r="AO490" s="707"/>
      <c r="AP490" s="707"/>
      <c r="AQ490" s="707"/>
      <c r="AR490" s="707"/>
      <c r="AS490" s="707"/>
      <c r="AT490" s="707"/>
      <c r="AU490" s="707"/>
      <c r="AV490" s="707"/>
      <c r="AW490" s="707"/>
      <c r="AX490" s="707"/>
      <c r="AY490" s="707"/>
      <c r="AZ490" s="707"/>
      <c r="BA490" s="707"/>
      <c r="BB490" s="707"/>
      <c r="BC490" s="707"/>
      <c r="BD490" s="707"/>
      <c r="BE490" s="707"/>
      <c r="BF490" s="707"/>
      <c r="BG490" s="707"/>
      <c r="BH490" s="707"/>
      <c r="BI490" s="707"/>
      <c r="BJ490" s="707"/>
      <c r="BK490" s="707"/>
      <c r="BL490" s="707"/>
      <c r="BM490" s="707"/>
      <c r="BN490" s="707"/>
      <c r="BO490" s="707"/>
      <c r="BP490" s="707"/>
      <c r="BQ490" s="707"/>
      <c r="BR490" s="707"/>
      <c r="BS490" s="707"/>
      <c r="BT490" s="707"/>
      <c r="BU490" s="707"/>
      <c r="BV490" s="707"/>
      <c r="BW490" s="707"/>
      <c r="BX490" s="707"/>
      <c r="BY490" s="707"/>
      <c r="BZ490" s="707"/>
      <c r="CA490" s="707"/>
      <c r="CB490" s="707"/>
      <c r="CC490" s="707"/>
      <c r="CD490" s="707"/>
      <c r="CE490" s="707"/>
      <c r="CF490" s="707"/>
      <c r="CG490" s="707"/>
      <c r="CH490" s="707"/>
      <c r="CI490" s="707"/>
      <c r="CJ490" s="707"/>
      <c r="CK490" s="707"/>
      <c r="CL490" s="707"/>
      <c r="CM490" s="707"/>
      <c r="CN490" s="707"/>
      <c r="CO490" s="707"/>
      <c r="CP490" s="707"/>
      <c r="CQ490" s="707"/>
      <c r="CR490" s="707"/>
      <c r="CS490" s="707"/>
      <c r="CT490" s="707"/>
      <c r="CU490" s="707"/>
      <c r="CV490" s="707"/>
      <c r="CW490" s="707"/>
      <c r="CX490" s="707"/>
      <c r="CY490" s="707"/>
      <c r="CZ490" s="707"/>
      <c r="DA490" s="707"/>
      <c r="DB490" s="707"/>
      <c r="DC490" s="707"/>
      <c r="DD490" s="707"/>
      <c r="DE490" s="707"/>
      <c r="DF490" s="707"/>
      <c r="DG490" s="707"/>
      <c r="DH490" s="707"/>
      <c r="DI490" s="707"/>
      <c r="DJ490" s="707"/>
      <c r="DK490" s="707"/>
      <c r="DL490" s="707"/>
      <c r="DM490" s="707"/>
      <c r="DN490" s="707"/>
      <c r="DO490" s="707"/>
      <c r="DP490" s="707"/>
      <c r="DQ490" s="707"/>
      <c r="DR490" s="707"/>
      <c r="DS490" s="707"/>
      <c r="DT490" s="707"/>
      <c r="DU490" s="707"/>
      <c r="DV490" s="707"/>
      <c r="DW490" s="707"/>
      <c r="DX490" s="707"/>
      <c r="DY490" s="707"/>
      <c r="DZ490" s="707"/>
      <c r="EA490" s="707"/>
      <c r="EB490" s="707"/>
      <c r="EC490" s="707"/>
      <c r="ED490" s="707"/>
      <c r="EE490" s="707"/>
      <c r="EF490" s="707"/>
      <c r="EG490" s="707"/>
      <c r="EH490" s="707"/>
      <c r="EI490" s="707"/>
      <c r="EJ490" s="707"/>
      <c r="EK490" s="707"/>
      <c r="EL490" s="707"/>
      <c r="EM490" s="707"/>
      <c r="EN490" s="707"/>
      <c r="EO490" s="707"/>
      <c r="EP490" s="707"/>
      <c r="EQ490" s="707"/>
      <c r="ER490" s="707"/>
      <c r="ES490" s="707"/>
      <c r="ET490" s="707"/>
      <c r="EU490" s="707"/>
      <c r="EV490" s="707"/>
      <c r="EW490" s="707"/>
      <c r="EX490" s="707"/>
      <c r="EY490" s="707"/>
      <c r="EZ490" s="707"/>
      <c r="FA490" s="707"/>
      <c r="FB490" s="707"/>
      <c r="FC490" s="707"/>
      <c r="FD490" s="707"/>
      <c r="FE490" s="707"/>
      <c r="FF490" s="707"/>
      <c r="FG490" s="707"/>
      <c r="FH490" s="707"/>
      <c r="FI490" s="707"/>
      <c r="FJ490" s="707"/>
      <c r="FK490" s="707"/>
      <c r="FL490" s="707"/>
      <c r="FM490" s="707"/>
      <c r="FN490" s="707"/>
      <c r="FO490" s="707"/>
      <c r="FP490" s="707"/>
      <c r="FQ490" s="707"/>
      <c r="FR490" s="707"/>
      <c r="FS490" s="707"/>
      <c r="FT490" s="707"/>
      <c r="FU490" s="707"/>
      <c r="FV490" s="707"/>
      <c r="FW490" s="707"/>
      <c r="FX490" s="707"/>
      <c r="FY490" s="707"/>
      <c r="FZ490" s="707"/>
      <c r="GA490" s="707"/>
      <c r="GB490" s="707"/>
      <c r="GC490" s="707"/>
      <c r="GD490" s="707"/>
      <c r="GE490" s="707"/>
      <c r="GF490" s="707"/>
      <c r="GG490" s="707"/>
      <c r="GH490" s="707"/>
      <c r="GI490" s="707"/>
      <c r="GJ490" s="707"/>
      <c r="GK490" s="707"/>
      <c r="GL490" s="707"/>
      <c r="GM490" s="707"/>
      <c r="GN490" s="707"/>
      <c r="GO490" s="707"/>
      <c r="GP490" s="707"/>
      <c r="GQ490" s="707"/>
      <c r="GR490" s="707"/>
      <c r="GS490" s="707"/>
      <c r="GT490" s="707"/>
      <c r="GU490" s="707"/>
      <c r="GV490" s="707"/>
      <c r="GW490" s="707"/>
      <c r="GX490" s="707"/>
      <c r="GY490" s="707"/>
      <c r="GZ490" s="707"/>
      <c r="HA490" s="707"/>
      <c r="HB490" s="707"/>
      <c r="HC490" s="707"/>
      <c r="HD490" s="707"/>
      <c r="HE490" s="707"/>
      <c r="HF490" s="707"/>
      <c r="HG490" s="707"/>
      <c r="HH490" s="707"/>
      <c r="HI490" s="707"/>
      <c r="HJ490" s="707"/>
      <c r="HK490" s="707"/>
      <c r="HL490" s="707"/>
      <c r="HM490" s="707"/>
      <c r="HN490" s="707"/>
      <c r="HO490" s="707"/>
      <c r="HP490" s="707"/>
      <c r="HQ490" s="707"/>
      <c r="HR490" s="707"/>
      <c r="HS490" s="707"/>
      <c r="HT490" s="707"/>
      <c r="HU490" s="707"/>
      <c r="HV490" s="707"/>
      <c r="HW490" s="707"/>
      <c r="HX490" s="707"/>
      <c r="HY490" s="707"/>
      <c r="HZ490" s="707"/>
      <c r="IA490" s="707"/>
      <c r="IB490" s="707"/>
      <c r="IC490" s="707"/>
      <c r="ID490" s="707"/>
      <c r="IE490" s="707"/>
      <c r="IF490" s="707"/>
      <c r="IG490" s="707"/>
      <c r="IH490" s="707"/>
      <c r="II490" s="707"/>
      <c r="IJ490" s="707"/>
      <c r="IK490" s="707"/>
      <c r="IL490" s="707"/>
      <c r="IM490" s="707"/>
      <c r="IN490" s="707"/>
      <c r="IO490" s="707"/>
      <c r="IP490" s="707"/>
      <c r="IQ490" s="707"/>
      <c r="IR490" s="707"/>
      <c r="IS490" s="707"/>
      <c r="IT490" s="707"/>
      <c r="IU490" s="707"/>
      <c r="IV490" s="707"/>
      <c r="IW490" s="707"/>
    </row>
    <row r="491" customFormat="false" ht="12.75" hidden="false" customHeight="false" outlineLevel="1" collapsed="false">
      <c r="A491" s="388"/>
      <c r="B491" s="717"/>
      <c r="C491" s="717"/>
      <c r="D491" s="717"/>
      <c r="E491" s="713"/>
      <c r="F491" s="713"/>
      <c r="G491" s="713"/>
      <c r="H491" s="713"/>
      <c r="I491" s="713"/>
      <c r="J491" s="713"/>
      <c r="K491" s="713"/>
      <c r="L491" s="713"/>
      <c r="M491" s="713"/>
      <c r="N491" s="713"/>
      <c r="O491" s="713"/>
      <c r="P491" s="713"/>
      <c r="Q491" s="713"/>
      <c r="R491" s="713"/>
      <c r="S491" s="713"/>
      <c r="T491" s="713"/>
      <c r="U491" s="713"/>
      <c r="V491" s="713"/>
      <c r="W491" s="713"/>
      <c r="X491" s="713"/>
      <c r="Y491" s="713"/>
      <c r="Z491" s="713"/>
      <c r="AA491" s="707"/>
      <c r="AB491" s="707"/>
      <c r="AC491" s="707"/>
      <c r="AD491" s="707"/>
      <c r="AE491" s="707"/>
      <c r="AF491" s="707"/>
      <c r="AG491" s="707"/>
      <c r="AH491" s="707"/>
      <c r="AI491" s="707"/>
      <c r="AJ491" s="707"/>
      <c r="AK491" s="707"/>
      <c r="AL491" s="707"/>
      <c r="AM491" s="707"/>
      <c r="AN491" s="707"/>
      <c r="AO491" s="707"/>
      <c r="AP491" s="707"/>
      <c r="AQ491" s="707"/>
      <c r="AR491" s="707"/>
      <c r="AS491" s="707"/>
      <c r="AT491" s="707"/>
      <c r="AU491" s="707"/>
      <c r="AV491" s="707"/>
      <c r="AW491" s="707"/>
      <c r="AX491" s="707"/>
      <c r="AY491" s="707"/>
      <c r="AZ491" s="707"/>
      <c r="BA491" s="707"/>
      <c r="BB491" s="707"/>
      <c r="BC491" s="707"/>
      <c r="BD491" s="707"/>
      <c r="BE491" s="707"/>
      <c r="BF491" s="707"/>
      <c r="BG491" s="707"/>
      <c r="BH491" s="707"/>
      <c r="BI491" s="707"/>
      <c r="BJ491" s="707"/>
      <c r="BK491" s="707"/>
      <c r="BL491" s="707"/>
      <c r="BM491" s="707"/>
      <c r="BN491" s="707"/>
      <c r="BO491" s="707"/>
      <c r="BP491" s="707"/>
      <c r="BQ491" s="707"/>
      <c r="BR491" s="707"/>
      <c r="BS491" s="707"/>
      <c r="BT491" s="707"/>
      <c r="BU491" s="707"/>
      <c r="BV491" s="707"/>
      <c r="BW491" s="707"/>
      <c r="BX491" s="707"/>
      <c r="BY491" s="707"/>
      <c r="BZ491" s="707"/>
      <c r="CA491" s="707"/>
      <c r="CB491" s="707"/>
      <c r="CC491" s="707"/>
      <c r="CD491" s="707"/>
      <c r="CE491" s="707"/>
      <c r="CF491" s="707"/>
      <c r="CG491" s="707"/>
      <c r="CH491" s="707"/>
      <c r="CI491" s="707"/>
      <c r="CJ491" s="707"/>
      <c r="CK491" s="707"/>
      <c r="CL491" s="707"/>
      <c r="CM491" s="707"/>
      <c r="CN491" s="707"/>
      <c r="CO491" s="707"/>
      <c r="CP491" s="707"/>
      <c r="CQ491" s="707"/>
      <c r="CR491" s="707"/>
      <c r="CS491" s="707"/>
      <c r="CT491" s="707"/>
      <c r="CU491" s="707"/>
      <c r="CV491" s="707"/>
      <c r="CW491" s="707"/>
      <c r="CX491" s="707"/>
      <c r="CY491" s="707"/>
      <c r="CZ491" s="707"/>
      <c r="DA491" s="707"/>
      <c r="DB491" s="707"/>
      <c r="DC491" s="707"/>
      <c r="DD491" s="707"/>
      <c r="DE491" s="707"/>
      <c r="DF491" s="707"/>
      <c r="DG491" s="707"/>
      <c r="DH491" s="707"/>
      <c r="DI491" s="707"/>
      <c r="DJ491" s="707"/>
      <c r="DK491" s="707"/>
      <c r="DL491" s="707"/>
      <c r="DM491" s="707"/>
      <c r="DN491" s="707"/>
      <c r="DO491" s="707"/>
      <c r="DP491" s="707"/>
      <c r="DQ491" s="707"/>
      <c r="DR491" s="707"/>
      <c r="DS491" s="707"/>
      <c r="DT491" s="707"/>
      <c r="DU491" s="707"/>
      <c r="DV491" s="707"/>
      <c r="DW491" s="707"/>
      <c r="DX491" s="707"/>
      <c r="DY491" s="707"/>
      <c r="DZ491" s="707"/>
      <c r="EA491" s="707"/>
      <c r="EB491" s="707"/>
      <c r="EC491" s="707"/>
      <c r="ED491" s="707"/>
      <c r="EE491" s="707"/>
      <c r="EF491" s="707"/>
      <c r="EG491" s="707"/>
      <c r="EH491" s="707"/>
      <c r="EI491" s="707"/>
      <c r="EJ491" s="707"/>
      <c r="EK491" s="707"/>
      <c r="EL491" s="707"/>
      <c r="EM491" s="707"/>
      <c r="EN491" s="707"/>
      <c r="EO491" s="707"/>
      <c r="EP491" s="707"/>
      <c r="EQ491" s="707"/>
      <c r="ER491" s="707"/>
      <c r="ES491" s="707"/>
      <c r="ET491" s="707"/>
      <c r="EU491" s="707"/>
      <c r="EV491" s="707"/>
      <c r="EW491" s="707"/>
      <c r="EX491" s="707"/>
      <c r="EY491" s="707"/>
      <c r="EZ491" s="707"/>
      <c r="FA491" s="707"/>
      <c r="FB491" s="707"/>
      <c r="FC491" s="707"/>
      <c r="FD491" s="707"/>
      <c r="FE491" s="707"/>
      <c r="FF491" s="707"/>
      <c r="FG491" s="707"/>
      <c r="FH491" s="707"/>
      <c r="FI491" s="707"/>
      <c r="FJ491" s="707"/>
      <c r="FK491" s="707"/>
      <c r="FL491" s="707"/>
      <c r="FM491" s="707"/>
      <c r="FN491" s="707"/>
      <c r="FO491" s="707"/>
      <c r="FP491" s="707"/>
      <c r="FQ491" s="707"/>
      <c r="FR491" s="707"/>
      <c r="FS491" s="707"/>
      <c r="FT491" s="707"/>
      <c r="FU491" s="707"/>
      <c r="FV491" s="707"/>
      <c r="FW491" s="707"/>
      <c r="FX491" s="707"/>
      <c r="FY491" s="707"/>
      <c r="FZ491" s="707"/>
      <c r="GA491" s="707"/>
      <c r="GB491" s="707"/>
      <c r="GC491" s="707"/>
      <c r="GD491" s="707"/>
      <c r="GE491" s="707"/>
      <c r="GF491" s="707"/>
      <c r="GG491" s="707"/>
      <c r="GH491" s="707"/>
      <c r="GI491" s="707"/>
      <c r="GJ491" s="707"/>
      <c r="GK491" s="707"/>
      <c r="GL491" s="707"/>
      <c r="GM491" s="707"/>
      <c r="GN491" s="707"/>
      <c r="GO491" s="707"/>
      <c r="GP491" s="707"/>
      <c r="GQ491" s="707"/>
      <c r="GR491" s="707"/>
      <c r="GS491" s="707"/>
      <c r="GT491" s="707"/>
      <c r="GU491" s="707"/>
      <c r="GV491" s="707"/>
      <c r="GW491" s="707"/>
      <c r="GX491" s="707"/>
      <c r="GY491" s="707"/>
      <c r="GZ491" s="707"/>
      <c r="HA491" s="707"/>
      <c r="HB491" s="707"/>
      <c r="HC491" s="707"/>
      <c r="HD491" s="707"/>
      <c r="HE491" s="707"/>
      <c r="HF491" s="707"/>
      <c r="HG491" s="707"/>
      <c r="HH491" s="707"/>
      <c r="HI491" s="707"/>
      <c r="HJ491" s="707"/>
      <c r="HK491" s="707"/>
      <c r="HL491" s="707"/>
      <c r="HM491" s="707"/>
      <c r="HN491" s="707"/>
      <c r="HO491" s="707"/>
      <c r="HP491" s="707"/>
      <c r="HQ491" s="707"/>
      <c r="HR491" s="707"/>
      <c r="HS491" s="707"/>
      <c r="HT491" s="707"/>
      <c r="HU491" s="707"/>
      <c r="HV491" s="707"/>
      <c r="HW491" s="707"/>
      <c r="HX491" s="707"/>
      <c r="HY491" s="707"/>
      <c r="HZ491" s="707"/>
      <c r="IA491" s="707"/>
      <c r="IB491" s="707"/>
      <c r="IC491" s="707"/>
      <c r="ID491" s="707"/>
      <c r="IE491" s="707"/>
      <c r="IF491" s="707"/>
      <c r="IG491" s="707"/>
      <c r="IH491" s="707"/>
      <c r="II491" s="707"/>
      <c r="IJ491" s="707"/>
      <c r="IK491" s="707"/>
      <c r="IL491" s="707"/>
      <c r="IM491" s="707"/>
      <c r="IN491" s="707"/>
      <c r="IO491" s="707"/>
      <c r="IP491" s="707"/>
      <c r="IQ491" s="707"/>
      <c r="IR491" s="707"/>
      <c r="IS491" s="707"/>
      <c r="IT491" s="707"/>
      <c r="IU491" s="707"/>
      <c r="IV491" s="707"/>
      <c r="IW491" s="707"/>
    </row>
    <row r="492" customFormat="false" ht="12.75" hidden="false" customHeight="false" outlineLevel="1" collapsed="false">
      <c r="A492" s="388"/>
      <c r="B492" s="717"/>
      <c r="C492" s="717"/>
      <c r="D492" s="717"/>
      <c r="E492" s="713"/>
      <c r="F492" s="713"/>
      <c r="G492" s="713"/>
      <c r="H492" s="713"/>
      <c r="I492" s="713"/>
      <c r="J492" s="713"/>
      <c r="K492" s="713"/>
      <c r="L492" s="713"/>
      <c r="M492" s="713"/>
      <c r="N492" s="713"/>
      <c r="O492" s="713"/>
      <c r="P492" s="713"/>
      <c r="Q492" s="713"/>
      <c r="R492" s="713"/>
      <c r="S492" s="713"/>
      <c r="T492" s="713"/>
      <c r="U492" s="713"/>
      <c r="V492" s="713"/>
      <c r="W492" s="713"/>
      <c r="X492" s="713"/>
      <c r="Y492" s="713"/>
      <c r="Z492" s="713"/>
      <c r="AA492" s="707"/>
      <c r="AB492" s="707"/>
      <c r="AC492" s="707"/>
      <c r="AD492" s="707"/>
      <c r="AE492" s="707"/>
      <c r="AF492" s="707"/>
      <c r="AG492" s="707"/>
      <c r="AH492" s="707"/>
      <c r="AI492" s="707"/>
      <c r="AJ492" s="707"/>
      <c r="AK492" s="707"/>
      <c r="AL492" s="707"/>
      <c r="AM492" s="707"/>
      <c r="AN492" s="707"/>
      <c r="AO492" s="707"/>
      <c r="AP492" s="707"/>
      <c r="AQ492" s="707"/>
      <c r="AR492" s="707"/>
      <c r="AS492" s="707"/>
      <c r="AT492" s="707"/>
      <c r="AU492" s="707"/>
      <c r="AV492" s="707"/>
      <c r="AW492" s="707"/>
      <c r="AX492" s="707"/>
      <c r="AY492" s="707"/>
      <c r="AZ492" s="707"/>
      <c r="BA492" s="707"/>
      <c r="BB492" s="707"/>
      <c r="BC492" s="707"/>
      <c r="BD492" s="707"/>
      <c r="BE492" s="707"/>
      <c r="BF492" s="707"/>
      <c r="BG492" s="707"/>
      <c r="BH492" s="707"/>
      <c r="BI492" s="707"/>
      <c r="BJ492" s="707"/>
      <c r="BK492" s="707"/>
      <c r="BL492" s="707"/>
      <c r="BM492" s="707"/>
      <c r="BN492" s="707"/>
      <c r="BO492" s="707"/>
      <c r="BP492" s="707"/>
      <c r="BQ492" s="707"/>
      <c r="BR492" s="707"/>
      <c r="BS492" s="707"/>
      <c r="BT492" s="707"/>
      <c r="BU492" s="707"/>
      <c r="BV492" s="707"/>
      <c r="BW492" s="707"/>
      <c r="BX492" s="707"/>
      <c r="BY492" s="707"/>
      <c r="BZ492" s="707"/>
      <c r="CA492" s="707"/>
      <c r="CB492" s="707"/>
      <c r="CC492" s="707"/>
      <c r="CD492" s="707"/>
      <c r="CE492" s="707"/>
      <c r="CF492" s="707"/>
      <c r="CG492" s="707"/>
      <c r="CH492" s="707"/>
      <c r="CI492" s="707"/>
      <c r="CJ492" s="707"/>
      <c r="CK492" s="707"/>
      <c r="CL492" s="707"/>
      <c r="CM492" s="707"/>
      <c r="CN492" s="707"/>
      <c r="CO492" s="707"/>
      <c r="CP492" s="707"/>
      <c r="CQ492" s="707"/>
      <c r="CR492" s="707"/>
      <c r="CS492" s="707"/>
      <c r="CT492" s="707"/>
      <c r="CU492" s="707"/>
      <c r="CV492" s="707"/>
      <c r="CW492" s="707"/>
      <c r="CX492" s="707"/>
      <c r="CY492" s="707"/>
      <c r="CZ492" s="707"/>
      <c r="DA492" s="707"/>
      <c r="DB492" s="707"/>
      <c r="DC492" s="707"/>
      <c r="DD492" s="707"/>
      <c r="DE492" s="707"/>
      <c r="DF492" s="707"/>
      <c r="DG492" s="707"/>
      <c r="DH492" s="707"/>
      <c r="DI492" s="707"/>
      <c r="DJ492" s="707"/>
      <c r="DK492" s="707"/>
      <c r="DL492" s="707"/>
      <c r="DM492" s="707"/>
      <c r="DN492" s="707"/>
      <c r="DO492" s="707"/>
      <c r="DP492" s="707"/>
      <c r="DQ492" s="707"/>
      <c r="DR492" s="707"/>
      <c r="DS492" s="707"/>
      <c r="DT492" s="707"/>
      <c r="DU492" s="707"/>
      <c r="DV492" s="707"/>
      <c r="DW492" s="707"/>
      <c r="DX492" s="707"/>
      <c r="DY492" s="707"/>
      <c r="DZ492" s="707"/>
      <c r="EA492" s="707"/>
      <c r="EB492" s="707"/>
      <c r="EC492" s="707"/>
      <c r="ED492" s="707"/>
      <c r="EE492" s="707"/>
      <c r="EF492" s="707"/>
      <c r="EG492" s="707"/>
      <c r="EH492" s="707"/>
      <c r="EI492" s="707"/>
      <c r="EJ492" s="707"/>
      <c r="EK492" s="707"/>
      <c r="EL492" s="707"/>
      <c r="EM492" s="707"/>
      <c r="EN492" s="707"/>
      <c r="EO492" s="707"/>
      <c r="EP492" s="707"/>
      <c r="EQ492" s="707"/>
      <c r="ER492" s="707"/>
      <c r="ES492" s="707"/>
      <c r="ET492" s="707"/>
      <c r="EU492" s="707"/>
      <c r="EV492" s="707"/>
      <c r="EW492" s="707"/>
      <c r="EX492" s="707"/>
      <c r="EY492" s="707"/>
      <c r="EZ492" s="707"/>
      <c r="FA492" s="707"/>
      <c r="FB492" s="707"/>
      <c r="FC492" s="707"/>
      <c r="FD492" s="707"/>
      <c r="FE492" s="707"/>
      <c r="FF492" s="707"/>
      <c r="FG492" s="707"/>
      <c r="FH492" s="707"/>
      <c r="FI492" s="707"/>
      <c r="FJ492" s="707"/>
      <c r="FK492" s="707"/>
      <c r="FL492" s="707"/>
      <c r="FM492" s="707"/>
      <c r="FN492" s="707"/>
      <c r="FO492" s="707"/>
      <c r="FP492" s="707"/>
      <c r="FQ492" s="707"/>
      <c r="FR492" s="707"/>
      <c r="FS492" s="707"/>
      <c r="FT492" s="707"/>
      <c r="FU492" s="707"/>
      <c r="FV492" s="707"/>
      <c r="FW492" s="707"/>
      <c r="FX492" s="707"/>
      <c r="FY492" s="707"/>
      <c r="FZ492" s="707"/>
      <c r="GA492" s="707"/>
      <c r="GB492" s="707"/>
      <c r="GC492" s="707"/>
      <c r="GD492" s="707"/>
      <c r="GE492" s="707"/>
      <c r="GF492" s="707"/>
      <c r="GG492" s="707"/>
      <c r="GH492" s="707"/>
      <c r="GI492" s="707"/>
      <c r="GJ492" s="707"/>
      <c r="GK492" s="707"/>
      <c r="GL492" s="707"/>
      <c r="GM492" s="707"/>
      <c r="GN492" s="707"/>
      <c r="GO492" s="707"/>
      <c r="GP492" s="707"/>
      <c r="GQ492" s="707"/>
      <c r="GR492" s="707"/>
      <c r="GS492" s="707"/>
      <c r="GT492" s="707"/>
      <c r="GU492" s="707"/>
      <c r="GV492" s="707"/>
      <c r="GW492" s="707"/>
      <c r="GX492" s="707"/>
      <c r="GY492" s="707"/>
      <c r="GZ492" s="707"/>
      <c r="HA492" s="707"/>
      <c r="HB492" s="707"/>
      <c r="HC492" s="707"/>
      <c r="HD492" s="707"/>
      <c r="HE492" s="707"/>
      <c r="HF492" s="707"/>
      <c r="HG492" s="707"/>
      <c r="HH492" s="707"/>
      <c r="HI492" s="707"/>
      <c r="HJ492" s="707"/>
      <c r="HK492" s="707"/>
      <c r="HL492" s="707"/>
      <c r="HM492" s="707"/>
      <c r="HN492" s="707"/>
      <c r="HO492" s="707"/>
      <c r="HP492" s="707"/>
      <c r="HQ492" s="707"/>
      <c r="HR492" s="707"/>
      <c r="HS492" s="707"/>
      <c r="HT492" s="707"/>
      <c r="HU492" s="707"/>
      <c r="HV492" s="707"/>
      <c r="HW492" s="707"/>
      <c r="HX492" s="707"/>
      <c r="HY492" s="707"/>
      <c r="HZ492" s="707"/>
      <c r="IA492" s="707"/>
      <c r="IB492" s="707"/>
      <c r="IC492" s="707"/>
      <c r="ID492" s="707"/>
      <c r="IE492" s="707"/>
      <c r="IF492" s="707"/>
      <c r="IG492" s="707"/>
      <c r="IH492" s="707"/>
      <c r="II492" s="707"/>
      <c r="IJ492" s="707"/>
      <c r="IK492" s="707"/>
      <c r="IL492" s="707"/>
      <c r="IM492" s="707"/>
      <c r="IN492" s="707"/>
      <c r="IO492" s="707"/>
      <c r="IP492" s="707"/>
      <c r="IQ492" s="707"/>
      <c r="IR492" s="707"/>
      <c r="IS492" s="707"/>
      <c r="IT492" s="707"/>
      <c r="IU492" s="707"/>
      <c r="IV492" s="707"/>
      <c r="IW492" s="707"/>
    </row>
    <row r="493" customFormat="false" ht="12.75" hidden="false" customHeight="false" outlineLevel="1" collapsed="false">
      <c r="A493" s="367"/>
      <c r="B493" s="717"/>
      <c r="C493" s="717"/>
      <c r="D493" s="717"/>
      <c r="E493" s="713"/>
      <c r="F493" s="713"/>
      <c r="G493" s="713"/>
      <c r="H493" s="713"/>
      <c r="I493" s="713"/>
      <c r="J493" s="713"/>
      <c r="K493" s="713"/>
      <c r="L493" s="713"/>
      <c r="M493" s="713"/>
      <c r="N493" s="713"/>
      <c r="O493" s="713"/>
      <c r="P493" s="713"/>
      <c r="Q493" s="713"/>
      <c r="R493" s="713"/>
      <c r="S493" s="713"/>
      <c r="T493" s="713"/>
      <c r="U493" s="713"/>
      <c r="V493" s="713"/>
      <c r="W493" s="713"/>
      <c r="X493" s="713"/>
      <c r="Y493" s="713"/>
      <c r="Z493" s="713"/>
      <c r="AA493" s="707"/>
      <c r="AB493" s="707"/>
      <c r="AC493" s="707"/>
      <c r="AD493" s="707"/>
      <c r="AE493" s="707"/>
      <c r="AF493" s="707"/>
      <c r="AG493" s="707"/>
      <c r="AH493" s="707"/>
      <c r="AI493" s="707"/>
      <c r="AJ493" s="707"/>
      <c r="AK493" s="707"/>
      <c r="AL493" s="707"/>
      <c r="AM493" s="707"/>
      <c r="AN493" s="707"/>
      <c r="AO493" s="707"/>
      <c r="AP493" s="707"/>
      <c r="AQ493" s="707"/>
      <c r="AR493" s="707"/>
      <c r="AS493" s="707"/>
      <c r="AT493" s="707"/>
      <c r="AU493" s="707"/>
      <c r="AV493" s="707"/>
      <c r="AW493" s="707"/>
      <c r="AX493" s="707"/>
      <c r="AY493" s="707"/>
      <c r="AZ493" s="707"/>
      <c r="BA493" s="707"/>
      <c r="BB493" s="707"/>
      <c r="BC493" s="707"/>
      <c r="BD493" s="707"/>
      <c r="BE493" s="707"/>
      <c r="BF493" s="707"/>
      <c r="BG493" s="707"/>
      <c r="BH493" s="707"/>
      <c r="BI493" s="707"/>
      <c r="BJ493" s="707"/>
      <c r="BK493" s="707"/>
      <c r="BL493" s="707"/>
      <c r="BM493" s="707"/>
      <c r="BN493" s="707"/>
      <c r="BO493" s="707"/>
      <c r="BP493" s="707"/>
      <c r="BQ493" s="707"/>
      <c r="BR493" s="707"/>
      <c r="BS493" s="707"/>
      <c r="BT493" s="707"/>
      <c r="BU493" s="707"/>
      <c r="BV493" s="707"/>
      <c r="BW493" s="707"/>
      <c r="BX493" s="707"/>
      <c r="BY493" s="707"/>
      <c r="BZ493" s="707"/>
      <c r="CA493" s="707"/>
      <c r="CB493" s="707"/>
      <c r="CC493" s="707"/>
      <c r="CD493" s="707"/>
      <c r="CE493" s="707"/>
      <c r="CF493" s="707"/>
      <c r="CG493" s="707"/>
      <c r="CH493" s="707"/>
      <c r="CI493" s="707"/>
      <c r="CJ493" s="707"/>
      <c r="CK493" s="707"/>
      <c r="CL493" s="707"/>
      <c r="CM493" s="707"/>
      <c r="CN493" s="707"/>
      <c r="CO493" s="707"/>
      <c r="CP493" s="707"/>
      <c r="CQ493" s="707"/>
      <c r="CR493" s="707"/>
      <c r="CS493" s="707"/>
      <c r="CT493" s="707"/>
      <c r="CU493" s="707"/>
      <c r="CV493" s="707"/>
      <c r="CW493" s="707"/>
      <c r="CX493" s="707"/>
      <c r="CY493" s="707"/>
      <c r="CZ493" s="707"/>
      <c r="DA493" s="707"/>
      <c r="DB493" s="707"/>
      <c r="DC493" s="707"/>
      <c r="DD493" s="707"/>
      <c r="DE493" s="707"/>
      <c r="DF493" s="707"/>
      <c r="DG493" s="707"/>
      <c r="DH493" s="707"/>
      <c r="DI493" s="707"/>
      <c r="DJ493" s="707"/>
      <c r="DK493" s="707"/>
      <c r="DL493" s="707"/>
      <c r="DM493" s="707"/>
      <c r="DN493" s="707"/>
      <c r="DO493" s="707"/>
      <c r="DP493" s="707"/>
      <c r="DQ493" s="707"/>
      <c r="DR493" s="707"/>
      <c r="DS493" s="707"/>
      <c r="DT493" s="707"/>
      <c r="DU493" s="707"/>
      <c r="DV493" s="707"/>
      <c r="DW493" s="707"/>
      <c r="DX493" s="707"/>
      <c r="DY493" s="707"/>
      <c r="DZ493" s="707"/>
      <c r="EA493" s="707"/>
      <c r="EB493" s="707"/>
      <c r="EC493" s="707"/>
      <c r="ED493" s="707"/>
      <c r="EE493" s="707"/>
      <c r="EF493" s="707"/>
      <c r="EG493" s="707"/>
      <c r="EH493" s="707"/>
      <c r="EI493" s="707"/>
      <c r="EJ493" s="707"/>
      <c r="EK493" s="707"/>
      <c r="EL493" s="707"/>
      <c r="EM493" s="707"/>
      <c r="EN493" s="707"/>
      <c r="EO493" s="707"/>
      <c r="EP493" s="707"/>
      <c r="EQ493" s="707"/>
      <c r="ER493" s="707"/>
      <c r="ES493" s="707"/>
      <c r="ET493" s="707"/>
      <c r="EU493" s="707"/>
      <c r="EV493" s="707"/>
      <c r="EW493" s="707"/>
      <c r="EX493" s="707"/>
      <c r="EY493" s="707"/>
      <c r="EZ493" s="707"/>
      <c r="FA493" s="707"/>
      <c r="FB493" s="707"/>
      <c r="FC493" s="707"/>
      <c r="FD493" s="707"/>
      <c r="FE493" s="707"/>
      <c r="FF493" s="707"/>
      <c r="FG493" s="707"/>
      <c r="FH493" s="707"/>
      <c r="FI493" s="707"/>
      <c r="FJ493" s="707"/>
      <c r="FK493" s="707"/>
      <c r="FL493" s="707"/>
      <c r="FM493" s="707"/>
      <c r="FN493" s="707"/>
      <c r="FO493" s="707"/>
      <c r="FP493" s="707"/>
      <c r="FQ493" s="707"/>
      <c r="FR493" s="707"/>
      <c r="FS493" s="707"/>
      <c r="FT493" s="707"/>
      <c r="FU493" s="707"/>
      <c r="FV493" s="707"/>
      <c r="FW493" s="707"/>
      <c r="FX493" s="707"/>
      <c r="FY493" s="707"/>
      <c r="FZ493" s="707"/>
      <c r="GA493" s="707"/>
      <c r="GB493" s="707"/>
      <c r="GC493" s="707"/>
      <c r="GD493" s="707"/>
      <c r="GE493" s="707"/>
      <c r="GF493" s="707"/>
      <c r="GG493" s="707"/>
      <c r="GH493" s="707"/>
      <c r="GI493" s="707"/>
      <c r="GJ493" s="707"/>
      <c r="GK493" s="707"/>
      <c r="GL493" s="707"/>
      <c r="GM493" s="707"/>
      <c r="GN493" s="707"/>
      <c r="GO493" s="707"/>
      <c r="GP493" s="707"/>
      <c r="GQ493" s="707"/>
      <c r="GR493" s="707"/>
      <c r="GS493" s="707"/>
      <c r="GT493" s="707"/>
      <c r="GU493" s="707"/>
      <c r="GV493" s="707"/>
      <c r="GW493" s="707"/>
      <c r="GX493" s="707"/>
      <c r="GY493" s="707"/>
      <c r="GZ493" s="707"/>
      <c r="HA493" s="707"/>
      <c r="HB493" s="707"/>
      <c r="HC493" s="707"/>
      <c r="HD493" s="707"/>
      <c r="HE493" s="707"/>
      <c r="HF493" s="707"/>
      <c r="HG493" s="707"/>
      <c r="HH493" s="707"/>
      <c r="HI493" s="707"/>
      <c r="HJ493" s="707"/>
      <c r="HK493" s="707"/>
      <c r="HL493" s="707"/>
      <c r="HM493" s="707"/>
      <c r="HN493" s="707"/>
      <c r="HO493" s="707"/>
      <c r="HP493" s="707"/>
      <c r="HQ493" s="707"/>
      <c r="HR493" s="707"/>
      <c r="HS493" s="707"/>
      <c r="HT493" s="707"/>
      <c r="HU493" s="707"/>
      <c r="HV493" s="707"/>
      <c r="HW493" s="707"/>
      <c r="HX493" s="707"/>
      <c r="HY493" s="707"/>
      <c r="HZ493" s="707"/>
      <c r="IA493" s="707"/>
      <c r="IB493" s="707"/>
      <c r="IC493" s="707"/>
      <c r="ID493" s="707"/>
      <c r="IE493" s="707"/>
      <c r="IF493" s="707"/>
      <c r="IG493" s="707"/>
      <c r="IH493" s="707"/>
      <c r="II493" s="707"/>
      <c r="IJ493" s="707"/>
      <c r="IK493" s="707"/>
      <c r="IL493" s="707"/>
      <c r="IM493" s="707"/>
      <c r="IN493" s="707"/>
      <c r="IO493" s="707"/>
      <c r="IP493" s="707"/>
      <c r="IQ493" s="707"/>
      <c r="IR493" s="707"/>
      <c r="IS493" s="707"/>
      <c r="IT493" s="707"/>
      <c r="IU493" s="707"/>
      <c r="IV493" s="707"/>
      <c r="IW493" s="707"/>
    </row>
    <row r="494" customFormat="false" ht="12.75" hidden="false" customHeight="false" outlineLevel="1" collapsed="false">
      <c r="A494" s="367"/>
      <c r="B494" s="717"/>
      <c r="C494" s="717"/>
      <c r="D494" s="717"/>
      <c r="E494" s="713"/>
      <c r="F494" s="713"/>
      <c r="G494" s="713"/>
      <c r="H494" s="713"/>
      <c r="I494" s="713"/>
      <c r="J494" s="713"/>
      <c r="K494" s="713"/>
      <c r="L494" s="713"/>
      <c r="M494" s="713"/>
      <c r="N494" s="713"/>
      <c r="O494" s="713"/>
      <c r="P494" s="713"/>
      <c r="Q494" s="713"/>
      <c r="R494" s="713"/>
      <c r="S494" s="713"/>
      <c r="T494" s="713"/>
      <c r="U494" s="713"/>
      <c r="V494" s="713"/>
      <c r="W494" s="713"/>
      <c r="X494" s="713"/>
      <c r="Y494" s="713"/>
      <c r="Z494" s="713"/>
      <c r="AA494" s="707"/>
      <c r="AB494" s="707"/>
      <c r="AC494" s="707"/>
      <c r="AD494" s="707"/>
      <c r="AE494" s="707"/>
      <c r="AF494" s="707"/>
      <c r="AG494" s="707"/>
      <c r="AH494" s="707"/>
      <c r="AI494" s="707"/>
      <c r="AJ494" s="707"/>
      <c r="AK494" s="707"/>
      <c r="AL494" s="707"/>
      <c r="AM494" s="707"/>
      <c r="AN494" s="707"/>
      <c r="AO494" s="707"/>
      <c r="AP494" s="707"/>
      <c r="AQ494" s="707"/>
      <c r="AR494" s="707"/>
      <c r="AS494" s="707"/>
      <c r="AT494" s="707"/>
      <c r="AU494" s="707"/>
      <c r="AV494" s="707"/>
      <c r="AW494" s="707"/>
      <c r="AX494" s="707"/>
      <c r="AY494" s="707"/>
      <c r="AZ494" s="707"/>
      <c r="BA494" s="707"/>
      <c r="BB494" s="707"/>
      <c r="BC494" s="707"/>
      <c r="BD494" s="707"/>
      <c r="BE494" s="707"/>
      <c r="BF494" s="707"/>
      <c r="BG494" s="707"/>
      <c r="BH494" s="707"/>
      <c r="BI494" s="707"/>
      <c r="BJ494" s="707"/>
      <c r="BK494" s="707"/>
      <c r="BL494" s="707"/>
      <c r="BM494" s="707"/>
      <c r="BN494" s="707"/>
      <c r="BO494" s="707"/>
      <c r="BP494" s="707"/>
      <c r="BQ494" s="707"/>
      <c r="BR494" s="707"/>
      <c r="BS494" s="707"/>
      <c r="BT494" s="707"/>
      <c r="BU494" s="707"/>
      <c r="BV494" s="707"/>
      <c r="BW494" s="707"/>
      <c r="BX494" s="707"/>
      <c r="BY494" s="707"/>
      <c r="BZ494" s="707"/>
      <c r="CA494" s="707"/>
      <c r="CB494" s="707"/>
      <c r="CC494" s="707"/>
      <c r="CD494" s="707"/>
      <c r="CE494" s="707"/>
      <c r="CF494" s="707"/>
      <c r="CG494" s="707"/>
      <c r="CH494" s="707"/>
      <c r="CI494" s="707"/>
      <c r="CJ494" s="707"/>
      <c r="CK494" s="707"/>
      <c r="CL494" s="707"/>
      <c r="CM494" s="707"/>
      <c r="CN494" s="707"/>
      <c r="CO494" s="707"/>
      <c r="CP494" s="707"/>
      <c r="CQ494" s="707"/>
      <c r="CR494" s="707"/>
      <c r="CS494" s="707"/>
      <c r="CT494" s="707"/>
      <c r="CU494" s="707"/>
      <c r="CV494" s="707"/>
      <c r="CW494" s="707"/>
      <c r="CX494" s="707"/>
      <c r="CY494" s="707"/>
      <c r="CZ494" s="707"/>
      <c r="DA494" s="707"/>
      <c r="DB494" s="707"/>
      <c r="DC494" s="707"/>
      <c r="DD494" s="707"/>
      <c r="DE494" s="707"/>
      <c r="DF494" s="707"/>
      <c r="DG494" s="707"/>
      <c r="DH494" s="707"/>
      <c r="DI494" s="707"/>
      <c r="DJ494" s="707"/>
      <c r="DK494" s="707"/>
      <c r="DL494" s="707"/>
      <c r="DM494" s="707"/>
      <c r="DN494" s="707"/>
      <c r="DO494" s="707"/>
      <c r="DP494" s="707"/>
      <c r="DQ494" s="707"/>
      <c r="DR494" s="707"/>
      <c r="DS494" s="707"/>
      <c r="DT494" s="707"/>
      <c r="DU494" s="707"/>
      <c r="DV494" s="707"/>
      <c r="DW494" s="707"/>
      <c r="DX494" s="707"/>
      <c r="DY494" s="707"/>
      <c r="DZ494" s="707"/>
      <c r="EA494" s="707"/>
      <c r="EB494" s="707"/>
      <c r="EC494" s="707"/>
      <c r="ED494" s="707"/>
      <c r="EE494" s="707"/>
      <c r="EF494" s="707"/>
      <c r="EG494" s="707"/>
      <c r="EH494" s="707"/>
      <c r="EI494" s="707"/>
      <c r="EJ494" s="707"/>
      <c r="EK494" s="707"/>
      <c r="EL494" s="707"/>
      <c r="EM494" s="707"/>
      <c r="EN494" s="707"/>
      <c r="EO494" s="707"/>
      <c r="EP494" s="707"/>
      <c r="EQ494" s="707"/>
      <c r="ER494" s="707"/>
      <c r="ES494" s="707"/>
      <c r="ET494" s="707"/>
      <c r="EU494" s="707"/>
      <c r="EV494" s="707"/>
      <c r="EW494" s="707"/>
      <c r="EX494" s="707"/>
      <c r="EY494" s="707"/>
      <c r="EZ494" s="707"/>
      <c r="FA494" s="707"/>
      <c r="FB494" s="707"/>
      <c r="FC494" s="707"/>
      <c r="FD494" s="707"/>
      <c r="FE494" s="707"/>
      <c r="FF494" s="707"/>
      <c r="FG494" s="707"/>
      <c r="FH494" s="707"/>
      <c r="FI494" s="707"/>
      <c r="FJ494" s="707"/>
      <c r="FK494" s="707"/>
      <c r="FL494" s="707"/>
      <c r="FM494" s="707"/>
      <c r="FN494" s="707"/>
      <c r="FO494" s="707"/>
      <c r="FP494" s="707"/>
      <c r="FQ494" s="707"/>
      <c r="FR494" s="707"/>
      <c r="FS494" s="707"/>
      <c r="FT494" s="707"/>
      <c r="FU494" s="707"/>
      <c r="FV494" s="707"/>
      <c r="FW494" s="707"/>
      <c r="FX494" s="707"/>
      <c r="FY494" s="707"/>
      <c r="FZ494" s="707"/>
      <c r="GA494" s="707"/>
      <c r="GB494" s="707"/>
      <c r="GC494" s="707"/>
      <c r="GD494" s="707"/>
      <c r="GE494" s="707"/>
      <c r="GF494" s="707"/>
      <c r="GG494" s="707"/>
      <c r="GH494" s="707"/>
      <c r="GI494" s="707"/>
      <c r="GJ494" s="707"/>
      <c r="GK494" s="707"/>
      <c r="GL494" s="707"/>
      <c r="GM494" s="707"/>
      <c r="GN494" s="707"/>
      <c r="GO494" s="707"/>
      <c r="GP494" s="707"/>
      <c r="GQ494" s="707"/>
      <c r="GR494" s="707"/>
      <c r="GS494" s="707"/>
      <c r="GT494" s="707"/>
      <c r="GU494" s="707"/>
      <c r="GV494" s="707"/>
      <c r="GW494" s="707"/>
      <c r="GX494" s="707"/>
      <c r="GY494" s="707"/>
      <c r="GZ494" s="707"/>
      <c r="HA494" s="707"/>
      <c r="HB494" s="707"/>
      <c r="HC494" s="707"/>
      <c r="HD494" s="707"/>
      <c r="HE494" s="707"/>
      <c r="HF494" s="707"/>
      <c r="HG494" s="707"/>
      <c r="HH494" s="707"/>
      <c r="HI494" s="707"/>
      <c r="HJ494" s="707"/>
      <c r="HK494" s="707"/>
      <c r="HL494" s="707"/>
      <c r="HM494" s="707"/>
      <c r="HN494" s="707"/>
      <c r="HO494" s="707"/>
      <c r="HP494" s="707"/>
      <c r="HQ494" s="707"/>
      <c r="HR494" s="707"/>
      <c r="HS494" s="707"/>
      <c r="HT494" s="707"/>
      <c r="HU494" s="707"/>
      <c r="HV494" s="707"/>
      <c r="HW494" s="707"/>
      <c r="HX494" s="707"/>
      <c r="HY494" s="707"/>
      <c r="HZ494" s="707"/>
      <c r="IA494" s="707"/>
      <c r="IB494" s="707"/>
      <c r="IC494" s="707"/>
      <c r="ID494" s="707"/>
      <c r="IE494" s="707"/>
      <c r="IF494" s="707"/>
      <c r="IG494" s="707"/>
      <c r="IH494" s="707"/>
      <c r="II494" s="707"/>
      <c r="IJ494" s="707"/>
      <c r="IK494" s="707"/>
      <c r="IL494" s="707"/>
      <c r="IM494" s="707"/>
      <c r="IN494" s="707"/>
      <c r="IO494" s="707"/>
      <c r="IP494" s="707"/>
      <c r="IQ494" s="707"/>
      <c r="IR494" s="707"/>
      <c r="IS494" s="707"/>
      <c r="IT494" s="707"/>
      <c r="IU494" s="707"/>
      <c r="IV494" s="707"/>
      <c r="IW494" s="707"/>
    </row>
    <row r="495" customFormat="false" ht="12.75" hidden="false" customHeight="false" outlineLevel="1" collapsed="false">
      <c r="A495" s="388"/>
      <c r="B495" s="717"/>
      <c r="C495" s="717"/>
      <c r="D495" s="717"/>
      <c r="E495" s="713"/>
      <c r="F495" s="713"/>
      <c r="G495" s="713"/>
      <c r="H495" s="713"/>
      <c r="I495" s="713"/>
      <c r="J495" s="713"/>
      <c r="K495" s="713"/>
      <c r="L495" s="713"/>
      <c r="M495" s="713"/>
      <c r="N495" s="713"/>
      <c r="O495" s="713"/>
      <c r="P495" s="713"/>
      <c r="Q495" s="713"/>
      <c r="R495" s="713"/>
      <c r="S495" s="713"/>
      <c r="T495" s="713"/>
      <c r="U495" s="713"/>
      <c r="V495" s="713"/>
      <c r="W495" s="713"/>
      <c r="X495" s="713"/>
      <c r="Y495" s="713"/>
      <c r="Z495" s="713"/>
      <c r="AA495" s="707"/>
      <c r="AB495" s="707"/>
      <c r="AC495" s="707"/>
      <c r="AD495" s="707"/>
      <c r="AE495" s="707"/>
      <c r="AF495" s="707"/>
      <c r="AG495" s="707"/>
      <c r="AH495" s="707"/>
      <c r="AI495" s="707"/>
      <c r="AJ495" s="707"/>
      <c r="AK495" s="707"/>
      <c r="AL495" s="707"/>
      <c r="AM495" s="707"/>
      <c r="AN495" s="707"/>
      <c r="AO495" s="707"/>
      <c r="AP495" s="707"/>
      <c r="AQ495" s="707"/>
      <c r="AR495" s="707"/>
      <c r="AS495" s="707"/>
      <c r="AT495" s="707"/>
      <c r="AU495" s="707"/>
      <c r="AV495" s="707"/>
      <c r="AW495" s="707"/>
      <c r="AX495" s="707"/>
      <c r="AY495" s="707"/>
      <c r="AZ495" s="707"/>
      <c r="BA495" s="707"/>
      <c r="BB495" s="707"/>
      <c r="BC495" s="707"/>
      <c r="BD495" s="707"/>
      <c r="BE495" s="707"/>
      <c r="BF495" s="707"/>
      <c r="BG495" s="707"/>
      <c r="BH495" s="707"/>
      <c r="BI495" s="707"/>
      <c r="BJ495" s="707"/>
      <c r="BK495" s="707"/>
      <c r="BL495" s="707"/>
      <c r="BM495" s="707"/>
      <c r="BN495" s="707"/>
      <c r="BO495" s="707"/>
      <c r="BP495" s="707"/>
      <c r="BQ495" s="707"/>
      <c r="BR495" s="707"/>
      <c r="BS495" s="707"/>
      <c r="BT495" s="707"/>
      <c r="BU495" s="707"/>
      <c r="BV495" s="707"/>
      <c r="BW495" s="707"/>
      <c r="BX495" s="707"/>
      <c r="BY495" s="707"/>
      <c r="BZ495" s="707"/>
      <c r="CA495" s="707"/>
      <c r="CB495" s="707"/>
      <c r="CC495" s="707"/>
      <c r="CD495" s="707"/>
      <c r="CE495" s="707"/>
      <c r="CF495" s="707"/>
      <c r="CG495" s="707"/>
      <c r="CH495" s="707"/>
      <c r="CI495" s="707"/>
      <c r="CJ495" s="707"/>
      <c r="CK495" s="707"/>
      <c r="CL495" s="707"/>
      <c r="CM495" s="707"/>
      <c r="CN495" s="707"/>
      <c r="CO495" s="707"/>
      <c r="CP495" s="707"/>
      <c r="CQ495" s="707"/>
      <c r="CR495" s="707"/>
      <c r="CS495" s="707"/>
      <c r="CT495" s="707"/>
      <c r="CU495" s="707"/>
      <c r="CV495" s="707"/>
      <c r="CW495" s="707"/>
      <c r="CX495" s="707"/>
      <c r="CY495" s="707"/>
      <c r="CZ495" s="707"/>
      <c r="DA495" s="707"/>
      <c r="DB495" s="707"/>
      <c r="DC495" s="707"/>
      <c r="DD495" s="707"/>
      <c r="DE495" s="707"/>
      <c r="DF495" s="707"/>
      <c r="DG495" s="707"/>
      <c r="DH495" s="707"/>
      <c r="DI495" s="707"/>
      <c r="DJ495" s="707"/>
      <c r="DK495" s="707"/>
      <c r="DL495" s="707"/>
      <c r="DM495" s="707"/>
      <c r="DN495" s="707"/>
      <c r="DO495" s="707"/>
      <c r="DP495" s="707"/>
      <c r="DQ495" s="707"/>
      <c r="DR495" s="707"/>
      <c r="DS495" s="707"/>
      <c r="DT495" s="707"/>
      <c r="DU495" s="707"/>
      <c r="DV495" s="707"/>
      <c r="DW495" s="707"/>
      <c r="DX495" s="707"/>
      <c r="DY495" s="707"/>
      <c r="DZ495" s="707"/>
      <c r="EA495" s="707"/>
      <c r="EB495" s="707"/>
      <c r="EC495" s="707"/>
      <c r="ED495" s="707"/>
      <c r="EE495" s="707"/>
      <c r="EF495" s="707"/>
      <c r="EG495" s="707"/>
      <c r="EH495" s="707"/>
      <c r="EI495" s="707"/>
      <c r="EJ495" s="707"/>
      <c r="EK495" s="707"/>
      <c r="EL495" s="707"/>
      <c r="EM495" s="707"/>
      <c r="EN495" s="707"/>
      <c r="EO495" s="707"/>
      <c r="EP495" s="707"/>
      <c r="EQ495" s="707"/>
      <c r="ER495" s="707"/>
      <c r="ES495" s="707"/>
      <c r="ET495" s="707"/>
      <c r="EU495" s="707"/>
      <c r="EV495" s="707"/>
      <c r="EW495" s="707"/>
      <c r="EX495" s="707"/>
      <c r="EY495" s="707"/>
      <c r="EZ495" s="707"/>
      <c r="FA495" s="707"/>
      <c r="FB495" s="707"/>
      <c r="FC495" s="707"/>
      <c r="FD495" s="707"/>
      <c r="FE495" s="707"/>
      <c r="FF495" s="707"/>
      <c r="FG495" s="707"/>
      <c r="FH495" s="707"/>
      <c r="FI495" s="707"/>
      <c r="FJ495" s="707"/>
      <c r="FK495" s="707"/>
      <c r="FL495" s="707"/>
      <c r="FM495" s="707"/>
      <c r="FN495" s="707"/>
      <c r="FO495" s="707"/>
      <c r="FP495" s="707"/>
      <c r="FQ495" s="707"/>
      <c r="FR495" s="707"/>
      <c r="FS495" s="707"/>
      <c r="FT495" s="707"/>
      <c r="FU495" s="707"/>
      <c r="FV495" s="707"/>
      <c r="FW495" s="707"/>
      <c r="FX495" s="707"/>
      <c r="FY495" s="707"/>
      <c r="FZ495" s="707"/>
      <c r="GA495" s="707"/>
      <c r="GB495" s="707"/>
      <c r="GC495" s="707"/>
      <c r="GD495" s="707"/>
      <c r="GE495" s="707"/>
      <c r="GF495" s="707"/>
      <c r="GG495" s="707"/>
      <c r="GH495" s="707"/>
      <c r="GI495" s="707"/>
      <c r="GJ495" s="707"/>
      <c r="GK495" s="707"/>
      <c r="GL495" s="707"/>
      <c r="GM495" s="707"/>
      <c r="GN495" s="707"/>
      <c r="GO495" s="707"/>
      <c r="GP495" s="707"/>
      <c r="GQ495" s="707"/>
      <c r="GR495" s="707"/>
      <c r="GS495" s="707"/>
      <c r="GT495" s="707"/>
      <c r="GU495" s="707"/>
      <c r="GV495" s="707"/>
      <c r="GW495" s="707"/>
      <c r="GX495" s="707"/>
      <c r="GY495" s="707"/>
      <c r="GZ495" s="707"/>
      <c r="HA495" s="707"/>
      <c r="HB495" s="707"/>
      <c r="HC495" s="707"/>
      <c r="HD495" s="707"/>
      <c r="HE495" s="707"/>
      <c r="HF495" s="707"/>
      <c r="HG495" s="707"/>
      <c r="HH495" s="707"/>
      <c r="HI495" s="707"/>
      <c r="HJ495" s="707"/>
      <c r="HK495" s="707"/>
      <c r="HL495" s="707"/>
      <c r="HM495" s="707"/>
      <c r="HN495" s="707"/>
      <c r="HO495" s="707"/>
      <c r="HP495" s="707"/>
      <c r="HQ495" s="707"/>
      <c r="HR495" s="707"/>
      <c r="HS495" s="707"/>
      <c r="HT495" s="707"/>
      <c r="HU495" s="707"/>
      <c r="HV495" s="707"/>
      <c r="HW495" s="707"/>
      <c r="HX495" s="707"/>
      <c r="HY495" s="707"/>
      <c r="HZ495" s="707"/>
      <c r="IA495" s="707"/>
      <c r="IB495" s="707"/>
      <c r="IC495" s="707"/>
      <c r="ID495" s="707"/>
      <c r="IE495" s="707"/>
      <c r="IF495" s="707"/>
      <c r="IG495" s="707"/>
      <c r="IH495" s="707"/>
      <c r="II495" s="707"/>
      <c r="IJ495" s="707"/>
      <c r="IK495" s="707"/>
      <c r="IL495" s="707"/>
      <c r="IM495" s="707"/>
      <c r="IN495" s="707"/>
      <c r="IO495" s="707"/>
      <c r="IP495" s="707"/>
      <c r="IQ495" s="707"/>
      <c r="IR495" s="707"/>
      <c r="IS495" s="707"/>
      <c r="IT495" s="707"/>
      <c r="IU495" s="707"/>
      <c r="IV495" s="707"/>
      <c r="IW495" s="707"/>
    </row>
    <row r="496" customFormat="false" ht="12.75" hidden="false" customHeight="false" outlineLevel="1" collapsed="false">
      <c r="A496" s="681"/>
      <c r="B496" s="717"/>
      <c r="C496" s="717"/>
      <c r="D496" s="717"/>
      <c r="E496" s="406"/>
      <c r="F496" s="406"/>
      <c r="G496" s="406"/>
      <c r="H496" s="406"/>
      <c r="I496" s="406"/>
      <c r="J496" s="406"/>
      <c r="K496" s="406"/>
      <c r="L496" s="406"/>
      <c r="M496" s="406"/>
      <c r="N496" s="406"/>
      <c r="O496" s="406"/>
      <c r="P496" s="406"/>
      <c r="Q496" s="406"/>
      <c r="R496" s="406"/>
      <c r="S496" s="406"/>
      <c r="T496" s="406"/>
      <c r="U496" s="406"/>
      <c r="V496" s="406"/>
      <c r="W496" s="406"/>
      <c r="X496" s="406"/>
      <c r="Y496" s="406"/>
      <c r="Z496" s="406"/>
      <c r="AA496" s="707"/>
      <c r="AB496" s="707"/>
      <c r="AC496" s="707"/>
      <c r="AD496" s="707"/>
      <c r="AE496" s="707"/>
      <c r="AF496" s="707"/>
      <c r="AG496" s="707"/>
      <c r="AH496" s="707"/>
      <c r="AI496" s="707"/>
      <c r="AJ496" s="707"/>
      <c r="AK496" s="707"/>
      <c r="AL496" s="707"/>
      <c r="AM496" s="707"/>
      <c r="AN496" s="707"/>
      <c r="AO496" s="707"/>
      <c r="AP496" s="707"/>
      <c r="AQ496" s="707"/>
      <c r="AR496" s="707"/>
      <c r="AS496" s="707"/>
      <c r="AT496" s="707"/>
      <c r="AU496" s="707"/>
      <c r="AV496" s="707"/>
      <c r="AW496" s="707"/>
      <c r="AX496" s="707"/>
      <c r="AY496" s="707"/>
      <c r="AZ496" s="707"/>
      <c r="BA496" s="707"/>
      <c r="BB496" s="707"/>
      <c r="BC496" s="707"/>
      <c r="BD496" s="707"/>
      <c r="BE496" s="707"/>
      <c r="BF496" s="707"/>
      <c r="BG496" s="707"/>
      <c r="BH496" s="707"/>
      <c r="BI496" s="707"/>
      <c r="BJ496" s="707"/>
      <c r="BK496" s="707"/>
      <c r="BL496" s="707"/>
      <c r="BM496" s="707"/>
      <c r="BN496" s="707"/>
      <c r="BO496" s="707"/>
      <c r="BP496" s="707"/>
      <c r="BQ496" s="707"/>
      <c r="BR496" s="707"/>
      <c r="BS496" s="707"/>
      <c r="BT496" s="707"/>
      <c r="BU496" s="707"/>
      <c r="BV496" s="707"/>
      <c r="BW496" s="707"/>
      <c r="BX496" s="707"/>
      <c r="BY496" s="707"/>
      <c r="BZ496" s="707"/>
      <c r="CA496" s="707"/>
      <c r="CB496" s="707"/>
      <c r="CC496" s="707"/>
      <c r="CD496" s="707"/>
      <c r="CE496" s="707"/>
      <c r="CF496" s="707"/>
      <c r="CG496" s="707"/>
      <c r="CH496" s="707"/>
      <c r="CI496" s="707"/>
      <c r="CJ496" s="707"/>
      <c r="CK496" s="707"/>
      <c r="CL496" s="707"/>
      <c r="CM496" s="707"/>
      <c r="CN496" s="707"/>
      <c r="CO496" s="707"/>
      <c r="CP496" s="707"/>
      <c r="CQ496" s="707"/>
      <c r="CR496" s="707"/>
      <c r="CS496" s="707"/>
      <c r="CT496" s="707"/>
      <c r="CU496" s="707"/>
      <c r="CV496" s="707"/>
      <c r="CW496" s="707"/>
      <c r="CX496" s="707"/>
      <c r="CY496" s="707"/>
      <c r="CZ496" s="707"/>
      <c r="DA496" s="707"/>
      <c r="DB496" s="707"/>
      <c r="DC496" s="707"/>
      <c r="DD496" s="707"/>
      <c r="DE496" s="707"/>
      <c r="DF496" s="707"/>
      <c r="DG496" s="707"/>
      <c r="DH496" s="707"/>
      <c r="DI496" s="707"/>
      <c r="DJ496" s="707"/>
      <c r="DK496" s="707"/>
      <c r="DL496" s="707"/>
      <c r="DM496" s="707"/>
      <c r="DN496" s="707"/>
      <c r="DO496" s="707"/>
      <c r="DP496" s="707"/>
      <c r="DQ496" s="707"/>
      <c r="DR496" s="707"/>
      <c r="DS496" s="707"/>
      <c r="DT496" s="707"/>
      <c r="DU496" s="707"/>
      <c r="DV496" s="707"/>
      <c r="DW496" s="707"/>
      <c r="DX496" s="707"/>
      <c r="DY496" s="707"/>
      <c r="DZ496" s="707"/>
      <c r="EA496" s="707"/>
      <c r="EB496" s="707"/>
      <c r="EC496" s="707"/>
      <c r="ED496" s="707"/>
      <c r="EE496" s="707"/>
      <c r="EF496" s="707"/>
      <c r="EG496" s="707"/>
      <c r="EH496" s="707"/>
      <c r="EI496" s="707"/>
      <c r="EJ496" s="707"/>
      <c r="EK496" s="707"/>
      <c r="EL496" s="707"/>
      <c r="EM496" s="707"/>
      <c r="EN496" s="707"/>
      <c r="EO496" s="707"/>
      <c r="EP496" s="707"/>
      <c r="EQ496" s="707"/>
      <c r="ER496" s="707"/>
      <c r="ES496" s="707"/>
      <c r="ET496" s="707"/>
      <c r="EU496" s="707"/>
      <c r="EV496" s="707"/>
      <c r="EW496" s="707"/>
      <c r="EX496" s="707"/>
      <c r="EY496" s="707"/>
      <c r="EZ496" s="707"/>
      <c r="FA496" s="707"/>
      <c r="FB496" s="707"/>
      <c r="FC496" s="707"/>
      <c r="FD496" s="707"/>
      <c r="FE496" s="707"/>
      <c r="FF496" s="707"/>
      <c r="FG496" s="707"/>
      <c r="FH496" s="707"/>
      <c r="FI496" s="707"/>
      <c r="FJ496" s="707"/>
      <c r="FK496" s="707"/>
      <c r="FL496" s="707"/>
      <c r="FM496" s="707"/>
      <c r="FN496" s="707"/>
      <c r="FO496" s="707"/>
      <c r="FP496" s="707"/>
      <c r="FQ496" s="707"/>
      <c r="FR496" s="707"/>
      <c r="FS496" s="707"/>
      <c r="FT496" s="707"/>
      <c r="FU496" s="707"/>
      <c r="FV496" s="707"/>
      <c r="FW496" s="707"/>
      <c r="FX496" s="707"/>
      <c r="FY496" s="707"/>
      <c r="FZ496" s="707"/>
      <c r="GA496" s="707"/>
      <c r="GB496" s="707"/>
      <c r="GC496" s="707"/>
      <c r="GD496" s="707"/>
      <c r="GE496" s="707"/>
      <c r="GF496" s="707"/>
      <c r="GG496" s="707"/>
      <c r="GH496" s="707"/>
      <c r="GI496" s="707"/>
      <c r="GJ496" s="707"/>
      <c r="GK496" s="707"/>
      <c r="GL496" s="707"/>
      <c r="GM496" s="707"/>
      <c r="GN496" s="707"/>
      <c r="GO496" s="707"/>
      <c r="GP496" s="707"/>
      <c r="GQ496" s="707"/>
      <c r="GR496" s="707"/>
      <c r="GS496" s="707"/>
      <c r="GT496" s="707"/>
      <c r="GU496" s="707"/>
      <c r="GV496" s="707"/>
      <c r="GW496" s="707"/>
      <c r="GX496" s="707"/>
      <c r="GY496" s="707"/>
      <c r="GZ496" s="707"/>
      <c r="HA496" s="707"/>
      <c r="HB496" s="707"/>
      <c r="HC496" s="707"/>
      <c r="HD496" s="707"/>
      <c r="HE496" s="707"/>
      <c r="HF496" s="707"/>
      <c r="HG496" s="707"/>
      <c r="HH496" s="707"/>
      <c r="HI496" s="707"/>
      <c r="HJ496" s="707"/>
      <c r="HK496" s="707"/>
      <c r="HL496" s="707"/>
      <c r="HM496" s="707"/>
      <c r="HN496" s="707"/>
      <c r="HO496" s="707"/>
      <c r="HP496" s="707"/>
      <c r="HQ496" s="707"/>
      <c r="HR496" s="707"/>
      <c r="HS496" s="707"/>
      <c r="HT496" s="707"/>
      <c r="HU496" s="707"/>
      <c r="HV496" s="707"/>
      <c r="HW496" s="707"/>
      <c r="HX496" s="707"/>
      <c r="HY496" s="707"/>
      <c r="HZ496" s="707"/>
      <c r="IA496" s="707"/>
      <c r="IB496" s="707"/>
      <c r="IC496" s="707"/>
      <c r="ID496" s="707"/>
      <c r="IE496" s="707"/>
      <c r="IF496" s="707"/>
      <c r="IG496" s="707"/>
      <c r="IH496" s="707"/>
      <c r="II496" s="707"/>
      <c r="IJ496" s="707"/>
      <c r="IK496" s="707"/>
      <c r="IL496" s="707"/>
      <c r="IM496" s="707"/>
      <c r="IN496" s="707"/>
      <c r="IO496" s="707"/>
      <c r="IP496" s="707"/>
      <c r="IQ496" s="707"/>
      <c r="IR496" s="707"/>
      <c r="IS496" s="707"/>
      <c r="IT496" s="707"/>
      <c r="IU496" s="707"/>
      <c r="IV496" s="707"/>
      <c r="IW496" s="707"/>
    </row>
    <row r="497" customFormat="false" ht="12.75" hidden="false" customHeight="false" outlineLevel="1" collapsed="false">
      <c r="A497" s="367"/>
      <c r="B497" s="719"/>
      <c r="C497" s="719"/>
      <c r="D497" s="719"/>
      <c r="E497" s="713"/>
      <c r="F497" s="713"/>
      <c r="G497" s="713"/>
      <c r="H497" s="713"/>
      <c r="I497" s="713"/>
      <c r="J497" s="713"/>
      <c r="K497" s="713"/>
      <c r="L497" s="713"/>
      <c r="M497" s="713"/>
      <c r="N497" s="713"/>
      <c r="O497" s="713"/>
      <c r="P497" s="713"/>
      <c r="Q497" s="713"/>
      <c r="R497" s="713"/>
      <c r="S497" s="713"/>
      <c r="T497" s="713"/>
      <c r="U497" s="713"/>
      <c r="V497" s="713"/>
      <c r="W497" s="713"/>
      <c r="X497" s="713"/>
      <c r="Y497" s="713"/>
      <c r="Z497" s="713"/>
      <c r="AA497" s="707"/>
      <c r="AB497" s="707"/>
      <c r="AC497" s="707"/>
      <c r="AD497" s="707"/>
      <c r="AE497" s="707"/>
      <c r="AF497" s="707"/>
      <c r="AG497" s="707"/>
      <c r="AH497" s="707"/>
      <c r="AI497" s="707"/>
      <c r="AJ497" s="707"/>
      <c r="AK497" s="707"/>
      <c r="AL497" s="707"/>
      <c r="AM497" s="707"/>
      <c r="AN497" s="707"/>
      <c r="AO497" s="707"/>
      <c r="AP497" s="707"/>
      <c r="AQ497" s="707"/>
      <c r="AR497" s="707"/>
      <c r="AS497" s="707"/>
      <c r="AT497" s="707"/>
      <c r="AU497" s="707"/>
      <c r="AV497" s="707"/>
      <c r="AW497" s="707"/>
      <c r="AX497" s="707"/>
      <c r="AY497" s="707"/>
      <c r="AZ497" s="707"/>
      <c r="BA497" s="707"/>
      <c r="BB497" s="707"/>
      <c r="BC497" s="707"/>
      <c r="BD497" s="707"/>
      <c r="BE497" s="707"/>
      <c r="BF497" s="707"/>
      <c r="BG497" s="707"/>
      <c r="BH497" s="707"/>
      <c r="BI497" s="707"/>
      <c r="BJ497" s="707"/>
      <c r="BK497" s="707"/>
      <c r="BL497" s="707"/>
      <c r="BM497" s="707"/>
      <c r="BN497" s="707"/>
      <c r="BO497" s="707"/>
      <c r="BP497" s="707"/>
      <c r="BQ497" s="707"/>
      <c r="BR497" s="707"/>
      <c r="BS497" s="707"/>
      <c r="BT497" s="707"/>
      <c r="BU497" s="707"/>
      <c r="BV497" s="707"/>
      <c r="BW497" s="707"/>
      <c r="BX497" s="707"/>
      <c r="BY497" s="707"/>
      <c r="BZ497" s="707"/>
      <c r="CA497" s="707"/>
      <c r="CB497" s="707"/>
      <c r="CC497" s="707"/>
      <c r="CD497" s="707"/>
      <c r="CE497" s="707"/>
      <c r="CF497" s="707"/>
      <c r="CG497" s="707"/>
      <c r="CH497" s="707"/>
      <c r="CI497" s="707"/>
      <c r="CJ497" s="707"/>
      <c r="CK497" s="707"/>
      <c r="CL497" s="707"/>
      <c r="CM497" s="707"/>
      <c r="CN497" s="707"/>
      <c r="CO497" s="707"/>
      <c r="CP497" s="707"/>
      <c r="CQ497" s="707"/>
      <c r="CR497" s="707"/>
      <c r="CS497" s="707"/>
      <c r="CT497" s="707"/>
      <c r="CU497" s="707"/>
      <c r="CV497" s="707"/>
      <c r="CW497" s="707"/>
      <c r="CX497" s="707"/>
      <c r="CY497" s="707"/>
      <c r="CZ497" s="707"/>
      <c r="DA497" s="707"/>
      <c r="DB497" s="707"/>
      <c r="DC497" s="707"/>
      <c r="DD497" s="707"/>
      <c r="DE497" s="707"/>
      <c r="DF497" s="707"/>
      <c r="DG497" s="707"/>
      <c r="DH497" s="707"/>
      <c r="DI497" s="707"/>
      <c r="DJ497" s="707"/>
      <c r="DK497" s="707"/>
      <c r="DL497" s="707"/>
      <c r="DM497" s="707"/>
      <c r="DN497" s="707"/>
      <c r="DO497" s="707"/>
      <c r="DP497" s="707"/>
      <c r="DQ497" s="707"/>
      <c r="DR497" s="707"/>
      <c r="DS497" s="707"/>
      <c r="DT497" s="707"/>
      <c r="DU497" s="707"/>
      <c r="DV497" s="707"/>
      <c r="DW497" s="707"/>
      <c r="DX497" s="707"/>
      <c r="DY497" s="707"/>
      <c r="DZ497" s="707"/>
      <c r="EA497" s="707"/>
      <c r="EB497" s="707"/>
      <c r="EC497" s="707"/>
      <c r="ED497" s="707"/>
      <c r="EE497" s="707"/>
      <c r="EF497" s="707"/>
      <c r="EG497" s="707"/>
      <c r="EH497" s="707"/>
      <c r="EI497" s="707"/>
      <c r="EJ497" s="707"/>
      <c r="EK497" s="707"/>
      <c r="EL497" s="707"/>
      <c r="EM497" s="707"/>
      <c r="EN497" s="707"/>
      <c r="EO497" s="707"/>
      <c r="EP497" s="707"/>
      <c r="EQ497" s="707"/>
      <c r="ER497" s="707"/>
      <c r="ES497" s="707"/>
      <c r="ET497" s="707"/>
      <c r="EU497" s="707"/>
      <c r="EV497" s="707"/>
      <c r="EW497" s="707"/>
      <c r="EX497" s="707"/>
      <c r="EY497" s="707"/>
      <c r="EZ497" s="707"/>
      <c r="FA497" s="707"/>
      <c r="FB497" s="707"/>
      <c r="FC497" s="707"/>
      <c r="FD497" s="707"/>
      <c r="FE497" s="707"/>
      <c r="FF497" s="707"/>
      <c r="FG497" s="707"/>
      <c r="FH497" s="707"/>
      <c r="FI497" s="707"/>
      <c r="FJ497" s="707"/>
      <c r="FK497" s="707"/>
      <c r="FL497" s="707"/>
      <c r="FM497" s="707"/>
      <c r="FN497" s="707"/>
      <c r="FO497" s="707"/>
      <c r="FP497" s="707"/>
      <c r="FQ497" s="707"/>
      <c r="FR497" s="707"/>
      <c r="FS497" s="707"/>
      <c r="FT497" s="707"/>
      <c r="FU497" s="707"/>
      <c r="FV497" s="707"/>
      <c r="FW497" s="707"/>
      <c r="FX497" s="707"/>
      <c r="FY497" s="707"/>
      <c r="FZ497" s="707"/>
      <c r="GA497" s="707"/>
      <c r="GB497" s="707"/>
      <c r="GC497" s="707"/>
      <c r="GD497" s="707"/>
      <c r="GE497" s="707"/>
      <c r="GF497" s="707"/>
      <c r="GG497" s="707"/>
      <c r="GH497" s="707"/>
      <c r="GI497" s="707"/>
      <c r="GJ497" s="707"/>
      <c r="GK497" s="707"/>
      <c r="GL497" s="707"/>
      <c r="GM497" s="707"/>
      <c r="GN497" s="707"/>
      <c r="GO497" s="707"/>
      <c r="GP497" s="707"/>
      <c r="GQ497" s="707"/>
      <c r="GR497" s="707"/>
      <c r="GS497" s="707"/>
      <c r="GT497" s="707"/>
      <c r="GU497" s="707"/>
      <c r="GV497" s="707"/>
      <c r="GW497" s="707"/>
      <c r="GX497" s="707"/>
      <c r="GY497" s="707"/>
      <c r="GZ497" s="707"/>
      <c r="HA497" s="707"/>
      <c r="HB497" s="707"/>
      <c r="HC497" s="707"/>
      <c r="HD497" s="707"/>
      <c r="HE497" s="707"/>
      <c r="HF497" s="707"/>
      <c r="HG497" s="707"/>
      <c r="HH497" s="707"/>
      <c r="HI497" s="707"/>
      <c r="HJ497" s="707"/>
      <c r="HK497" s="707"/>
      <c r="HL497" s="707"/>
      <c r="HM497" s="707"/>
      <c r="HN497" s="707"/>
      <c r="HO497" s="707"/>
      <c r="HP497" s="707"/>
      <c r="HQ497" s="707"/>
      <c r="HR497" s="707"/>
      <c r="HS497" s="707"/>
      <c r="HT497" s="707"/>
      <c r="HU497" s="707"/>
      <c r="HV497" s="707"/>
      <c r="HW497" s="707"/>
      <c r="HX497" s="707"/>
      <c r="HY497" s="707"/>
      <c r="HZ497" s="707"/>
      <c r="IA497" s="707"/>
      <c r="IB497" s="707"/>
      <c r="IC497" s="707"/>
      <c r="ID497" s="707"/>
      <c r="IE497" s="707"/>
      <c r="IF497" s="707"/>
      <c r="IG497" s="707"/>
      <c r="IH497" s="707"/>
      <c r="II497" s="707"/>
      <c r="IJ497" s="707"/>
      <c r="IK497" s="707"/>
      <c r="IL497" s="707"/>
      <c r="IM497" s="707"/>
      <c r="IN497" s="707"/>
      <c r="IO497" s="707"/>
      <c r="IP497" s="707"/>
      <c r="IQ497" s="707"/>
      <c r="IR497" s="707"/>
      <c r="IS497" s="707"/>
      <c r="IT497" s="707"/>
      <c r="IU497" s="707"/>
      <c r="IV497" s="707"/>
      <c r="IW497" s="707"/>
    </row>
    <row r="498" customFormat="false" ht="13.9" hidden="false" customHeight="true" outlineLevel="1" collapsed="false">
      <c r="A498" s="366"/>
      <c r="B498" s="719"/>
      <c r="C498" s="719"/>
      <c r="D498" s="719"/>
      <c r="E498" s="713"/>
      <c r="F498" s="713"/>
      <c r="G498" s="713"/>
      <c r="H498" s="713"/>
      <c r="I498" s="713"/>
      <c r="J498" s="713"/>
      <c r="K498" s="713"/>
      <c r="L498" s="713"/>
      <c r="M498" s="713"/>
      <c r="N498" s="713"/>
      <c r="O498" s="713"/>
      <c r="P498" s="713"/>
      <c r="Q498" s="713"/>
      <c r="R498" s="713"/>
      <c r="S498" s="713"/>
      <c r="T498" s="713"/>
      <c r="U498" s="713"/>
      <c r="V498" s="713"/>
      <c r="W498" s="713"/>
      <c r="X498" s="713"/>
      <c r="Y498" s="713"/>
      <c r="Z498" s="713"/>
      <c r="AA498" s="707"/>
      <c r="AB498" s="707"/>
      <c r="AC498" s="707"/>
      <c r="AD498" s="707"/>
      <c r="AE498" s="707"/>
      <c r="AF498" s="707"/>
      <c r="AG498" s="707"/>
      <c r="AH498" s="707"/>
      <c r="AI498" s="707"/>
      <c r="AJ498" s="707"/>
      <c r="AK498" s="707"/>
      <c r="AL498" s="707"/>
      <c r="AM498" s="707"/>
      <c r="AN498" s="707"/>
      <c r="AO498" s="707"/>
      <c r="AP498" s="707"/>
      <c r="AQ498" s="707"/>
      <c r="AR498" s="707"/>
      <c r="AS498" s="707"/>
      <c r="AT498" s="707"/>
      <c r="AU498" s="707"/>
      <c r="AV498" s="707"/>
      <c r="AW498" s="707"/>
      <c r="AX498" s="707"/>
      <c r="AY498" s="707"/>
      <c r="AZ498" s="707"/>
      <c r="BA498" s="707"/>
      <c r="BB498" s="707"/>
      <c r="BC498" s="707"/>
      <c r="BD498" s="707"/>
      <c r="BE498" s="707"/>
      <c r="BF498" s="707"/>
      <c r="BG498" s="707"/>
      <c r="BH498" s="707"/>
      <c r="BI498" s="707"/>
      <c r="BJ498" s="707"/>
      <c r="BK498" s="707"/>
      <c r="BL498" s="707"/>
      <c r="BM498" s="707"/>
      <c r="BN498" s="707"/>
      <c r="BO498" s="707"/>
      <c r="BP498" s="707"/>
      <c r="BQ498" s="707"/>
      <c r="BR498" s="707"/>
      <c r="BS498" s="707"/>
      <c r="BT498" s="707"/>
      <c r="BU498" s="707"/>
      <c r="BV498" s="707"/>
      <c r="BW498" s="707"/>
      <c r="BX498" s="707"/>
      <c r="BY498" s="707"/>
      <c r="BZ498" s="707"/>
      <c r="CA498" s="707"/>
      <c r="CB498" s="707"/>
      <c r="CC498" s="707"/>
      <c r="CD498" s="707"/>
      <c r="CE498" s="707"/>
      <c r="CF498" s="707"/>
      <c r="CG498" s="707"/>
      <c r="CH498" s="707"/>
      <c r="CI498" s="707"/>
      <c r="CJ498" s="707"/>
      <c r="CK498" s="707"/>
      <c r="CL498" s="707"/>
      <c r="CM498" s="707"/>
      <c r="CN498" s="707"/>
      <c r="CO498" s="707"/>
      <c r="CP498" s="707"/>
      <c r="CQ498" s="707"/>
      <c r="CR498" s="707"/>
      <c r="CS498" s="707"/>
      <c r="CT498" s="707"/>
      <c r="CU498" s="707"/>
      <c r="CV498" s="707"/>
      <c r="CW498" s="707"/>
      <c r="CX498" s="707"/>
      <c r="CY498" s="707"/>
      <c r="CZ498" s="707"/>
      <c r="DA498" s="707"/>
      <c r="DB498" s="707"/>
      <c r="DC498" s="707"/>
      <c r="DD498" s="707"/>
      <c r="DE498" s="707"/>
      <c r="DF498" s="707"/>
      <c r="DG498" s="707"/>
      <c r="DH498" s="707"/>
      <c r="DI498" s="707"/>
      <c r="DJ498" s="707"/>
      <c r="DK498" s="707"/>
      <c r="DL498" s="707"/>
      <c r="DM498" s="707"/>
      <c r="DN498" s="707"/>
      <c r="DO498" s="707"/>
      <c r="DP498" s="707"/>
      <c r="DQ498" s="707"/>
      <c r="DR498" s="707"/>
      <c r="DS498" s="707"/>
      <c r="DT498" s="707"/>
      <c r="DU498" s="707"/>
      <c r="DV498" s="707"/>
      <c r="DW498" s="707"/>
      <c r="DX498" s="707"/>
      <c r="DY498" s="707"/>
      <c r="DZ498" s="707"/>
      <c r="EA498" s="707"/>
      <c r="EB498" s="707"/>
      <c r="EC498" s="707"/>
      <c r="ED498" s="707"/>
      <c r="EE498" s="707"/>
      <c r="EF498" s="707"/>
      <c r="EG498" s="707"/>
      <c r="EH498" s="707"/>
      <c r="EI498" s="707"/>
      <c r="EJ498" s="707"/>
      <c r="EK498" s="707"/>
      <c r="EL498" s="707"/>
      <c r="EM498" s="707"/>
      <c r="EN498" s="707"/>
      <c r="EO498" s="707"/>
      <c r="EP498" s="707"/>
      <c r="EQ498" s="707"/>
      <c r="ER498" s="707"/>
      <c r="ES498" s="707"/>
      <c r="ET498" s="707"/>
      <c r="EU498" s="707"/>
      <c r="EV498" s="707"/>
      <c r="EW498" s="707"/>
      <c r="EX498" s="707"/>
      <c r="EY498" s="707"/>
      <c r="EZ498" s="707"/>
      <c r="FA498" s="707"/>
      <c r="FB498" s="707"/>
      <c r="FC498" s="707"/>
      <c r="FD498" s="707"/>
      <c r="FE498" s="707"/>
      <c r="FF498" s="707"/>
      <c r="FG498" s="707"/>
      <c r="FH498" s="707"/>
      <c r="FI498" s="707"/>
      <c r="FJ498" s="707"/>
      <c r="FK498" s="707"/>
      <c r="FL498" s="707"/>
      <c r="FM498" s="707"/>
      <c r="FN498" s="707"/>
      <c r="FO498" s="707"/>
      <c r="FP498" s="707"/>
      <c r="FQ498" s="707"/>
      <c r="FR498" s="707"/>
      <c r="FS498" s="707"/>
      <c r="FT498" s="707"/>
      <c r="FU498" s="707"/>
      <c r="FV498" s="707"/>
      <c r="FW498" s="707"/>
      <c r="FX498" s="707"/>
      <c r="FY498" s="707"/>
      <c r="FZ498" s="707"/>
      <c r="GA498" s="707"/>
      <c r="GB498" s="707"/>
      <c r="GC498" s="707"/>
      <c r="GD498" s="707"/>
      <c r="GE498" s="707"/>
      <c r="GF498" s="707"/>
      <c r="GG498" s="707"/>
      <c r="GH498" s="707"/>
      <c r="GI498" s="707"/>
      <c r="GJ498" s="707"/>
      <c r="GK498" s="707"/>
      <c r="GL498" s="707"/>
      <c r="GM498" s="707"/>
      <c r="GN498" s="707"/>
      <c r="GO498" s="707"/>
      <c r="GP498" s="707"/>
      <c r="GQ498" s="707"/>
      <c r="GR498" s="707"/>
      <c r="GS498" s="707"/>
      <c r="GT498" s="707"/>
      <c r="GU498" s="707"/>
      <c r="GV498" s="707"/>
      <c r="GW498" s="707"/>
      <c r="GX498" s="707"/>
      <c r="GY498" s="707"/>
      <c r="GZ498" s="707"/>
      <c r="HA498" s="707"/>
      <c r="HB498" s="707"/>
      <c r="HC498" s="707"/>
      <c r="HD498" s="707"/>
      <c r="HE498" s="707"/>
      <c r="HF498" s="707"/>
      <c r="HG498" s="707"/>
      <c r="HH498" s="707"/>
      <c r="HI498" s="707"/>
      <c r="HJ498" s="707"/>
      <c r="HK498" s="707"/>
      <c r="HL498" s="707"/>
      <c r="HM498" s="707"/>
      <c r="HN498" s="707"/>
      <c r="HO498" s="707"/>
      <c r="HP498" s="707"/>
      <c r="HQ498" s="707"/>
      <c r="HR498" s="707"/>
      <c r="HS498" s="707"/>
      <c r="HT498" s="707"/>
      <c r="HU498" s="707"/>
      <c r="HV498" s="707"/>
      <c r="HW498" s="707"/>
      <c r="HX498" s="707"/>
      <c r="HY498" s="707"/>
      <c r="HZ498" s="707"/>
      <c r="IA498" s="707"/>
      <c r="IB498" s="707"/>
      <c r="IC498" s="707"/>
      <c r="ID498" s="707"/>
      <c r="IE498" s="707"/>
      <c r="IF498" s="707"/>
      <c r="IG498" s="707"/>
      <c r="IH498" s="707"/>
      <c r="II498" s="707"/>
      <c r="IJ498" s="707"/>
      <c r="IK498" s="707"/>
      <c r="IL498" s="707"/>
      <c r="IM498" s="707"/>
      <c r="IN498" s="707"/>
      <c r="IO498" s="707"/>
      <c r="IP498" s="707"/>
      <c r="IQ498" s="707"/>
      <c r="IR498" s="707"/>
      <c r="IS498" s="707"/>
      <c r="IT498" s="707"/>
      <c r="IU498" s="707"/>
      <c r="IV498" s="707"/>
      <c r="IW498" s="707"/>
    </row>
    <row r="499" customFormat="false" ht="12.75" hidden="false" customHeight="false" outlineLevel="1" collapsed="false">
      <c r="A499" s="720"/>
      <c r="B499" s="721"/>
      <c r="C499" s="721"/>
      <c r="D499" s="721"/>
      <c r="E499" s="713"/>
      <c r="F499" s="713"/>
      <c r="G499" s="713"/>
      <c r="H499" s="713"/>
      <c r="I499" s="713"/>
      <c r="J499" s="713"/>
      <c r="K499" s="713"/>
      <c r="L499" s="713"/>
      <c r="M499" s="713"/>
      <c r="N499" s="713"/>
      <c r="O499" s="713"/>
      <c r="P499" s="713"/>
      <c r="Q499" s="713"/>
      <c r="R499" s="713"/>
      <c r="S499" s="713"/>
      <c r="T499" s="713"/>
      <c r="U499" s="713"/>
      <c r="V499" s="713"/>
      <c r="W499" s="713"/>
      <c r="X499" s="713"/>
      <c r="Y499" s="713"/>
      <c r="Z499" s="713"/>
      <c r="AA499" s="722"/>
      <c r="AB499" s="722"/>
      <c r="AC499" s="722"/>
      <c r="AD499" s="722"/>
      <c r="AE499" s="722"/>
      <c r="AF499" s="722"/>
      <c r="AG499" s="722"/>
      <c r="AH499" s="722"/>
      <c r="AI499" s="722"/>
      <c r="AJ499" s="722"/>
      <c r="AK499" s="722"/>
      <c r="AL499" s="722"/>
      <c r="AM499" s="722"/>
      <c r="AN499" s="722"/>
      <c r="AO499" s="722"/>
      <c r="AP499" s="722"/>
      <c r="AQ499" s="722"/>
      <c r="AR499" s="722"/>
      <c r="AS499" s="722"/>
      <c r="AT499" s="722"/>
      <c r="AU499" s="722"/>
      <c r="AV499" s="722"/>
      <c r="AW499" s="722"/>
      <c r="AX499" s="722"/>
      <c r="AY499" s="722"/>
      <c r="AZ499" s="722"/>
      <c r="BA499" s="722"/>
      <c r="BB499" s="722"/>
      <c r="BC499" s="722"/>
      <c r="BD499" s="722"/>
      <c r="BE499" s="722"/>
      <c r="BF499" s="722"/>
      <c r="BG499" s="722"/>
      <c r="BH499" s="722"/>
      <c r="BI499" s="722"/>
      <c r="BJ499" s="722"/>
      <c r="BK499" s="722"/>
      <c r="BL499" s="722"/>
      <c r="BM499" s="722"/>
      <c r="BN499" s="722"/>
      <c r="BO499" s="722"/>
      <c r="BP499" s="722"/>
      <c r="BQ499" s="722"/>
      <c r="BR499" s="722"/>
      <c r="BS499" s="722"/>
      <c r="BT499" s="722"/>
      <c r="BU499" s="722"/>
      <c r="BV499" s="722"/>
      <c r="BW499" s="722"/>
      <c r="BX499" s="722"/>
      <c r="BY499" s="722"/>
      <c r="BZ499" s="722"/>
      <c r="CA499" s="722"/>
      <c r="CB499" s="722"/>
      <c r="CC499" s="722"/>
      <c r="CD499" s="722"/>
      <c r="CE499" s="722"/>
      <c r="CF499" s="722"/>
      <c r="CG499" s="722"/>
      <c r="CH499" s="722"/>
      <c r="CI499" s="722"/>
      <c r="CJ499" s="722"/>
      <c r="CK499" s="722"/>
      <c r="CL499" s="722"/>
      <c r="CM499" s="722"/>
      <c r="CN499" s="722"/>
      <c r="CO499" s="722"/>
      <c r="CP499" s="722"/>
      <c r="CQ499" s="722"/>
      <c r="CR499" s="722"/>
      <c r="CS499" s="722"/>
      <c r="CT499" s="722"/>
      <c r="CU499" s="722"/>
      <c r="CV499" s="722"/>
      <c r="CW499" s="722"/>
      <c r="CX499" s="722"/>
      <c r="CY499" s="722"/>
      <c r="CZ499" s="722"/>
      <c r="DA499" s="722"/>
      <c r="DB499" s="722"/>
      <c r="DC499" s="722"/>
      <c r="DD499" s="722"/>
      <c r="DE499" s="722"/>
      <c r="DF499" s="722"/>
      <c r="DG499" s="722"/>
      <c r="DH499" s="722"/>
      <c r="DI499" s="722"/>
      <c r="DJ499" s="722"/>
      <c r="DK499" s="722"/>
      <c r="DL499" s="722"/>
      <c r="DM499" s="722"/>
      <c r="DN499" s="722"/>
      <c r="DO499" s="722"/>
      <c r="DP499" s="722"/>
      <c r="DQ499" s="722"/>
      <c r="DR499" s="722"/>
      <c r="DS499" s="722"/>
      <c r="DT499" s="722"/>
      <c r="DU499" s="722"/>
      <c r="DV499" s="722"/>
      <c r="DW499" s="722"/>
      <c r="DX499" s="722"/>
      <c r="DY499" s="722"/>
      <c r="DZ499" s="722"/>
      <c r="EA499" s="722"/>
      <c r="EB499" s="722"/>
      <c r="EC499" s="722"/>
      <c r="ED499" s="722"/>
      <c r="EE499" s="722"/>
      <c r="EF499" s="722"/>
      <c r="EG499" s="722"/>
      <c r="EH499" s="722"/>
      <c r="EI499" s="722"/>
      <c r="EJ499" s="722"/>
      <c r="EK499" s="722"/>
      <c r="EL499" s="722"/>
      <c r="EM499" s="722"/>
      <c r="EN499" s="722"/>
      <c r="EO499" s="722"/>
      <c r="EP499" s="722"/>
      <c r="EQ499" s="722"/>
      <c r="ER499" s="722"/>
      <c r="ES499" s="722"/>
      <c r="ET499" s="722"/>
      <c r="EU499" s="722"/>
      <c r="EV499" s="722"/>
      <c r="EW499" s="722"/>
      <c r="EX499" s="722"/>
      <c r="EY499" s="722"/>
      <c r="EZ499" s="722"/>
      <c r="FA499" s="722"/>
      <c r="FB499" s="722"/>
      <c r="FC499" s="722"/>
      <c r="FD499" s="722"/>
      <c r="FE499" s="722"/>
      <c r="FF499" s="722"/>
      <c r="FG499" s="722"/>
      <c r="FH499" s="722"/>
      <c r="FI499" s="722"/>
      <c r="FJ499" s="722"/>
      <c r="FK499" s="722"/>
      <c r="FL499" s="722"/>
      <c r="FM499" s="722"/>
      <c r="FN499" s="722"/>
      <c r="FO499" s="722"/>
      <c r="FP499" s="722"/>
      <c r="FQ499" s="722"/>
      <c r="FR499" s="722"/>
      <c r="FS499" s="722"/>
      <c r="FT499" s="722"/>
      <c r="FU499" s="722"/>
      <c r="FV499" s="722"/>
      <c r="FW499" s="722"/>
      <c r="FX499" s="722"/>
      <c r="FY499" s="722"/>
      <c r="FZ499" s="722"/>
      <c r="GA499" s="722"/>
      <c r="GB499" s="722"/>
      <c r="GC499" s="722"/>
      <c r="GD499" s="722"/>
      <c r="GE499" s="722"/>
      <c r="GF499" s="722"/>
      <c r="GG499" s="722"/>
      <c r="GH499" s="722"/>
      <c r="GI499" s="722"/>
      <c r="GJ499" s="722"/>
      <c r="GK499" s="722"/>
      <c r="GL499" s="722"/>
      <c r="GM499" s="722"/>
      <c r="GN499" s="722"/>
      <c r="GO499" s="722"/>
      <c r="GP499" s="722"/>
      <c r="GQ499" s="722"/>
      <c r="GR499" s="722"/>
      <c r="GS499" s="722"/>
      <c r="GT499" s="722"/>
      <c r="GU499" s="722"/>
      <c r="GV499" s="722"/>
      <c r="GW499" s="722"/>
      <c r="GX499" s="722"/>
      <c r="GY499" s="722"/>
      <c r="GZ499" s="722"/>
      <c r="HA499" s="722"/>
      <c r="HB499" s="722"/>
      <c r="HC499" s="722"/>
      <c r="HD499" s="722"/>
      <c r="HE499" s="722"/>
      <c r="HF499" s="722"/>
      <c r="HG499" s="722"/>
      <c r="HH499" s="722"/>
      <c r="HI499" s="722"/>
      <c r="HJ499" s="722"/>
      <c r="HK499" s="722"/>
      <c r="HL499" s="722"/>
      <c r="HM499" s="722"/>
      <c r="HN499" s="722"/>
      <c r="HO499" s="722"/>
      <c r="HP499" s="722"/>
      <c r="HQ499" s="722"/>
      <c r="HR499" s="722"/>
      <c r="HS499" s="722"/>
      <c r="HT499" s="722"/>
      <c r="HU499" s="722"/>
      <c r="HV499" s="722"/>
      <c r="HW499" s="722"/>
      <c r="HX499" s="722"/>
      <c r="HY499" s="722"/>
      <c r="HZ499" s="722"/>
      <c r="IA499" s="722"/>
      <c r="IB499" s="722"/>
      <c r="IC499" s="722"/>
      <c r="ID499" s="722"/>
      <c r="IE499" s="722"/>
      <c r="IF499" s="722"/>
      <c r="IG499" s="722"/>
      <c r="IH499" s="722"/>
      <c r="II499" s="722"/>
      <c r="IJ499" s="722"/>
      <c r="IK499" s="722"/>
      <c r="IL499" s="722"/>
      <c r="IM499" s="722"/>
      <c r="IN499" s="722"/>
      <c r="IO499" s="722"/>
      <c r="IP499" s="722"/>
      <c r="IQ499" s="722"/>
      <c r="IR499" s="722"/>
      <c r="IS499" s="722"/>
      <c r="IT499" s="722"/>
      <c r="IU499" s="722"/>
      <c r="IV499" s="722"/>
      <c r="IW499" s="722"/>
    </row>
    <row r="500" customFormat="false" ht="12.75" hidden="false" customHeight="false" outlineLevel="1" collapsed="false">
      <c r="A500" s="366"/>
      <c r="B500" s="714"/>
      <c r="C500" s="714"/>
      <c r="D500" s="714"/>
      <c r="E500" s="713"/>
      <c r="F500" s="713"/>
      <c r="G500" s="713"/>
      <c r="H500" s="713"/>
      <c r="I500" s="713"/>
      <c r="J500" s="713"/>
      <c r="K500" s="713"/>
      <c r="L500" s="713"/>
      <c r="M500" s="713"/>
      <c r="N500" s="713"/>
      <c r="O500" s="713"/>
      <c r="P500" s="713"/>
      <c r="Q500" s="713"/>
      <c r="R500" s="713"/>
      <c r="S500" s="713"/>
      <c r="T500" s="713"/>
      <c r="U500" s="713"/>
      <c r="V500" s="713"/>
      <c r="W500" s="713"/>
      <c r="X500" s="713"/>
      <c r="Y500" s="713"/>
      <c r="Z500" s="713"/>
      <c r="AA500" s="707"/>
      <c r="AB500" s="707"/>
      <c r="AC500" s="707"/>
      <c r="AD500" s="707"/>
      <c r="AE500" s="707"/>
      <c r="AF500" s="707"/>
      <c r="AG500" s="707"/>
      <c r="AH500" s="707"/>
      <c r="AI500" s="707"/>
      <c r="AJ500" s="707"/>
      <c r="AK500" s="707"/>
      <c r="AL500" s="707"/>
      <c r="AM500" s="707"/>
      <c r="AN500" s="707"/>
      <c r="AO500" s="707"/>
      <c r="AP500" s="707"/>
      <c r="AQ500" s="707"/>
      <c r="AR500" s="707"/>
      <c r="AS500" s="707"/>
      <c r="AT500" s="707"/>
      <c r="AU500" s="707"/>
      <c r="AV500" s="707"/>
      <c r="AW500" s="707"/>
      <c r="AX500" s="707"/>
      <c r="AY500" s="707"/>
      <c r="AZ500" s="707"/>
      <c r="BA500" s="707"/>
      <c r="BB500" s="707"/>
      <c r="BC500" s="707"/>
      <c r="BD500" s="707"/>
      <c r="BE500" s="707"/>
      <c r="BF500" s="707"/>
      <c r="BG500" s="707"/>
      <c r="BH500" s="707"/>
      <c r="BI500" s="707"/>
      <c r="BJ500" s="707"/>
      <c r="BK500" s="707"/>
      <c r="BL500" s="707"/>
      <c r="BM500" s="707"/>
      <c r="BN500" s="707"/>
      <c r="BO500" s="707"/>
      <c r="BP500" s="707"/>
      <c r="BQ500" s="707"/>
      <c r="BR500" s="707"/>
      <c r="BS500" s="707"/>
      <c r="BT500" s="707"/>
      <c r="BU500" s="707"/>
      <c r="BV500" s="707"/>
      <c r="BW500" s="707"/>
      <c r="BX500" s="707"/>
      <c r="BY500" s="707"/>
      <c r="BZ500" s="707"/>
      <c r="CA500" s="707"/>
      <c r="CB500" s="707"/>
      <c r="CC500" s="707"/>
      <c r="CD500" s="707"/>
      <c r="CE500" s="707"/>
      <c r="CF500" s="707"/>
      <c r="CG500" s="707"/>
      <c r="CH500" s="707"/>
      <c r="CI500" s="707"/>
      <c r="CJ500" s="707"/>
      <c r="CK500" s="707"/>
      <c r="CL500" s="707"/>
      <c r="CM500" s="707"/>
      <c r="CN500" s="707"/>
      <c r="CO500" s="707"/>
      <c r="CP500" s="707"/>
      <c r="CQ500" s="707"/>
      <c r="CR500" s="707"/>
      <c r="CS500" s="707"/>
      <c r="CT500" s="707"/>
      <c r="CU500" s="707"/>
      <c r="CV500" s="707"/>
      <c r="CW500" s="707"/>
      <c r="CX500" s="707"/>
      <c r="CY500" s="707"/>
      <c r="CZ500" s="707"/>
      <c r="DA500" s="707"/>
      <c r="DB500" s="707"/>
      <c r="DC500" s="707"/>
      <c r="DD500" s="707"/>
      <c r="DE500" s="707"/>
      <c r="DF500" s="707"/>
      <c r="DG500" s="707"/>
      <c r="DH500" s="707"/>
      <c r="DI500" s="707"/>
      <c r="DJ500" s="707"/>
      <c r="DK500" s="707"/>
      <c r="DL500" s="707"/>
      <c r="DM500" s="707"/>
      <c r="DN500" s="707"/>
      <c r="DO500" s="707"/>
      <c r="DP500" s="707"/>
      <c r="DQ500" s="707"/>
      <c r="DR500" s="707"/>
      <c r="DS500" s="707"/>
      <c r="DT500" s="707"/>
      <c r="DU500" s="707"/>
      <c r="DV500" s="707"/>
      <c r="DW500" s="707"/>
      <c r="DX500" s="707"/>
      <c r="DY500" s="707"/>
      <c r="DZ500" s="707"/>
      <c r="EA500" s="707"/>
      <c r="EB500" s="707"/>
      <c r="EC500" s="707"/>
      <c r="ED500" s="707"/>
      <c r="EE500" s="707"/>
      <c r="EF500" s="707"/>
      <c r="EG500" s="707"/>
      <c r="EH500" s="707"/>
      <c r="EI500" s="707"/>
      <c r="EJ500" s="707"/>
      <c r="EK500" s="707"/>
      <c r="EL500" s="707"/>
      <c r="EM500" s="707"/>
      <c r="EN500" s="707"/>
      <c r="EO500" s="707"/>
      <c r="EP500" s="707"/>
      <c r="EQ500" s="707"/>
      <c r="ER500" s="707"/>
      <c r="ES500" s="707"/>
      <c r="ET500" s="707"/>
      <c r="EU500" s="707"/>
      <c r="EV500" s="707"/>
      <c r="EW500" s="707"/>
      <c r="EX500" s="707"/>
      <c r="EY500" s="707"/>
      <c r="EZ500" s="707"/>
      <c r="FA500" s="707"/>
      <c r="FB500" s="707"/>
      <c r="FC500" s="707"/>
      <c r="FD500" s="707"/>
      <c r="FE500" s="707"/>
      <c r="FF500" s="707"/>
      <c r="FG500" s="707"/>
      <c r="FH500" s="707"/>
      <c r="FI500" s="707"/>
      <c r="FJ500" s="707"/>
      <c r="FK500" s="707"/>
      <c r="FL500" s="707"/>
      <c r="FM500" s="707"/>
      <c r="FN500" s="707"/>
      <c r="FO500" s="707"/>
      <c r="FP500" s="707"/>
      <c r="FQ500" s="707"/>
      <c r="FR500" s="707"/>
      <c r="FS500" s="707"/>
      <c r="FT500" s="707"/>
      <c r="FU500" s="707"/>
      <c r="FV500" s="707"/>
      <c r="FW500" s="707"/>
      <c r="FX500" s="707"/>
      <c r="FY500" s="707"/>
      <c r="FZ500" s="707"/>
      <c r="GA500" s="707"/>
      <c r="GB500" s="707"/>
      <c r="GC500" s="707"/>
      <c r="GD500" s="707"/>
      <c r="GE500" s="707"/>
      <c r="GF500" s="707"/>
      <c r="GG500" s="707"/>
      <c r="GH500" s="707"/>
      <c r="GI500" s="707"/>
      <c r="GJ500" s="707"/>
      <c r="GK500" s="707"/>
      <c r="GL500" s="707"/>
      <c r="GM500" s="707"/>
      <c r="GN500" s="707"/>
      <c r="GO500" s="707"/>
      <c r="GP500" s="707"/>
      <c r="GQ500" s="707"/>
      <c r="GR500" s="707"/>
      <c r="GS500" s="707"/>
      <c r="GT500" s="707"/>
      <c r="GU500" s="707"/>
      <c r="GV500" s="707"/>
      <c r="GW500" s="707"/>
      <c r="GX500" s="707"/>
      <c r="GY500" s="707"/>
      <c r="GZ500" s="707"/>
      <c r="HA500" s="707"/>
      <c r="HB500" s="707"/>
      <c r="HC500" s="707"/>
      <c r="HD500" s="707"/>
      <c r="HE500" s="707"/>
      <c r="HF500" s="707"/>
      <c r="HG500" s="707"/>
      <c r="HH500" s="707"/>
      <c r="HI500" s="707"/>
      <c r="HJ500" s="707"/>
      <c r="HK500" s="707"/>
      <c r="HL500" s="707"/>
      <c r="HM500" s="707"/>
      <c r="HN500" s="707"/>
      <c r="HO500" s="707"/>
      <c r="HP500" s="707"/>
      <c r="HQ500" s="707"/>
      <c r="HR500" s="707"/>
      <c r="HS500" s="707"/>
      <c r="HT500" s="707"/>
      <c r="HU500" s="707"/>
      <c r="HV500" s="707"/>
      <c r="HW500" s="707"/>
      <c r="HX500" s="707"/>
      <c r="HY500" s="707"/>
      <c r="HZ500" s="707"/>
      <c r="IA500" s="707"/>
      <c r="IB500" s="707"/>
      <c r="IC500" s="707"/>
      <c r="ID500" s="707"/>
      <c r="IE500" s="707"/>
      <c r="IF500" s="707"/>
      <c r="IG500" s="707"/>
      <c r="IH500" s="707"/>
      <c r="II500" s="707"/>
      <c r="IJ500" s="707"/>
      <c r="IK500" s="707"/>
      <c r="IL500" s="707"/>
      <c r="IM500" s="707"/>
      <c r="IN500" s="707"/>
      <c r="IO500" s="707"/>
      <c r="IP500" s="707"/>
      <c r="IQ500" s="707"/>
      <c r="IR500" s="707"/>
      <c r="IS500" s="707"/>
      <c r="IT500" s="707"/>
      <c r="IU500" s="707"/>
      <c r="IV500" s="707"/>
      <c r="IW500" s="707"/>
    </row>
    <row r="501" customFormat="false" ht="12.75" hidden="false" customHeight="false" outlineLevel="1" collapsed="false">
      <c r="A501" s="367"/>
      <c r="B501" s="714"/>
      <c r="C501" s="714"/>
      <c r="D501" s="714"/>
      <c r="E501" s="713"/>
      <c r="F501" s="713"/>
      <c r="G501" s="713"/>
      <c r="H501" s="713"/>
      <c r="I501" s="713"/>
      <c r="J501" s="713"/>
      <c r="K501" s="713"/>
      <c r="L501" s="713"/>
      <c r="M501" s="713"/>
      <c r="N501" s="713"/>
      <c r="O501" s="713"/>
      <c r="P501" s="713"/>
      <c r="Q501" s="713"/>
      <c r="R501" s="713"/>
      <c r="S501" s="713"/>
      <c r="T501" s="713"/>
      <c r="U501" s="713"/>
      <c r="V501" s="713"/>
      <c r="W501" s="713"/>
      <c r="X501" s="713"/>
      <c r="Y501" s="713"/>
      <c r="Z501" s="713"/>
      <c r="AA501" s="707"/>
      <c r="AB501" s="707"/>
      <c r="AC501" s="707"/>
      <c r="AD501" s="707"/>
      <c r="AE501" s="707"/>
      <c r="AF501" s="707"/>
      <c r="AG501" s="707"/>
      <c r="AH501" s="707"/>
      <c r="AI501" s="707"/>
      <c r="AJ501" s="707"/>
      <c r="AK501" s="707"/>
      <c r="AL501" s="707"/>
      <c r="AM501" s="707"/>
      <c r="AN501" s="707"/>
      <c r="AO501" s="707"/>
      <c r="AP501" s="707"/>
      <c r="AQ501" s="707"/>
      <c r="AR501" s="707"/>
      <c r="AS501" s="707"/>
      <c r="AT501" s="707"/>
      <c r="AU501" s="707"/>
      <c r="AV501" s="707"/>
      <c r="AW501" s="707"/>
      <c r="AX501" s="707"/>
      <c r="AY501" s="707"/>
      <c r="AZ501" s="707"/>
      <c r="BA501" s="707"/>
      <c r="BB501" s="707"/>
      <c r="BC501" s="707"/>
      <c r="BD501" s="707"/>
      <c r="BE501" s="707"/>
      <c r="BF501" s="707"/>
      <c r="BG501" s="707"/>
      <c r="BH501" s="707"/>
      <c r="BI501" s="707"/>
      <c r="BJ501" s="707"/>
      <c r="BK501" s="707"/>
      <c r="BL501" s="707"/>
      <c r="BM501" s="707"/>
      <c r="BN501" s="707"/>
      <c r="BO501" s="707"/>
      <c r="BP501" s="707"/>
      <c r="BQ501" s="707"/>
      <c r="BR501" s="707"/>
      <c r="BS501" s="707"/>
      <c r="BT501" s="707"/>
      <c r="BU501" s="707"/>
      <c r="BV501" s="707"/>
      <c r="BW501" s="707"/>
      <c r="BX501" s="707"/>
      <c r="BY501" s="707"/>
      <c r="BZ501" s="707"/>
      <c r="CA501" s="707"/>
      <c r="CB501" s="707"/>
      <c r="CC501" s="707"/>
      <c r="CD501" s="707"/>
      <c r="CE501" s="707"/>
      <c r="CF501" s="707"/>
      <c r="CG501" s="707"/>
      <c r="CH501" s="707"/>
      <c r="CI501" s="707"/>
      <c r="CJ501" s="707"/>
      <c r="CK501" s="707"/>
      <c r="CL501" s="707"/>
      <c r="CM501" s="707"/>
      <c r="CN501" s="707"/>
      <c r="CO501" s="707"/>
      <c r="CP501" s="707"/>
      <c r="CQ501" s="707"/>
      <c r="CR501" s="707"/>
      <c r="CS501" s="707"/>
      <c r="CT501" s="707"/>
      <c r="CU501" s="707"/>
      <c r="CV501" s="707"/>
      <c r="CW501" s="707"/>
      <c r="CX501" s="707"/>
      <c r="CY501" s="707"/>
      <c r="CZ501" s="707"/>
      <c r="DA501" s="707"/>
      <c r="DB501" s="707"/>
      <c r="DC501" s="707"/>
      <c r="DD501" s="707"/>
      <c r="DE501" s="707"/>
      <c r="DF501" s="707"/>
      <c r="DG501" s="707"/>
      <c r="DH501" s="707"/>
      <c r="DI501" s="707"/>
      <c r="DJ501" s="707"/>
      <c r="DK501" s="707"/>
      <c r="DL501" s="707"/>
      <c r="DM501" s="707"/>
      <c r="DN501" s="707"/>
      <c r="DO501" s="707"/>
      <c r="DP501" s="707"/>
      <c r="DQ501" s="707"/>
      <c r="DR501" s="707"/>
      <c r="DS501" s="707"/>
      <c r="DT501" s="707"/>
      <c r="DU501" s="707"/>
      <c r="DV501" s="707"/>
      <c r="DW501" s="707"/>
      <c r="DX501" s="707"/>
      <c r="DY501" s="707"/>
      <c r="DZ501" s="707"/>
      <c r="EA501" s="707"/>
      <c r="EB501" s="707"/>
      <c r="EC501" s="707"/>
      <c r="ED501" s="707"/>
      <c r="EE501" s="707"/>
      <c r="EF501" s="707"/>
      <c r="EG501" s="707"/>
      <c r="EH501" s="707"/>
      <c r="EI501" s="707"/>
      <c r="EJ501" s="707"/>
      <c r="EK501" s="707"/>
      <c r="EL501" s="707"/>
      <c r="EM501" s="707"/>
      <c r="EN501" s="707"/>
      <c r="EO501" s="707"/>
      <c r="EP501" s="707"/>
      <c r="EQ501" s="707"/>
      <c r="ER501" s="707"/>
      <c r="ES501" s="707"/>
      <c r="ET501" s="707"/>
      <c r="EU501" s="707"/>
      <c r="EV501" s="707"/>
      <c r="EW501" s="707"/>
      <c r="EX501" s="707"/>
      <c r="EY501" s="707"/>
      <c r="EZ501" s="707"/>
      <c r="FA501" s="707"/>
      <c r="FB501" s="707"/>
      <c r="FC501" s="707"/>
      <c r="FD501" s="707"/>
      <c r="FE501" s="707"/>
      <c r="FF501" s="707"/>
      <c r="FG501" s="707"/>
      <c r="FH501" s="707"/>
      <c r="FI501" s="707"/>
      <c r="FJ501" s="707"/>
      <c r="FK501" s="707"/>
      <c r="FL501" s="707"/>
      <c r="FM501" s="707"/>
      <c r="FN501" s="707"/>
      <c r="FO501" s="707"/>
      <c r="FP501" s="707"/>
      <c r="FQ501" s="707"/>
      <c r="FR501" s="707"/>
      <c r="FS501" s="707"/>
      <c r="FT501" s="707"/>
      <c r="FU501" s="707"/>
      <c r="FV501" s="707"/>
      <c r="FW501" s="707"/>
      <c r="FX501" s="707"/>
      <c r="FY501" s="707"/>
      <c r="FZ501" s="707"/>
      <c r="GA501" s="707"/>
      <c r="GB501" s="707"/>
      <c r="GC501" s="707"/>
      <c r="GD501" s="707"/>
      <c r="GE501" s="707"/>
      <c r="GF501" s="707"/>
      <c r="GG501" s="707"/>
      <c r="GH501" s="707"/>
      <c r="GI501" s="707"/>
      <c r="GJ501" s="707"/>
      <c r="GK501" s="707"/>
      <c r="GL501" s="707"/>
      <c r="GM501" s="707"/>
      <c r="GN501" s="707"/>
      <c r="GO501" s="707"/>
      <c r="GP501" s="707"/>
      <c r="GQ501" s="707"/>
      <c r="GR501" s="707"/>
      <c r="GS501" s="707"/>
      <c r="GT501" s="707"/>
      <c r="GU501" s="707"/>
      <c r="GV501" s="707"/>
      <c r="GW501" s="707"/>
      <c r="GX501" s="707"/>
      <c r="GY501" s="707"/>
      <c r="GZ501" s="707"/>
      <c r="HA501" s="707"/>
      <c r="HB501" s="707"/>
      <c r="HC501" s="707"/>
      <c r="HD501" s="707"/>
      <c r="HE501" s="707"/>
      <c r="HF501" s="707"/>
      <c r="HG501" s="707"/>
      <c r="HH501" s="707"/>
      <c r="HI501" s="707"/>
      <c r="HJ501" s="707"/>
      <c r="HK501" s="707"/>
      <c r="HL501" s="707"/>
      <c r="HM501" s="707"/>
      <c r="HN501" s="707"/>
      <c r="HO501" s="707"/>
      <c r="HP501" s="707"/>
      <c r="HQ501" s="707"/>
      <c r="HR501" s="707"/>
      <c r="HS501" s="707"/>
      <c r="HT501" s="707"/>
      <c r="HU501" s="707"/>
      <c r="HV501" s="707"/>
      <c r="HW501" s="707"/>
      <c r="HX501" s="707"/>
      <c r="HY501" s="707"/>
      <c r="HZ501" s="707"/>
      <c r="IA501" s="707"/>
      <c r="IB501" s="707"/>
      <c r="IC501" s="707"/>
      <c r="ID501" s="707"/>
      <c r="IE501" s="707"/>
      <c r="IF501" s="707"/>
      <c r="IG501" s="707"/>
      <c r="IH501" s="707"/>
      <c r="II501" s="707"/>
      <c r="IJ501" s="707"/>
      <c r="IK501" s="707"/>
      <c r="IL501" s="707"/>
      <c r="IM501" s="707"/>
      <c r="IN501" s="707"/>
      <c r="IO501" s="707"/>
      <c r="IP501" s="707"/>
      <c r="IQ501" s="707"/>
      <c r="IR501" s="707"/>
      <c r="IS501" s="707"/>
      <c r="IT501" s="707"/>
      <c r="IU501" s="707"/>
      <c r="IV501" s="707"/>
      <c r="IW501" s="707"/>
    </row>
    <row r="502" customFormat="false" ht="12.75" hidden="false" customHeight="false" outlineLevel="1" collapsed="false">
      <c r="A502" s="367"/>
      <c r="B502" s="723"/>
      <c r="C502" s="723"/>
      <c r="D502" s="723"/>
      <c r="E502" s="713"/>
      <c r="F502" s="713"/>
      <c r="G502" s="713"/>
      <c r="H502" s="713"/>
      <c r="I502" s="713"/>
      <c r="J502" s="713"/>
      <c r="K502" s="713"/>
      <c r="L502" s="713"/>
      <c r="M502" s="713"/>
      <c r="N502" s="713"/>
      <c r="O502" s="713"/>
      <c r="P502" s="713"/>
      <c r="Q502" s="713"/>
      <c r="R502" s="713"/>
      <c r="S502" s="713"/>
      <c r="T502" s="713"/>
      <c r="U502" s="713"/>
      <c r="V502" s="713"/>
      <c r="W502" s="713"/>
      <c r="X502" s="713"/>
      <c r="Y502" s="713"/>
      <c r="Z502" s="713"/>
      <c r="AA502" s="707"/>
      <c r="AB502" s="707"/>
      <c r="AC502" s="707"/>
      <c r="AD502" s="707"/>
      <c r="AE502" s="707"/>
      <c r="AF502" s="707"/>
      <c r="AG502" s="707"/>
      <c r="AH502" s="707"/>
      <c r="AI502" s="707"/>
      <c r="AJ502" s="707"/>
      <c r="AK502" s="707"/>
      <c r="AL502" s="707"/>
      <c r="AM502" s="707"/>
      <c r="AN502" s="707"/>
      <c r="AO502" s="707"/>
      <c r="AP502" s="707"/>
      <c r="AQ502" s="707"/>
      <c r="AR502" s="707"/>
      <c r="AS502" s="707"/>
      <c r="AT502" s="707"/>
      <c r="AU502" s="707"/>
      <c r="AV502" s="707"/>
      <c r="AW502" s="707"/>
      <c r="AX502" s="707"/>
      <c r="AY502" s="707"/>
      <c r="AZ502" s="707"/>
      <c r="BA502" s="707"/>
      <c r="BB502" s="707"/>
      <c r="BC502" s="707"/>
      <c r="BD502" s="707"/>
      <c r="BE502" s="707"/>
      <c r="BF502" s="707"/>
      <c r="BG502" s="707"/>
      <c r="BH502" s="707"/>
      <c r="BI502" s="707"/>
      <c r="BJ502" s="707"/>
      <c r="BK502" s="707"/>
      <c r="BL502" s="707"/>
      <c r="BM502" s="707"/>
      <c r="BN502" s="707"/>
      <c r="BO502" s="707"/>
      <c r="BP502" s="707"/>
      <c r="BQ502" s="707"/>
      <c r="BR502" s="707"/>
      <c r="BS502" s="707"/>
      <c r="BT502" s="707"/>
      <c r="BU502" s="707"/>
      <c r="BV502" s="707"/>
      <c r="BW502" s="707"/>
      <c r="BX502" s="707"/>
      <c r="BY502" s="707"/>
      <c r="BZ502" s="707"/>
      <c r="CA502" s="707"/>
      <c r="CB502" s="707"/>
      <c r="CC502" s="707"/>
      <c r="CD502" s="707"/>
      <c r="CE502" s="707"/>
      <c r="CF502" s="707"/>
      <c r="CG502" s="707"/>
      <c r="CH502" s="707"/>
      <c r="CI502" s="707"/>
      <c r="CJ502" s="707"/>
      <c r="CK502" s="707"/>
      <c r="CL502" s="707"/>
      <c r="CM502" s="707"/>
      <c r="CN502" s="707"/>
      <c r="CO502" s="707"/>
      <c r="CP502" s="707"/>
      <c r="CQ502" s="707"/>
      <c r="CR502" s="707"/>
      <c r="CS502" s="707"/>
      <c r="CT502" s="707"/>
      <c r="CU502" s="707"/>
      <c r="CV502" s="707"/>
      <c r="CW502" s="707"/>
      <c r="CX502" s="707"/>
      <c r="CY502" s="707"/>
      <c r="CZ502" s="707"/>
      <c r="DA502" s="707"/>
      <c r="DB502" s="707"/>
      <c r="DC502" s="707"/>
      <c r="DD502" s="707"/>
      <c r="DE502" s="707"/>
      <c r="DF502" s="707"/>
      <c r="DG502" s="707"/>
      <c r="DH502" s="707"/>
      <c r="DI502" s="707"/>
      <c r="DJ502" s="707"/>
      <c r="DK502" s="707"/>
      <c r="DL502" s="707"/>
      <c r="DM502" s="707"/>
      <c r="DN502" s="707"/>
      <c r="DO502" s="707"/>
      <c r="DP502" s="707"/>
      <c r="DQ502" s="707"/>
      <c r="DR502" s="707"/>
      <c r="DS502" s="707"/>
      <c r="DT502" s="707"/>
      <c r="DU502" s="707"/>
      <c r="DV502" s="707"/>
      <c r="DW502" s="707"/>
      <c r="DX502" s="707"/>
      <c r="DY502" s="707"/>
      <c r="DZ502" s="707"/>
      <c r="EA502" s="707"/>
      <c r="EB502" s="707"/>
      <c r="EC502" s="707"/>
      <c r="ED502" s="707"/>
      <c r="EE502" s="707"/>
      <c r="EF502" s="707"/>
      <c r="EG502" s="707"/>
      <c r="EH502" s="707"/>
      <c r="EI502" s="707"/>
      <c r="EJ502" s="707"/>
      <c r="EK502" s="707"/>
      <c r="EL502" s="707"/>
      <c r="EM502" s="707"/>
      <c r="EN502" s="707"/>
      <c r="EO502" s="707"/>
      <c r="EP502" s="707"/>
      <c r="EQ502" s="707"/>
      <c r="ER502" s="707"/>
      <c r="ES502" s="707"/>
      <c r="ET502" s="707"/>
      <c r="EU502" s="707"/>
      <c r="EV502" s="707"/>
      <c r="EW502" s="707"/>
      <c r="EX502" s="707"/>
      <c r="EY502" s="707"/>
      <c r="EZ502" s="707"/>
      <c r="FA502" s="707"/>
      <c r="FB502" s="707"/>
      <c r="FC502" s="707"/>
      <c r="FD502" s="707"/>
      <c r="FE502" s="707"/>
      <c r="FF502" s="707"/>
      <c r="FG502" s="707"/>
      <c r="FH502" s="707"/>
      <c r="FI502" s="707"/>
      <c r="FJ502" s="707"/>
      <c r="FK502" s="707"/>
      <c r="FL502" s="707"/>
      <c r="FM502" s="707"/>
      <c r="FN502" s="707"/>
      <c r="FO502" s="707"/>
      <c r="FP502" s="707"/>
      <c r="FQ502" s="707"/>
      <c r="FR502" s="707"/>
      <c r="FS502" s="707"/>
      <c r="FT502" s="707"/>
      <c r="FU502" s="707"/>
      <c r="FV502" s="707"/>
      <c r="FW502" s="707"/>
      <c r="FX502" s="707"/>
      <c r="FY502" s="707"/>
      <c r="FZ502" s="707"/>
      <c r="GA502" s="707"/>
      <c r="GB502" s="707"/>
      <c r="GC502" s="707"/>
      <c r="GD502" s="707"/>
      <c r="GE502" s="707"/>
      <c r="GF502" s="707"/>
      <c r="GG502" s="707"/>
      <c r="GH502" s="707"/>
      <c r="GI502" s="707"/>
      <c r="GJ502" s="707"/>
      <c r="GK502" s="707"/>
      <c r="GL502" s="707"/>
      <c r="GM502" s="707"/>
      <c r="GN502" s="707"/>
      <c r="GO502" s="707"/>
      <c r="GP502" s="707"/>
      <c r="GQ502" s="707"/>
      <c r="GR502" s="707"/>
      <c r="GS502" s="707"/>
      <c r="GT502" s="707"/>
      <c r="GU502" s="707"/>
      <c r="GV502" s="707"/>
      <c r="GW502" s="707"/>
      <c r="GX502" s="707"/>
      <c r="GY502" s="707"/>
      <c r="GZ502" s="707"/>
      <c r="HA502" s="707"/>
      <c r="HB502" s="707"/>
      <c r="HC502" s="707"/>
      <c r="HD502" s="707"/>
      <c r="HE502" s="707"/>
      <c r="HF502" s="707"/>
      <c r="HG502" s="707"/>
      <c r="HH502" s="707"/>
      <c r="HI502" s="707"/>
      <c r="HJ502" s="707"/>
      <c r="HK502" s="707"/>
      <c r="HL502" s="707"/>
      <c r="HM502" s="707"/>
      <c r="HN502" s="707"/>
      <c r="HO502" s="707"/>
      <c r="HP502" s="707"/>
      <c r="HQ502" s="707"/>
      <c r="HR502" s="707"/>
      <c r="HS502" s="707"/>
      <c r="HT502" s="707"/>
      <c r="HU502" s="707"/>
      <c r="HV502" s="707"/>
      <c r="HW502" s="707"/>
      <c r="HX502" s="707"/>
      <c r="HY502" s="707"/>
      <c r="HZ502" s="707"/>
      <c r="IA502" s="707"/>
      <c r="IB502" s="707"/>
      <c r="IC502" s="707"/>
      <c r="ID502" s="707"/>
      <c r="IE502" s="707"/>
      <c r="IF502" s="707"/>
      <c r="IG502" s="707"/>
      <c r="IH502" s="707"/>
      <c r="II502" s="707"/>
      <c r="IJ502" s="707"/>
      <c r="IK502" s="707"/>
      <c r="IL502" s="707"/>
      <c r="IM502" s="707"/>
      <c r="IN502" s="707"/>
      <c r="IO502" s="707"/>
      <c r="IP502" s="707"/>
      <c r="IQ502" s="707"/>
      <c r="IR502" s="707"/>
      <c r="IS502" s="707"/>
      <c r="IT502" s="707"/>
      <c r="IU502" s="707"/>
      <c r="IV502" s="707"/>
      <c r="IW502" s="707"/>
    </row>
    <row r="503" customFormat="false" ht="12.75" hidden="false" customHeight="false" outlineLevel="1" collapsed="false">
      <c r="A503" s="367"/>
      <c r="B503" s="723"/>
      <c r="C503" s="723"/>
      <c r="D503" s="723"/>
      <c r="E503" s="713"/>
      <c r="F503" s="713"/>
      <c r="G503" s="713"/>
      <c r="H503" s="713"/>
      <c r="I503" s="713"/>
      <c r="J503" s="713"/>
      <c r="K503" s="713"/>
      <c r="L503" s="713"/>
      <c r="M503" s="713"/>
      <c r="N503" s="713"/>
      <c r="O503" s="713"/>
      <c r="P503" s="713"/>
      <c r="Q503" s="713"/>
      <c r="R503" s="713"/>
      <c r="S503" s="713"/>
      <c r="T503" s="713"/>
      <c r="U503" s="713"/>
      <c r="V503" s="713"/>
      <c r="W503" s="713"/>
      <c r="X503" s="713"/>
      <c r="Y503" s="713"/>
      <c r="Z503" s="713"/>
      <c r="AA503" s="707"/>
      <c r="AB503" s="707"/>
      <c r="AC503" s="707"/>
      <c r="AD503" s="707"/>
      <c r="AE503" s="707"/>
      <c r="AF503" s="707"/>
      <c r="AG503" s="707"/>
      <c r="AH503" s="707"/>
      <c r="AI503" s="707"/>
      <c r="AJ503" s="707"/>
      <c r="AK503" s="707"/>
      <c r="AL503" s="707"/>
      <c r="AM503" s="707"/>
      <c r="AN503" s="707"/>
      <c r="AO503" s="707"/>
      <c r="AP503" s="707"/>
      <c r="AQ503" s="707"/>
      <c r="AR503" s="707"/>
      <c r="AS503" s="707"/>
      <c r="AT503" s="707"/>
      <c r="AU503" s="707"/>
      <c r="AV503" s="707"/>
      <c r="AW503" s="707"/>
      <c r="AX503" s="707"/>
      <c r="AY503" s="707"/>
      <c r="AZ503" s="707"/>
      <c r="BA503" s="707"/>
      <c r="BB503" s="707"/>
      <c r="BC503" s="707"/>
      <c r="BD503" s="707"/>
      <c r="BE503" s="707"/>
      <c r="BF503" s="707"/>
      <c r="BG503" s="707"/>
      <c r="BH503" s="707"/>
      <c r="BI503" s="707"/>
      <c r="BJ503" s="707"/>
      <c r="BK503" s="707"/>
      <c r="BL503" s="707"/>
      <c r="BM503" s="707"/>
      <c r="BN503" s="707"/>
      <c r="BO503" s="707"/>
      <c r="BP503" s="707"/>
      <c r="BQ503" s="707"/>
      <c r="BR503" s="707"/>
      <c r="BS503" s="707"/>
      <c r="BT503" s="707"/>
      <c r="BU503" s="707"/>
      <c r="BV503" s="707"/>
      <c r="BW503" s="707"/>
      <c r="BX503" s="707"/>
      <c r="BY503" s="707"/>
      <c r="BZ503" s="707"/>
      <c r="CA503" s="707"/>
      <c r="CB503" s="707"/>
      <c r="CC503" s="707"/>
      <c r="CD503" s="707"/>
      <c r="CE503" s="707"/>
      <c r="CF503" s="707"/>
      <c r="CG503" s="707"/>
      <c r="CH503" s="707"/>
      <c r="CI503" s="707"/>
      <c r="CJ503" s="707"/>
      <c r="CK503" s="707"/>
      <c r="CL503" s="707"/>
      <c r="CM503" s="707"/>
      <c r="CN503" s="707"/>
      <c r="CO503" s="707"/>
      <c r="CP503" s="707"/>
      <c r="CQ503" s="707"/>
      <c r="CR503" s="707"/>
      <c r="CS503" s="707"/>
      <c r="CT503" s="707"/>
      <c r="CU503" s="707"/>
      <c r="CV503" s="707"/>
      <c r="CW503" s="707"/>
      <c r="CX503" s="707"/>
      <c r="CY503" s="707"/>
      <c r="CZ503" s="707"/>
      <c r="DA503" s="707"/>
      <c r="DB503" s="707"/>
      <c r="DC503" s="707"/>
      <c r="DD503" s="707"/>
      <c r="DE503" s="707"/>
      <c r="DF503" s="707"/>
      <c r="DG503" s="707"/>
      <c r="DH503" s="707"/>
      <c r="DI503" s="707"/>
      <c r="DJ503" s="707"/>
      <c r="DK503" s="707"/>
      <c r="DL503" s="707"/>
      <c r="DM503" s="707"/>
      <c r="DN503" s="707"/>
      <c r="DO503" s="707"/>
      <c r="DP503" s="707"/>
      <c r="DQ503" s="707"/>
      <c r="DR503" s="707"/>
      <c r="DS503" s="707"/>
      <c r="DT503" s="707"/>
      <c r="DU503" s="707"/>
      <c r="DV503" s="707"/>
      <c r="DW503" s="707"/>
      <c r="DX503" s="707"/>
      <c r="DY503" s="707"/>
      <c r="DZ503" s="707"/>
      <c r="EA503" s="707"/>
      <c r="EB503" s="707"/>
      <c r="EC503" s="707"/>
      <c r="ED503" s="707"/>
      <c r="EE503" s="707"/>
      <c r="EF503" s="707"/>
      <c r="EG503" s="707"/>
      <c r="EH503" s="707"/>
      <c r="EI503" s="707"/>
      <c r="EJ503" s="707"/>
      <c r="EK503" s="707"/>
      <c r="EL503" s="707"/>
      <c r="EM503" s="707"/>
      <c r="EN503" s="707"/>
      <c r="EO503" s="707"/>
      <c r="EP503" s="707"/>
      <c r="EQ503" s="707"/>
      <c r="ER503" s="707"/>
      <c r="ES503" s="707"/>
      <c r="ET503" s="707"/>
      <c r="EU503" s="707"/>
      <c r="EV503" s="707"/>
      <c r="EW503" s="707"/>
      <c r="EX503" s="707"/>
      <c r="EY503" s="707"/>
      <c r="EZ503" s="707"/>
      <c r="FA503" s="707"/>
      <c r="FB503" s="707"/>
      <c r="FC503" s="707"/>
      <c r="FD503" s="707"/>
      <c r="FE503" s="707"/>
      <c r="FF503" s="707"/>
      <c r="FG503" s="707"/>
      <c r="FH503" s="707"/>
      <c r="FI503" s="707"/>
      <c r="FJ503" s="707"/>
      <c r="FK503" s="707"/>
      <c r="FL503" s="707"/>
      <c r="FM503" s="707"/>
      <c r="FN503" s="707"/>
      <c r="FO503" s="707"/>
      <c r="FP503" s="707"/>
      <c r="FQ503" s="707"/>
      <c r="FR503" s="707"/>
      <c r="FS503" s="707"/>
      <c r="FT503" s="707"/>
      <c r="FU503" s="707"/>
      <c r="FV503" s="707"/>
      <c r="FW503" s="707"/>
      <c r="FX503" s="707"/>
      <c r="FY503" s="707"/>
      <c r="FZ503" s="707"/>
      <c r="GA503" s="707"/>
      <c r="GB503" s="707"/>
      <c r="GC503" s="707"/>
      <c r="GD503" s="707"/>
      <c r="GE503" s="707"/>
      <c r="GF503" s="707"/>
      <c r="GG503" s="707"/>
      <c r="GH503" s="707"/>
      <c r="GI503" s="707"/>
      <c r="GJ503" s="707"/>
      <c r="GK503" s="707"/>
      <c r="GL503" s="707"/>
      <c r="GM503" s="707"/>
      <c r="GN503" s="707"/>
      <c r="GO503" s="707"/>
      <c r="GP503" s="707"/>
      <c r="GQ503" s="707"/>
      <c r="GR503" s="707"/>
      <c r="GS503" s="707"/>
      <c r="GT503" s="707"/>
      <c r="GU503" s="707"/>
      <c r="GV503" s="707"/>
      <c r="GW503" s="707"/>
      <c r="GX503" s="707"/>
      <c r="GY503" s="707"/>
      <c r="GZ503" s="707"/>
      <c r="HA503" s="707"/>
      <c r="HB503" s="707"/>
      <c r="HC503" s="707"/>
      <c r="HD503" s="707"/>
      <c r="HE503" s="707"/>
      <c r="HF503" s="707"/>
      <c r="HG503" s="707"/>
      <c r="HH503" s="707"/>
      <c r="HI503" s="707"/>
      <c r="HJ503" s="707"/>
      <c r="HK503" s="707"/>
      <c r="HL503" s="707"/>
      <c r="HM503" s="707"/>
      <c r="HN503" s="707"/>
      <c r="HO503" s="707"/>
      <c r="HP503" s="707"/>
      <c r="HQ503" s="707"/>
      <c r="HR503" s="707"/>
      <c r="HS503" s="707"/>
      <c r="HT503" s="707"/>
      <c r="HU503" s="707"/>
      <c r="HV503" s="707"/>
      <c r="HW503" s="707"/>
      <c r="HX503" s="707"/>
      <c r="HY503" s="707"/>
      <c r="HZ503" s="707"/>
      <c r="IA503" s="707"/>
      <c r="IB503" s="707"/>
      <c r="IC503" s="707"/>
      <c r="ID503" s="707"/>
      <c r="IE503" s="707"/>
      <c r="IF503" s="707"/>
      <c r="IG503" s="707"/>
      <c r="IH503" s="707"/>
      <c r="II503" s="707"/>
      <c r="IJ503" s="707"/>
      <c r="IK503" s="707"/>
      <c r="IL503" s="707"/>
      <c r="IM503" s="707"/>
      <c r="IN503" s="707"/>
      <c r="IO503" s="707"/>
      <c r="IP503" s="707"/>
      <c r="IQ503" s="707"/>
      <c r="IR503" s="707"/>
      <c r="IS503" s="707"/>
      <c r="IT503" s="707"/>
      <c r="IU503" s="707"/>
      <c r="IV503" s="707"/>
      <c r="IW503" s="707"/>
    </row>
    <row r="504" customFormat="false" ht="12.75" hidden="false" customHeight="false" outlineLevel="1" collapsed="false">
      <c r="A504" s="367"/>
      <c r="B504" s="723"/>
      <c r="C504" s="723"/>
      <c r="D504" s="723"/>
      <c r="E504" s="713"/>
      <c r="F504" s="713"/>
      <c r="G504" s="713"/>
      <c r="H504" s="713"/>
      <c r="I504" s="713"/>
      <c r="J504" s="713"/>
      <c r="K504" s="713"/>
      <c r="L504" s="713"/>
      <c r="M504" s="713"/>
      <c r="N504" s="713"/>
      <c r="O504" s="713"/>
      <c r="P504" s="713"/>
      <c r="Q504" s="713"/>
      <c r="R504" s="713"/>
      <c r="S504" s="713"/>
      <c r="T504" s="713"/>
      <c r="U504" s="713"/>
      <c r="V504" s="713"/>
      <c r="W504" s="713"/>
      <c r="X504" s="713"/>
      <c r="Y504" s="713"/>
      <c r="Z504" s="713"/>
      <c r="AA504" s="707"/>
      <c r="AB504" s="707"/>
      <c r="AC504" s="707"/>
      <c r="AD504" s="707"/>
      <c r="AE504" s="707"/>
      <c r="AF504" s="707"/>
      <c r="AG504" s="707"/>
      <c r="AH504" s="707"/>
      <c r="AI504" s="707"/>
      <c r="AJ504" s="707"/>
      <c r="AK504" s="707"/>
      <c r="AL504" s="707"/>
      <c r="AM504" s="707"/>
      <c r="AN504" s="707"/>
      <c r="AO504" s="707"/>
      <c r="AP504" s="707"/>
      <c r="AQ504" s="707"/>
      <c r="AR504" s="707"/>
      <c r="AS504" s="707"/>
      <c r="AT504" s="707"/>
      <c r="AU504" s="707"/>
      <c r="AV504" s="707"/>
      <c r="AW504" s="707"/>
      <c r="AX504" s="707"/>
      <c r="AY504" s="707"/>
      <c r="AZ504" s="707"/>
      <c r="BA504" s="707"/>
      <c r="BB504" s="707"/>
      <c r="BC504" s="707"/>
      <c r="BD504" s="707"/>
      <c r="BE504" s="707"/>
      <c r="BF504" s="707"/>
      <c r="BG504" s="707"/>
      <c r="BH504" s="707"/>
      <c r="BI504" s="707"/>
      <c r="BJ504" s="707"/>
      <c r="BK504" s="707"/>
      <c r="BL504" s="707"/>
      <c r="BM504" s="707"/>
      <c r="BN504" s="707"/>
      <c r="BO504" s="707"/>
      <c r="BP504" s="707"/>
      <c r="BQ504" s="707"/>
      <c r="BR504" s="707"/>
      <c r="BS504" s="707"/>
      <c r="BT504" s="707"/>
      <c r="BU504" s="707"/>
      <c r="BV504" s="707"/>
      <c r="BW504" s="707"/>
      <c r="BX504" s="707"/>
      <c r="BY504" s="707"/>
      <c r="BZ504" s="707"/>
      <c r="CA504" s="707"/>
      <c r="CB504" s="707"/>
      <c r="CC504" s="707"/>
      <c r="CD504" s="707"/>
      <c r="CE504" s="707"/>
      <c r="CF504" s="707"/>
      <c r="CG504" s="707"/>
      <c r="CH504" s="707"/>
      <c r="CI504" s="707"/>
      <c r="CJ504" s="707"/>
      <c r="CK504" s="707"/>
      <c r="CL504" s="707"/>
      <c r="CM504" s="707"/>
      <c r="CN504" s="707"/>
      <c r="CO504" s="707"/>
      <c r="CP504" s="707"/>
      <c r="CQ504" s="707"/>
      <c r="CR504" s="707"/>
      <c r="CS504" s="707"/>
      <c r="CT504" s="707"/>
      <c r="CU504" s="707"/>
      <c r="CV504" s="707"/>
      <c r="CW504" s="707"/>
      <c r="CX504" s="707"/>
      <c r="CY504" s="707"/>
      <c r="CZ504" s="707"/>
      <c r="DA504" s="707"/>
      <c r="DB504" s="707"/>
      <c r="DC504" s="707"/>
      <c r="DD504" s="707"/>
      <c r="DE504" s="707"/>
      <c r="DF504" s="707"/>
      <c r="DG504" s="707"/>
      <c r="DH504" s="707"/>
      <c r="DI504" s="707"/>
      <c r="DJ504" s="707"/>
      <c r="DK504" s="707"/>
      <c r="DL504" s="707"/>
      <c r="DM504" s="707"/>
      <c r="DN504" s="707"/>
      <c r="DO504" s="707"/>
      <c r="DP504" s="707"/>
      <c r="DQ504" s="707"/>
      <c r="DR504" s="707"/>
      <c r="DS504" s="707"/>
      <c r="DT504" s="707"/>
      <c r="DU504" s="707"/>
      <c r="DV504" s="707"/>
      <c r="DW504" s="707"/>
      <c r="DX504" s="707"/>
      <c r="DY504" s="707"/>
      <c r="DZ504" s="707"/>
      <c r="EA504" s="707"/>
      <c r="EB504" s="707"/>
      <c r="EC504" s="707"/>
      <c r="ED504" s="707"/>
      <c r="EE504" s="707"/>
      <c r="EF504" s="707"/>
      <c r="EG504" s="707"/>
      <c r="EH504" s="707"/>
      <c r="EI504" s="707"/>
      <c r="EJ504" s="707"/>
      <c r="EK504" s="707"/>
      <c r="EL504" s="707"/>
      <c r="EM504" s="707"/>
      <c r="EN504" s="707"/>
      <c r="EO504" s="707"/>
      <c r="EP504" s="707"/>
      <c r="EQ504" s="707"/>
      <c r="ER504" s="707"/>
      <c r="ES504" s="707"/>
      <c r="ET504" s="707"/>
      <c r="EU504" s="707"/>
      <c r="EV504" s="707"/>
      <c r="EW504" s="707"/>
      <c r="EX504" s="707"/>
      <c r="EY504" s="707"/>
      <c r="EZ504" s="707"/>
      <c r="FA504" s="707"/>
      <c r="FB504" s="707"/>
      <c r="FC504" s="707"/>
      <c r="FD504" s="707"/>
      <c r="FE504" s="707"/>
      <c r="FF504" s="707"/>
      <c r="FG504" s="707"/>
      <c r="FH504" s="707"/>
      <c r="FI504" s="707"/>
      <c r="FJ504" s="707"/>
      <c r="FK504" s="707"/>
      <c r="FL504" s="707"/>
      <c r="FM504" s="707"/>
      <c r="FN504" s="707"/>
      <c r="FO504" s="707"/>
      <c r="FP504" s="707"/>
      <c r="FQ504" s="707"/>
      <c r="FR504" s="707"/>
      <c r="FS504" s="707"/>
      <c r="FT504" s="707"/>
      <c r="FU504" s="707"/>
      <c r="FV504" s="707"/>
      <c r="FW504" s="707"/>
      <c r="FX504" s="707"/>
      <c r="FY504" s="707"/>
      <c r="FZ504" s="707"/>
      <c r="GA504" s="707"/>
      <c r="GB504" s="707"/>
      <c r="GC504" s="707"/>
      <c r="GD504" s="707"/>
      <c r="GE504" s="707"/>
      <c r="GF504" s="707"/>
      <c r="GG504" s="707"/>
      <c r="GH504" s="707"/>
      <c r="GI504" s="707"/>
      <c r="GJ504" s="707"/>
      <c r="GK504" s="707"/>
      <c r="GL504" s="707"/>
      <c r="GM504" s="707"/>
      <c r="GN504" s="707"/>
      <c r="GO504" s="707"/>
      <c r="GP504" s="707"/>
      <c r="GQ504" s="707"/>
      <c r="GR504" s="707"/>
      <c r="GS504" s="707"/>
      <c r="GT504" s="707"/>
      <c r="GU504" s="707"/>
      <c r="GV504" s="707"/>
      <c r="GW504" s="707"/>
      <c r="GX504" s="707"/>
      <c r="GY504" s="707"/>
      <c r="GZ504" s="707"/>
      <c r="HA504" s="707"/>
      <c r="HB504" s="707"/>
      <c r="HC504" s="707"/>
      <c r="HD504" s="707"/>
      <c r="HE504" s="707"/>
      <c r="HF504" s="707"/>
      <c r="HG504" s="707"/>
      <c r="HH504" s="707"/>
      <c r="HI504" s="707"/>
      <c r="HJ504" s="707"/>
      <c r="HK504" s="707"/>
      <c r="HL504" s="707"/>
      <c r="HM504" s="707"/>
      <c r="HN504" s="707"/>
      <c r="HO504" s="707"/>
      <c r="HP504" s="707"/>
      <c r="HQ504" s="707"/>
      <c r="HR504" s="707"/>
      <c r="HS504" s="707"/>
      <c r="HT504" s="707"/>
      <c r="HU504" s="707"/>
      <c r="HV504" s="707"/>
      <c r="HW504" s="707"/>
      <c r="HX504" s="707"/>
      <c r="HY504" s="707"/>
      <c r="HZ504" s="707"/>
      <c r="IA504" s="707"/>
      <c r="IB504" s="707"/>
      <c r="IC504" s="707"/>
      <c r="ID504" s="707"/>
      <c r="IE504" s="707"/>
      <c r="IF504" s="707"/>
      <c r="IG504" s="707"/>
      <c r="IH504" s="707"/>
      <c r="II504" s="707"/>
      <c r="IJ504" s="707"/>
      <c r="IK504" s="707"/>
      <c r="IL504" s="707"/>
      <c r="IM504" s="707"/>
      <c r="IN504" s="707"/>
      <c r="IO504" s="707"/>
      <c r="IP504" s="707"/>
      <c r="IQ504" s="707"/>
      <c r="IR504" s="707"/>
      <c r="IS504" s="707"/>
      <c r="IT504" s="707"/>
      <c r="IU504" s="707"/>
      <c r="IV504" s="707"/>
      <c r="IW504" s="707"/>
    </row>
    <row r="505" customFormat="false" ht="12.75" hidden="false" customHeight="false" outlineLevel="1" collapsed="false">
      <c r="A505" s="388"/>
      <c r="B505" s="707"/>
      <c r="C505" s="707"/>
      <c r="D505" s="707"/>
      <c r="E505" s="713"/>
      <c r="F505" s="713"/>
      <c r="G505" s="713"/>
      <c r="H505" s="713"/>
      <c r="I505" s="713"/>
      <c r="J505" s="713"/>
      <c r="K505" s="713"/>
      <c r="L505" s="713"/>
      <c r="M505" s="713"/>
      <c r="N505" s="713"/>
      <c r="O505" s="713"/>
      <c r="P505" s="713"/>
      <c r="Q505" s="713"/>
      <c r="R505" s="713"/>
      <c r="S505" s="713"/>
      <c r="T505" s="713"/>
      <c r="U505" s="713"/>
      <c r="V505" s="713"/>
      <c r="W505" s="713"/>
      <c r="X505" s="713"/>
      <c r="Y505" s="713"/>
      <c r="Z505" s="713"/>
      <c r="AA505" s="707"/>
      <c r="AB505" s="707"/>
      <c r="AC505" s="707"/>
      <c r="AD505" s="707"/>
      <c r="AE505" s="707"/>
      <c r="AF505" s="707"/>
      <c r="AG505" s="707"/>
      <c r="AH505" s="707"/>
      <c r="AI505" s="707"/>
      <c r="AJ505" s="707"/>
      <c r="AK505" s="707"/>
      <c r="AL505" s="707"/>
      <c r="AM505" s="707"/>
      <c r="AN505" s="707"/>
      <c r="AO505" s="707"/>
      <c r="AP505" s="707"/>
      <c r="AQ505" s="707"/>
      <c r="AR505" s="707"/>
      <c r="AS505" s="707"/>
      <c r="AT505" s="707"/>
      <c r="AU505" s="707"/>
      <c r="AV505" s="707"/>
      <c r="AW505" s="707"/>
      <c r="AX505" s="707"/>
      <c r="AY505" s="707"/>
      <c r="AZ505" s="707"/>
      <c r="BA505" s="707"/>
      <c r="BB505" s="707"/>
      <c r="BC505" s="707"/>
      <c r="BD505" s="707"/>
      <c r="BE505" s="707"/>
      <c r="BF505" s="707"/>
      <c r="BG505" s="707"/>
      <c r="BH505" s="707"/>
      <c r="BI505" s="707"/>
      <c r="BJ505" s="707"/>
      <c r="BK505" s="707"/>
      <c r="BL505" s="707"/>
      <c r="BM505" s="707"/>
      <c r="BN505" s="707"/>
      <c r="BO505" s="707"/>
      <c r="BP505" s="707"/>
      <c r="BQ505" s="707"/>
      <c r="BR505" s="707"/>
      <c r="BS505" s="707"/>
      <c r="BT505" s="707"/>
      <c r="BU505" s="707"/>
      <c r="BV505" s="707"/>
      <c r="BW505" s="707"/>
      <c r="BX505" s="707"/>
      <c r="BY505" s="707"/>
      <c r="BZ505" s="707"/>
      <c r="CA505" s="707"/>
      <c r="CB505" s="707"/>
      <c r="CC505" s="707"/>
      <c r="CD505" s="707"/>
      <c r="CE505" s="707"/>
      <c r="CF505" s="707"/>
      <c r="CG505" s="707"/>
      <c r="CH505" s="707"/>
      <c r="CI505" s="707"/>
      <c r="CJ505" s="707"/>
      <c r="CK505" s="707"/>
      <c r="CL505" s="707"/>
      <c r="CM505" s="707"/>
      <c r="CN505" s="707"/>
      <c r="CO505" s="707"/>
      <c r="CP505" s="707"/>
      <c r="CQ505" s="707"/>
      <c r="CR505" s="707"/>
      <c r="CS505" s="707"/>
      <c r="CT505" s="707"/>
      <c r="CU505" s="707"/>
      <c r="CV505" s="707"/>
      <c r="CW505" s="707"/>
      <c r="CX505" s="707"/>
      <c r="CY505" s="707"/>
      <c r="CZ505" s="707"/>
      <c r="DA505" s="707"/>
      <c r="DB505" s="707"/>
      <c r="DC505" s="707"/>
      <c r="DD505" s="707"/>
      <c r="DE505" s="707"/>
      <c r="DF505" s="707"/>
      <c r="DG505" s="707"/>
      <c r="DH505" s="707"/>
      <c r="DI505" s="707"/>
      <c r="DJ505" s="707"/>
      <c r="DK505" s="707"/>
      <c r="DL505" s="707"/>
      <c r="DM505" s="707"/>
      <c r="DN505" s="707"/>
      <c r="DO505" s="707"/>
      <c r="DP505" s="707"/>
      <c r="DQ505" s="707"/>
      <c r="DR505" s="707"/>
      <c r="DS505" s="707"/>
      <c r="DT505" s="707"/>
      <c r="DU505" s="707"/>
      <c r="DV505" s="707"/>
      <c r="DW505" s="707"/>
      <c r="DX505" s="707"/>
      <c r="DY505" s="707"/>
      <c r="DZ505" s="707"/>
      <c r="EA505" s="707"/>
      <c r="EB505" s="707"/>
      <c r="EC505" s="707"/>
      <c r="ED505" s="707"/>
      <c r="EE505" s="707"/>
      <c r="EF505" s="707"/>
      <c r="EG505" s="707"/>
      <c r="EH505" s="707"/>
      <c r="EI505" s="707"/>
      <c r="EJ505" s="707"/>
      <c r="EK505" s="707"/>
      <c r="EL505" s="707"/>
      <c r="EM505" s="707"/>
      <c r="EN505" s="707"/>
      <c r="EO505" s="707"/>
      <c r="EP505" s="707"/>
      <c r="EQ505" s="707"/>
      <c r="ER505" s="707"/>
      <c r="ES505" s="707"/>
      <c r="ET505" s="707"/>
      <c r="EU505" s="707"/>
      <c r="EV505" s="707"/>
      <c r="EW505" s="707"/>
      <c r="EX505" s="707"/>
      <c r="EY505" s="707"/>
      <c r="EZ505" s="707"/>
      <c r="FA505" s="707"/>
      <c r="FB505" s="707"/>
      <c r="FC505" s="707"/>
      <c r="FD505" s="707"/>
      <c r="FE505" s="707"/>
      <c r="FF505" s="707"/>
      <c r="FG505" s="707"/>
      <c r="FH505" s="707"/>
      <c r="FI505" s="707"/>
      <c r="FJ505" s="707"/>
      <c r="FK505" s="707"/>
      <c r="FL505" s="707"/>
      <c r="FM505" s="707"/>
      <c r="FN505" s="707"/>
      <c r="FO505" s="707"/>
      <c r="FP505" s="707"/>
      <c r="FQ505" s="707"/>
      <c r="FR505" s="707"/>
      <c r="FS505" s="707"/>
      <c r="FT505" s="707"/>
      <c r="FU505" s="707"/>
      <c r="FV505" s="707"/>
      <c r="FW505" s="707"/>
      <c r="FX505" s="707"/>
      <c r="FY505" s="707"/>
      <c r="FZ505" s="707"/>
      <c r="GA505" s="707"/>
      <c r="GB505" s="707"/>
      <c r="GC505" s="707"/>
      <c r="GD505" s="707"/>
      <c r="GE505" s="707"/>
      <c r="GF505" s="707"/>
      <c r="GG505" s="707"/>
      <c r="GH505" s="707"/>
      <c r="GI505" s="707"/>
      <c r="GJ505" s="707"/>
      <c r="GK505" s="707"/>
      <c r="GL505" s="707"/>
      <c r="GM505" s="707"/>
      <c r="GN505" s="707"/>
      <c r="GO505" s="707"/>
      <c r="GP505" s="707"/>
      <c r="GQ505" s="707"/>
      <c r="GR505" s="707"/>
      <c r="GS505" s="707"/>
      <c r="GT505" s="707"/>
      <c r="GU505" s="707"/>
      <c r="GV505" s="707"/>
      <c r="GW505" s="707"/>
      <c r="GX505" s="707"/>
      <c r="GY505" s="707"/>
      <c r="GZ505" s="707"/>
      <c r="HA505" s="707"/>
      <c r="HB505" s="707"/>
      <c r="HC505" s="707"/>
      <c r="HD505" s="707"/>
      <c r="HE505" s="707"/>
      <c r="HF505" s="707"/>
      <c r="HG505" s="707"/>
      <c r="HH505" s="707"/>
      <c r="HI505" s="707"/>
      <c r="HJ505" s="707"/>
      <c r="HK505" s="707"/>
      <c r="HL505" s="707"/>
      <c r="HM505" s="707"/>
      <c r="HN505" s="707"/>
      <c r="HO505" s="707"/>
      <c r="HP505" s="707"/>
      <c r="HQ505" s="707"/>
      <c r="HR505" s="707"/>
      <c r="HS505" s="707"/>
      <c r="HT505" s="707"/>
      <c r="HU505" s="707"/>
      <c r="HV505" s="707"/>
      <c r="HW505" s="707"/>
      <c r="HX505" s="707"/>
      <c r="HY505" s="707"/>
      <c r="HZ505" s="707"/>
      <c r="IA505" s="707"/>
      <c r="IB505" s="707"/>
      <c r="IC505" s="707"/>
      <c r="ID505" s="707"/>
      <c r="IE505" s="707"/>
      <c r="IF505" s="707"/>
      <c r="IG505" s="707"/>
      <c r="IH505" s="707"/>
      <c r="II505" s="707"/>
      <c r="IJ505" s="707"/>
      <c r="IK505" s="707"/>
      <c r="IL505" s="707"/>
      <c r="IM505" s="707"/>
      <c r="IN505" s="707"/>
      <c r="IO505" s="707"/>
      <c r="IP505" s="707"/>
      <c r="IQ505" s="707"/>
      <c r="IR505" s="707"/>
      <c r="IS505" s="707"/>
      <c r="IT505" s="707"/>
      <c r="IU505" s="707"/>
      <c r="IV505" s="707"/>
      <c r="IW505" s="707"/>
    </row>
    <row r="506" customFormat="false" ht="12.75" hidden="false" customHeight="false" outlineLevel="1" collapsed="false">
      <c r="A506" s="724"/>
      <c r="B506" s="725"/>
      <c r="C506" s="725"/>
      <c r="D506" s="725"/>
      <c r="E506" s="713"/>
      <c r="F506" s="713"/>
      <c r="G506" s="713"/>
      <c r="H506" s="713"/>
      <c r="I506" s="713"/>
      <c r="J506" s="713"/>
      <c r="K506" s="713"/>
      <c r="L506" s="713"/>
      <c r="M506" s="713"/>
      <c r="N506" s="713"/>
      <c r="O506" s="713"/>
      <c r="P506" s="713"/>
      <c r="Q506" s="713"/>
      <c r="R506" s="713"/>
      <c r="S506" s="713"/>
      <c r="T506" s="713"/>
      <c r="U506" s="713"/>
      <c r="V506" s="713"/>
      <c r="W506" s="713"/>
      <c r="X506" s="713"/>
      <c r="Y506" s="713"/>
      <c r="Z506" s="713"/>
      <c r="AA506" s="722"/>
      <c r="AB506" s="722"/>
      <c r="AC506" s="722"/>
      <c r="AD506" s="722"/>
      <c r="AE506" s="722"/>
      <c r="AF506" s="722"/>
      <c r="AG506" s="722"/>
      <c r="AH506" s="722"/>
      <c r="AI506" s="722"/>
      <c r="AJ506" s="722"/>
      <c r="AK506" s="722"/>
      <c r="AL506" s="722"/>
      <c r="AM506" s="722"/>
      <c r="AN506" s="722"/>
      <c r="AO506" s="722"/>
      <c r="AP506" s="722"/>
      <c r="AQ506" s="722"/>
      <c r="AR506" s="722"/>
      <c r="AS506" s="722"/>
      <c r="AT506" s="722"/>
      <c r="AU506" s="722"/>
      <c r="AV506" s="722"/>
      <c r="AW506" s="722"/>
      <c r="AX506" s="722"/>
      <c r="AY506" s="722"/>
      <c r="AZ506" s="722"/>
      <c r="BA506" s="722"/>
      <c r="BB506" s="722"/>
      <c r="BC506" s="722"/>
      <c r="BD506" s="722"/>
      <c r="BE506" s="722"/>
      <c r="BF506" s="722"/>
      <c r="BG506" s="722"/>
      <c r="BH506" s="722"/>
      <c r="BI506" s="722"/>
      <c r="BJ506" s="722"/>
      <c r="BK506" s="722"/>
      <c r="BL506" s="722"/>
      <c r="BM506" s="722"/>
      <c r="BN506" s="722"/>
      <c r="BO506" s="722"/>
      <c r="BP506" s="722"/>
      <c r="BQ506" s="722"/>
      <c r="BR506" s="722"/>
      <c r="BS506" s="722"/>
      <c r="BT506" s="722"/>
      <c r="BU506" s="722"/>
      <c r="BV506" s="722"/>
      <c r="BW506" s="722"/>
      <c r="BX506" s="722"/>
      <c r="BY506" s="722"/>
      <c r="BZ506" s="722"/>
      <c r="CA506" s="722"/>
      <c r="CB506" s="722"/>
      <c r="CC506" s="722"/>
      <c r="CD506" s="722"/>
      <c r="CE506" s="722"/>
      <c r="CF506" s="722"/>
      <c r="CG506" s="722"/>
      <c r="CH506" s="722"/>
      <c r="CI506" s="722"/>
      <c r="CJ506" s="722"/>
      <c r="CK506" s="722"/>
      <c r="CL506" s="722"/>
      <c r="CM506" s="722"/>
      <c r="CN506" s="722"/>
      <c r="CO506" s="722"/>
      <c r="CP506" s="722"/>
      <c r="CQ506" s="722"/>
      <c r="CR506" s="722"/>
      <c r="CS506" s="722"/>
      <c r="CT506" s="722"/>
      <c r="CU506" s="722"/>
      <c r="CV506" s="722"/>
      <c r="CW506" s="722"/>
      <c r="CX506" s="722"/>
      <c r="CY506" s="722"/>
      <c r="CZ506" s="722"/>
      <c r="DA506" s="722"/>
      <c r="DB506" s="722"/>
      <c r="DC506" s="722"/>
      <c r="DD506" s="722"/>
      <c r="DE506" s="722"/>
      <c r="DF506" s="722"/>
      <c r="DG506" s="722"/>
      <c r="DH506" s="722"/>
      <c r="DI506" s="722"/>
      <c r="DJ506" s="722"/>
      <c r="DK506" s="722"/>
      <c r="DL506" s="722"/>
      <c r="DM506" s="722"/>
      <c r="DN506" s="722"/>
      <c r="DO506" s="722"/>
      <c r="DP506" s="722"/>
      <c r="DQ506" s="722"/>
      <c r="DR506" s="722"/>
      <c r="DS506" s="722"/>
      <c r="DT506" s="722"/>
      <c r="DU506" s="722"/>
      <c r="DV506" s="722"/>
      <c r="DW506" s="722"/>
      <c r="DX506" s="722"/>
      <c r="DY506" s="722"/>
      <c r="DZ506" s="722"/>
      <c r="EA506" s="722"/>
      <c r="EB506" s="722"/>
      <c r="EC506" s="722"/>
      <c r="ED506" s="722"/>
      <c r="EE506" s="722"/>
      <c r="EF506" s="722"/>
      <c r="EG506" s="722"/>
      <c r="EH506" s="722"/>
      <c r="EI506" s="722"/>
      <c r="EJ506" s="722"/>
      <c r="EK506" s="722"/>
      <c r="EL506" s="722"/>
      <c r="EM506" s="722"/>
      <c r="EN506" s="722"/>
      <c r="EO506" s="722"/>
      <c r="EP506" s="722"/>
      <c r="EQ506" s="722"/>
      <c r="ER506" s="722"/>
      <c r="ES506" s="722"/>
      <c r="ET506" s="722"/>
      <c r="EU506" s="722"/>
      <c r="EV506" s="722"/>
      <c r="EW506" s="722"/>
      <c r="EX506" s="722"/>
      <c r="EY506" s="722"/>
      <c r="EZ506" s="722"/>
      <c r="FA506" s="722"/>
      <c r="FB506" s="722"/>
      <c r="FC506" s="722"/>
      <c r="FD506" s="722"/>
      <c r="FE506" s="722"/>
      <c r="FF506" s="722"/>
      <c r="FG506" s="722"/>
      <c r="FH506" s="722"/>
      <c r="FI506" s="722"/>
      <c r="FJ506" s="722"/>
      <c r="FK506" s="722"/>
      <c r="FL506" s="722"/>
      <c r="FM506" s="722"/>
      <c r="FN506" s="722"/>
      <c r="FO506" s="722"/>
      <c r="FP506" s="722"/>
      <c r="FQ506" s="722"/>
      <c r="FR506" s="722"/>
      <c r="FS506" s="722"/>
      <c r="FT506" s="722"/>
      <c r="FU506" s="722"/>
      <c r="FV506" s="722"/>
      <c r="FW506" s="722"/>
      <c r="FX506" s="722"/>
      <c r="FY506" s="722"/>
      <c r="FZ506" s="722"/>
      <c r="GA506" s="722"/>
      <c r="GB506" s="722"/>
      <c r="GC506" s="722"/>
      <c r="GD506" s="722"/>
      <c r="GE506" s="722"/>
      <c r="GF506" s="722"/>
      <c r="GG506" s="722"/>
      <c r="GH506" s="722"/>
      <c r="GI506" s="722"/>
      <c r="GJ506" s="722"/>
      <c r="GK506" s="722"/>
      <c r="GL506" s="722"/>
      <c r="GM506" s="722"/>
      <c r="GN506" s="722"/>
      <c r="GO506" s="722"/>
      <c r="GP506" s="722"/>
      <c r="GQ506" s="722"/>
      <c r="GR506" s="722"/>
      <c r="GS506" s="722"/>
      <c r="GT506" s="722"/>
      <c r="GU506" s="722"/>
      <c r="GV506" s="722"/>
      <c r="GW506" s="722"/>
      <c r="GX506" s="722"/>
      <c r="GY506" s="722"/>
      <c r="GZ506" s="722"/>
      <c r="HA506" s="722"/>
      <c r="HB506" s="722"/>
      <c r="HC506" s="722"/>
      <c r="HD506" s="722"/>
      <c r="HE506" s="722"/>
      <c r="HF506" s="722"/>
      <c r="HG506" s="722"/>
      <c r="HH506" s="722"/>
      <c r="HI506" s="722"/>
      <c r="HJ506" s="722"/>
      <c r="HK506" s="722"/>
      <c r="HL506" s="722"/>
      <c r="HM506" s="722"/>
      <c r="HN506" s="722"/>
      <c r="HO506" s="722"/>
      <c r="HP506" s="722"/>
      <c r="HQ506" s="722"/>
      <c r="HR506" s="722"/>
      <c r="HS506" s="722"/>
      <c r="HT506" s="722"/>
      <c r="HU506" s="722"/>
      <c r="HV506" s="722"/>
      <c r="HW506" s="722"/>
      <c r="HX506" s="722"/>
      <c r="HY506" s="722"/>
      <c r="HZ506" s="722"/>
      <c r="IA506" s="722"/>
      <c r="IB506" s="722"/>
      <c r="IC506" s="722"/>
      <c r="ID506" s="722"/>
      <c r="IE506" s="722"/>
      <c r="IF506" s="722"/>
      <c r="IG506" s="722"/>
      <c r="IH506" s="722"/>
      <c r="II506" s="722"/>
      <c r="IJ506" s="722"/>
      <c r="IK506" s="722"/>
      <c r="IL506" s="722"/>
      <c r="IM506" s="722"/>
      <c r="IN506" s="722"/>
      <c r="IO506" s="722"/>
      <c r="IP506" s="722"/>
      <c r="IQ506" s="722"/>
      <c r="IR506" s="722"/>
      <c r="IS506" s="722"/>
      <c r="IT506" s="722"/>
      <c r="IU506" s="722"/>
      <c r="IV506" s="722"/>
      <c r="IW506" s="722"/>
    </row>
    <row r="507" customFormat="false" ht="12.75" hidden="false" customHeight="false" outlineLevel="1" collapsed="false">
      <c r="A507" s="367"/>
      <c r="B507" s="706"/>
      <c r="C507" s="706"/>
      <c r="D507" s="706"/>
      <c r="E507" s="713"/>
      <c r="F507" s="713"/>
      <c r="G507" s="713"/>
      <c r="H507" s="713"/>
      <c r="I507" s="713"/>
      <c r="J507" s="713"/>
      <c r="K507" s="713"/>
      <c r="L507" s="713"/>
      <c r="M507" s="713"/>
      <c r="N507" s="713"/>
      <c r="O507" s="713"/>
      <c r="P507" s="713"/>
      <c r="Q507" s="713"/>
      <c r="R507" s="713"/>
      <c r="S507" s="713"/>
      <c r="T507" s="713"/>
      <c r="U507" s="713"/>
      <c r="V507" s="713"/>
      <c r="W507" s="713"/>
      <c r="X507" s="713"/>
      <c r="Y507" s="713"/>
      <c r="Z507" s="713"/>
      <c r="AA507" s="707"/>
      <c r="AB507" s="707"/>
      <c r="AC507" s="707"/>
      <c r="AD507" s="707"/>
      <c r="AE507" s="707"/>
      <c r="AF507" s="707"/>
      <c r="AG507" s="707"/>
      <c r="AH507" s="707"/>
      <c r="AI507" s="707"/>
      <c r="AJ507" s="707"/>
      <c r="AK507" s="707"/>
      <c r="AL507" s="707"/>
      <c r="AM507" s="707"/>
      <c r="AN507" s="707"/>
      <c r="AO507" s="707"/>
      <c r="AP507" s="707"/>
      <c r="AQ507" s="707"/>
      <c r="AR507" s="707"/>
      <c r="AS507" s="707"/>
      <c r="AT507" s="707"/>
      <c r="AU507" s="707"/>
      <c r="AV507" s="707"/>
      <c r="AW507" s="707"/>
      <c r="AX507" s="707"/>
      <c r="AY507" s="707"/>
      <c r="AZ507" s="707"/>
      <c r="BA507" s="707"/>
      <c r="BB507" s="707"/>
      <c r="BC507" s="707"/>
      <c r="BD507" s="707"/>
      <c r="BE507" s="707"/>
      <c r="BF507" s="707"/>
      <c r="BG507" s="707"/>
      <c r="BH507" s="707"/>
      <c r="BI507" s="707"/>
      <c r="BJ507" s="707"/>
      <c r="BK507" s="707"/>
      <c r="BL507" s="707"/>
      <c r="BM507" s="707"/>
      <c r="BN507" s="707"/>
      <c r="BO507" s="707"/>
      <c r="BP507" s="707"/>
      <c r="BQ507" s="707"/>
      <c r="BR507" s="707"/>
      <c r="BS507" s="707"/>
      <c r="BT507" s="707"/>
      <c r="BU507" s="707"/>
      <c r="BV507" s="707"/>
      <c r="BW507" s="707"/>
      <c r="BX507" s="707"/>
      <c r="BY507" s="707"/>
      <c r="BZ507" s="707"/>
      <c r="CA507" s="707"/>
      <c r="CB507" s="707"/>
      <c r="CC507" s="707"/>
      <c r="CD507" s="707"/>
      <c r="CE507" s="707"/>
      <c r="CF507" s="707"/>
      <c r="CG507" s="707"/>
      <c r="CH507" s="707"/>
      <c r="CI507" s="707"/>
      <c r="CJ507" s="707"/>
      <c r="CK507" s="707"/>
      <c r="CL507" s="707"/>
      <c r="CM507" s="707"/>
      <c r="CN507" s="707"/>
      <c r="CO507" s="707"/>
      <c r="CP507" s="707"/>
      <c r="CQ507" s="707"/>
      <c r="CR507" s="707"/>
      <c r="CS507" s="707"/>
      <c r="CT507" s="707"/>
      <c r="CU507" s="707"/>
      <c r="CV507" s="707"/>
      <c r="CW507" s="707"/>
      <c r="CX507" s="707"/>
      <c r="CY507" s="707"/>
      <c r="CZ507" s="707"/>
      <c r="DA507" s="707"/>
      <c r="DB507" s="707"/>
      <c r="DC507" s="707"/>
      <c r="DD507" s="707"/>
      <c r="DE507" s="707"/>
      <c r="DF507" s="707"/>
      <c r="DG507" s="707"/>
      <c r="DH507" s="707"/>
      <c r="DI507" s="707"/>
      <c r="DJ507" s="707"/>
      <c r="DK507" s="707"/>
      <c r="DL507" s="707"/>
      <c r="DM507" s="707"/>
      <c r="DN507" s="707"/>
      <c r="DO507" s="707"/>
      <c r="DP507" s="707"/>
      <c r="DQ507" s="707"/>
      <c r="DR507" s="707"/>
      <c r="DS507" s="707"/>
      <c r="DT507" s="707"/>
      <c r="DU507" s="707"/>
      <c r="DV507" s="707"/>
      <c r="DW507" s="707"/>
      <c r="DX507" s="707"/>
      <c r="DY507" s="707"/>
      <c r="DZ507" s="707"/>
      <c r="EA507" s="707"/>
      <c r="EB507" s="707"/>
      <c r="EC507" s="707"/>
      <c r="ED507" s="707"/>
      <c r="EE507" s="707"/>
      <c r="EF507" s="707"/>
      <c r="EG507" s="707"/>
      <c r="EH507" s="707"/>
      <c r="EI507" s="707"/>
      <c r="EJ507" s="707"/>
      <c r="EK507" s="707"/>
      <c r="EL507" s="707"/>
      <c r="EM507" s="707"/>
      <c r="EN507" s="707"/>
      <c r="EO507" s="707"/>
      <c r="EP507" s="707"/>
      <c r="EQ507" s="707"/>
      <c r="ER507" s="707"/>
      <c r="ES507" s="707"/>
      <c r="ET507" s="707"/>
      <c r="EU507" s="707"/>
      <c r="EV507" s="707"/>
      <c r="EW507" s="707"/>
      <c r="EX507" s="707"/>
      <c r="EY507" s="707"/>
      <c r="EZ507" s="707"/>
      <c r="FA507" s="707"/>
      <c r="FB507" s="707"/>
      <c r="FC507" s="707"/>
      <c r="FD507" s="707"/>
      <c r="FE507" s="707"/>
      <c r="FF507" s="707"/>
      <c r="FG507" s="707"/>
      <c r="FH507" s="707"/>
      <c r="FI507" s="707"/>
      <c r="FJ507" s="707"/>
      <c r="FK507" s="707"/>
      <c r="FL507" s="707"/>
      <c r="FM507" s="707"/>
      <c r="FN507" s="707"/>
      <c r="FO507" s="707"/>
      <c r="FP507" s="707"/>
      <c r="FQ507" s="707"/>
      <c r="FR507" s="707"/>
      <c r="FS507" s="707"/>
      <c r="FT507" s="707"/>
      <c r="FU507" s="707"/>
      <c r="FV507" s="707"/>
      <c r="FW507" s="707"/>
      <c r="FX507" s="707"/>
      <c r="FY507" s="707"/>
      <c r="FZ507" s="707"/>
      <c r="GA507" s="707"/>
      <c r="GB507" s="707"/>
      <c r="GC507" s="707"/>
      <c r="GD507" s="707"/>
      <c r="GE507" s="707"/>
      <c r="GF507" s="707"/>
      <c r="GG507" s="707"/>
      <c r="GH507" s="707"/>
      <c r="GI507" s="707"/>
      <c r="GJ507" s="707"/>
      <c r="GK507" s="707"/>
      <c r="GL507" s="707"/>
      <c r="GM507" s="707"/>
      <c r="GN507" s="707"/>
      <c r="GO507" s="707"/>
      <c r="GP507" s="707"/>
      <c r="GQ507" s="707"/>
      <c r="GR507" s="707"/>
      <c r="GS507" s="707"/>
      <c r="GT507" s="707"/>
      <c r="GU507" s="707"/>
      <c r="GV507" s="707"/>
      <c r="GW507" s="707"/>
      <c r="GX507" s="707"/>
      <c r="GY507" s="707"/>
      <c r="GZ507" s="707"/>
      <c r="HA507" s="707"/>
      <c r="HB507" s="707"/>
      <c r="HC507" s="707"/>
      <c r="HD507" s="707"/>
      <c r="HE507" s="707"/>
      <c r="HF507" s="707"/>
      <c r="HG507" s="707"/>
      <c r="HH507" s="707"/>
      <c r="HI507" s="707"/>
      <c r="HJ507" s="707"/>
      <c r="HK507" s="707"/>
      <c r="HL507" s="707"/>
      <c r="HM507" s="707"/>
      <c r="HN507" s="707"/>
      <c r="HO507" s="707"/>
      <c r="HP507" s="707"/>
      <c r="HQ507" s="707"/>
      <c r="HR507" s="707"/>
      <c r="HS507" s="707"/>
      <c r="HT507" s="707"/>
      <c r="HU507" s="707"/>
      <c r="HV507" s="707"/>
      <c r="HW507" s="707"/>
      <c r="HX507" s="707"/>
      <c r="HY507" s="707"/>
      <c r="HZ507" s="707"/>
      <c r="IA507" s="707"/>
      <c r="IB507" s="707"/>
      <c r="IC507" s="707"/>
      <c r="ID507" s="707"/>
      <c r="IE507" s="707"/>
      <c r="IF507" s="707"/>
      <c r="IG507" s="707"/>
      <c r="IH507" s="707"/>
      <c r="II507" s="707"/>
      <c r="IJ507" s="707"/>
      <c r="IK507" s="707"/>
      <c r="IL507" s="707"/>
      <c r="IM507" s="707"/>
      <c r="IN507" s="707"/>
      <c r="IO507" s="707"/>
      <c r="IP507" s="707"/>
      <c r="IQ507" s="707"/>
      <c r="IR507" s="707"/>
      <c r="IS507" s="707"/>
      <c r="IT507" s="707"/>
      <c r="IU507" s="707"/>
      <c r="IV507" s="707"/>
      <c r="IW507" s="707"/>
    </row>
    <row r="508" customFormat="false" ht="12.75" hidden="false" customHeight="false" outlineLevel="1" collapsed="false">
      <c r="A508" s="681"/>
      <c r="B508" s="706"/>
      <c r="C508" s="706"/>
      <c r="D508" s="706"/>
      <c r="E508" s="713"/>
      <c r="F508" s="713"/>
      <c r="G508" s="713"/>
      <c r="H508" s="713"/>
      <c r="I508" s="713"/>
      <c r="J508" s="713"/>
      <c r="K508" s="713"/>
      <c r="L508" s="713"/>
      <c r="M508" s="713"/>
      <c r="N508" s="713"/>
      <c r="O508" s="713"/>
      <c r="P508" s="713"/>
      <c r="Q508" s="713"/>
      <c r="R508" s="713"/>
      <c r="S508" s="713"/>
      <c r="T508" s="713"/>
      <c r="U508" s="713"/>
      <c r="V508" s="713"/>
      <c r="W508" s="713"/>
      <c r="X508" s="713"/>
      <c r="Y508" s="713"/>
      <c r="Z508" s="713"/>
      <c r="AA508" s="707"/>
      <c r="AB508" s="707"/>
      <c r="AC508" s="707"/>
      <c r="AD508" s="707"/>
      <c r="AE508" s="707"/>
      <c r="AF508" s="707"/>
      <c r="AG508" s="707"/>
      <c r="AH508" s="707"/>
      <c r="AI508" s="707"/>
      <c r="AJ508" s="707"/>
      <c r="AK508" s="707"/>
      <c r="AL508" s="707"/>
      <c r="AM508" s="707"/>
      <c r="AN508" s="707"/>
      <c r="AO508" s="707"/>
      <c r="AP508" s="707"/>
      <c r="AQ508" s="707"/>
      <c r="AR508" s="707"/>
      <c r="AS508" s="707"/>
      <c r="AT508" s="707"/>
      <c r="AU508" s="707"/>
      <c r="AV508" s="707"/>
      <c r="AW508" s="707"/>
      <c r="AX508" s="707"/>
      <c r="AY508" s="707"/>
      <c r="AZ508" s="707"/>
      <c r="BA508" s="707"/>
      <c r="BB508" s="707"/>
      <c r="BC508" s="707"/>
      <c r="BD508" s="707"/>
      <c r="BE508" s="707"/>
      <c r="BF508" s="707"/>
      <c r="BG508" s="707"/>
      <c r="BH508" s="707"/>
      <c r="BI508" s="707"/>
      <c r="BJ508" s="707"/>
      <c r="BK508" s="707"/>
      <c r="BL508" s="707"/>
      <c r="BM508" s="707"/>
      <c r="BN508" s="707"/>
      <c r="BO508" s="707"/>
      <c r="BP508" s="707"/>
      <c r="BQ508" s="707"/>
      <c r="BR508" s="707"/>
      <c r="BS508" s="707"/>
      <c r="BT508" s="707"/>
      <c r="BU508" s="707"/>
      <c r="BV508" s="707"/>
      <c r="BW508" s="707"/>
      <c r="BX508" s="707"/>
      <c r="BY508" s="707"/>
      <c r="BZ508" s="707"/>
      <c r="CA508" s="707"/>
      <c r="CB508" s="707"/>
      <c r="CC508" s="707"/>
      <c r="CD508" s="707"/>
      <c r="CE508" s="707"/>
      <c r="CF508" s="707"/>
      <c r="CG508" s="707"/>
      <c r="CH508" s="707"/>
      <c r="CI508" s="707"/>
      <c r="CJ508" s="707"/>
      <c r="CK508" s="707"/>
      <c r="CL508" s="707"/>
      <c r="CM508" s="707"/>
      <c r="CN508" s="707"/>
      <c r="CO508" s="707"/>
      <c r="CP508" s="707"/>
      <c r="CQ508" s="707"/>
      <c r="CR508" s="707"/>
      <c r="CS508" s="707"/>
      <c r="CT508" s="707"/>
      <c r="CU508" s="707"/>
      <c r="CV508" s="707"/>
      <c r="CW508" s="707"/>
      <c r="CX508" s="707"/>
      <c r="CY508" s="707"/>
      <c r="CZ508" s="707"/>
      <c r="DA508" s="707"/>
      <c r="DB508" s="707"/>
      <c r="DC508" s="707"/>
      <c r="DD508" s="707"/>
      <c r="DE508" s="707"/>
      <c r="DF508" s="707"/>
      <c r="DG508" s="707"/>
      <c r="DH508" s="707"/>
      <c r="DI508" s="707"/>
      <c r="DJ508" s="707"/>
      <c r="DK508" s="707"/>
      <c r="DL508" s="707"/>
      <c r="DM508" s="707"/>
      <c r="DN508" s="707"/>
      <c r="DO508" s="707"/>
      <c r="DP508" s="707"/>
      <c r="DQ508" s="707"/>
      <c r="DR508" s="707"/>
      <c r="DS508" s="707"/>
      <c r="DT508" s="707"/>
      <c r="DU508" s="707"/>
      <c r="DV508" s="707"/>
      <c r="DW508" s="707"/>
      <c r="DX508" s="707"/>
      <c r="DY508" s="707"/>
      <c r="DZ508" s="707"/>
      <c r="EA508" s="707"/>
      <c r="EB508" s="707"/>
      <c r="EC508" s="707"/>
      <c r="ED508" s="707"/>
      <c r="EE508" s="707"/>
      <c r="EF508" s="707"/>
      <c r="EG508" s="707"/>
      <c r="EH508" s="707"/>
      <c r="EI508" s="707"/>
      <c r="EJ508" s="707"/>
      <c r="EK508" s="707"/>
      <c r="EL508" s="707"/>
      <c r="EM508" s="707"/>
      <c r="EN508" s="707"/>
      <c r="EO508" s="707"/>
      <c r="EP508" s="707"/>
      <c r="EQ508" s="707"/>
      <c r="ER508" s="707"/>
      <c r="ES508" s="707"/>
      <c r="ET508" s="707"/>
      <c r="EU508" s="707"/>
      <c r="EV508" s="707"/>
      <c r="EW508" s="707"/>
      <c r="EX508" s="707"/>
      <c r="EY508" s="707"/>
      <c r="EZ508" s="707"/>
      <c r="FA508" s="707"/>
      <c r="FB508" s="707"/>
      <c r="FC508" s="707"/>
      <c r="FD508" s="707"/>
      <c r="FE508" s="707"/>
      <c r="FF508" s="707"/>
      <c r="FG508" s="707"/>
      <c r="FH508" s="707"/>
      <c r="FI508" s="707"/>
      <c r="FJ508" s="707"/>
      <c r="FK508" s="707"/>
      <c r="FL508" s="707"/>
      <c r="FM508" s="707"/>
      <c r="FN508" s="707"/>
      <c r="FO508" s="707"/>
      <c r="FP508" s="707"/>
      <c r="FQ508" s="707"/>
      <c r="FR508" s="707"/>
      <c r="FS508" s="707"/>
      <c r="FT508" s="707"/>
      <c r="FU508" s="707"/>
      <c r="FV508" s="707"/>
      <c r="FW508" s="707"/>
      <c r="FX508" s="707"/>
      <c r="FY508" s="707"/>
      <c r="FZ508" s="707"/>
      <c r="GA508" s="707"/>
      <c r="GB508" s="707"/>
      <c r="GC508" s="707"/>
      <c r="GD508" s="707"/>
      <c r="GE508" s="707"/>
      <c r="GF508" s="707"/>
      <c r="GG508" s="707"/>
      <c r="GH508" s="707"/>
      <c r="GI508" s="707"/>
      <c r="GJ508" s="707"/>
      <c r="GK508" s="707"/>
      <c r="GL508" s="707"/>
      <c r="GM508" s="707"/>
      <c r="GN508" s="707"/>
      <c r="GO508" s="707"/>
      <c r="GP508" s="707"/>
      <c r="GQ508" s="707"/>
      <c r="GR508" s="707"/>
      <c r="GS508" s="707"/>
      <c r="GT508" s="707"/>
      <c r="GU508" s="707"/>
      <c r="GV508" s="707"/>
      <c r="GW508" s="707"/>
      <c r="GX508" s="707"/>
      <c r="GY508" s="707"/>
      <c r="GZ508" s="707"/>
      <c r="HA508" s="707"/>
      <c r="HB508" s="707"/>
      <c r="HC508" s="707"/>
      <c r="HD508" s="707"/>
      <c r="HE508" s="707"/>
      <c r="HF508" s="707"/>
      <c r="HG508" s="707"/>
      <c r="HH508" s="707"/>
      <c r="HI508" s="707"/>
      <c r="HJ508" s="707"/>
      <c r="HK508" s="707"/>
      <c r="HL508" s="707"/>
      <c r="HM508" s="707"/>
      <c r="HN508" s="707"/>
      <c r="HO508" s="707"/>
      <c r="HP508" s="707"/>
      <c r="HQ508" s="707"/>
      <c r="HR508" s="707"/>
      <c r="HS508" s="707"/>
      <c r="HT508" s="707"/>
      <c r="HU508" s="707"/>
      <c r="HV508" s="707"/>
      <c r="HW508" s="707"/>
      <c r="HX508" s="707"/>
      <c r="HY508" s="707"/>
      <c r="HZ508" s="707"/>
      <c r="IA508" s="707"/>
      <c r="IB508" s="707"/>
      <c r="IC508" s="707"/>
      <c r="ID508" s="707"/>
      <c r="IE508" s="707"/>
      <c r="IF508" s="707"/>
      <c r="IG508" s="707"/>
      <c r="IH508" s="707"/>
      <c r="II508" s="707"/>
      <c r="IJ508" s="707"/>
      <c r="IK508" s="707"/>
      <c r="IL508" s="707"/>
      <c r="IM508" s="707"/>
      <c r="IN508" s="707"/>
      <c r="IO508" s="707"/>
      <c r="IP508" s="707"/>
      <c r="IQ508" s="707"/>
      <c r="IR508" s="707"/>
      <c r="IS508" s="707"/>
      <c r="IT508" s="707"/>
      <c r="IU508" s="707"/>
      <c r="IV508" s="707"/>
      <c r="IW508" s="707"/>
    </row>
    <row r="509" customFormat="false" ht="12.75" hidden="false" customHeight="false" outlineLevel="1" collapsed="false">
      <c r="A509" s="681"/>
      <c r="B509" s="706"/>
      <c r="C509" s="706"/>
      <c r="D509" s="706"/>
      <c r="E509" s="713"/>
      <c r="F509" s="713"/>
      <c r="G509" s="713"/>
      <c r="H509" s="713"/>
      <c r="I509" s="713"/>
      <c r="J509" s="713"/>
      <c r="K509" s="713"/>
      <c r="L509" s="713"/>
      <c r="M509" s="713"/>
      <c r="N509" s="713"/>
      <c r="O509" s="713"/>
      <c r="P509" s="713"/>
      <c r="Q509" s="713"/>
      <c r="R509" s="713"/>
      <c r="S509" s="713"/>
      <c r="T509" s="713"/>
      <c r="U509" s="713"/>
      <c r="V509" s="713"/>
      <c r="W509" s="713"/>
      <c r="X509" s="713"/>
      <c r="Y509" s="713"/>
      <c r="Z509" s="713"/>
      <c r="AA509" s="707"/>
      <c r="AB509" s="707"/>
      <c r="AC509" s="707"/>
      <c r="AD509" s="707"/>
      <c r="AE509" s="707"/>
      <c r="AF509" s="707"/>
      <c r="AG509" s="707"/>
      <c r="AH509" s="707"/>
      <c r="AI509" s="707"/>
      <c r="AJ509" s="707"/>
      <c r="AK509" s="707"/>
      <c r="AL509" s="707"/>
      <c r="AM509" s="707"/>
      <c r="AN509" s="707"/>
      <c r="AO509" s="707"/>
      <c r="AP509" s="707"/>
      <c r="AQ509" s="707"/>
      <c r="AR509" s="707"/>
      <c r="AS509" s="707"/>
      <c r="AT509" s="707"/>
      <c r="AU509" s="707"/>
      <c r="AV509" s="707"/>
      <c r="AW509" s="707"/>
      <c r="AX509" s="707"/>
      <c r="AY509" s="707"/>
      <c r="AZ509" s="707"/>
      <c r="BA509" s="707"/>
      <c r="BB509" s="707"/>
      <c r="BC509" s="707"/>
      <c r="BD509" s="707"/>
      <c r="BE509" s="707"/>
      <c r="BF509" s="707"/>
      <c r="BG509" s="707"/>
      <c r="BH509" s="707"/>
      <c r="BI509" s="707"/>
      <c r="BJ509" s="707"/>
      <c r="BK509" s="707"/>
      <c r="BL509" s="707"/>
      <c r="BM509" s="707"/>
      <c r="BN509" s="707"/>
      <c r="BO509" s="707"/>
      <c r="BP509" s="707"/>
      <c r="BQ509" s="707"/>
      <c r="BR509" s="707"/>
      <c r="BS509" s="707"/>
      <c r="BT509" s="707"/>
      <c r="BU509" s="707"/>
      <c r="BV509" s="707"/>
      <c r="BW509" s="707"/>
      <c r="BX509" s="707"/>
      <c r="BY509" s="707"/>
      <c r="BZ509" s="707"/>
      <c r="CA509" s="707"/>
      <c r="CB509" s="707"/>
      <c r="CC509" s="707"/>
      <c r="CD509" s="707"/>
      <c r="CE509" s="707"/>
      <c r="CF509" s="707"/>
      <c r="CG509" s="707"/>
      <c r="CH509" s="707"/>
      <c r="CI509" s="707"/>
      <c r="CJ509" s="707"/>
      <c r="CK509" s="707"/>
      <c r="CL509" s="707"/>
      <c r="CM509" s="707"/>
      <c r="CN509" s="707"/>
      <c r="CO509" s="707"/>
      <c r="CP509" s="707"/>
      <c r="CQ509" s="707"/>
      <c r="CR509" s="707"/>
      <c r="CS509" s="707"/>
      <c r="CT509" s="707"/>
      <c r="CU509" s="707"/>
      <c r="CV509" s="707"/>
      <c r="CW509" s="707"/>
      <c r="CX509" s="707"/>
      <c r="CY509" s="707"/>
      <c r="CZ509" s="707"/>
      <c r="DA509" s="707"/>
      <c r="DB509" s="707"/>
      <c r="DC509" s="707"/>
      <c r="DD509" s="707"/>
      <c r="DE509" s="707"/>
      <c r="DF509" s="707"/>
      <c r="DG509" s="707"/>
      <c r="DH509" s="707"/>
      <c r="DI509" s="707"/>
      <c r="DJ509" s="707"/>
      <c r="DK509" s="707"/>
      <c r="DL509" s="707"/>
      <c r="DM509" s="707"/>
      <c r="DN509" s="707"/>
      <c r="DO509" s="707"/>
      <c r="DP509" s="707"/>
      <c r="DQ509" s="707"/>
      <c r="DR509" s="707"/>
      <c r="DS509" s="707"/>
      <c r="DT509" s="707"/>
      <c r="DU509" s="707"/>
      <c r="DV509" s="707"/>
      <c r="DW509" s="707"/>
      <c r="DX509" s="707"/>
      <c r="DY509" s="707"/>
      <c r="DZ509" s="707"/>
      <c r="EA509" s="707"/>
      <c r="EB509" s="707"/>
      <c r="EC509" s="707"/>
      <c r="ED509" s="707"/>
      <c r="EE509" s="707"/>
      <c r="EF509" s="707"/>
      <c r="EG509" s="707"/>
      <c r="EH509" s="707"/>
      <c r="EI509" s="707"/>
      <c r="EJ509" s="707"/>
      <c r="EK509" s="707"/>
      <c r="EL509" s="707"/>
      <c r="EM509" s="707"/>
      <c r="EN509" s="707"/>
      <c r="EO509" s="707"/>
      <c r="EP509" s="707"/>
      <c r="EQ509" s="707"/>
      <c r="ER509" s="707"/>
      <c r="ES509" s="707"/>
      <c r="ET509" s="707"/>
      <c r="EU509" s="707"/>
      <c r="EV509" s="707"/>
      <c r="EW509" s="707"/>
      <c r="EX509" s="707"/>
      <c r="EY509" s="707"/>
      <c r="EZ509" s="707"/>
      <c r="FA509" s="707"/>
      <c r="FB509" s="707"/>
      <c r="FC509" s="707"/>
      <c r="FD509" s="707"/>
      <c r="FE509" s="707"/>
      <c r="FF509" s="707"/>
      <c r="FG509" s="707"/>
      <c r="FH509" s="707"/>
      <c r="FI509" s="707"/>
      <c r="FJ509" s="707"/>
      <c r="FK509" s="707"/>
      <c r="FL509" s="707"/>
      <c r="FM509" s="707"/>
      <c r="FN509" s="707"/>
      <c r="FO509" s="707"/>
      <c r="FP509" s="707"/>
      <c r="FQ509" s="707"/>
      <c r="FR509" s="707"/>
      <c r="FS509" s="707"/>
      <c r="FT509" s="707"/>
      <c r="FU509" s="707"/>
      <c r="FV509" s="707"/>
      <c r="FW509" s="707"/>
      <c r="FX509" s="707"/>
      <c r="FY509" s="707"/>
      <c r="FZ509" s="707"/>
      <c r="GA509" s="707"/>
      <c r="GB509" s="707"/>
      <c r="GC509" s="707"/>
      <c r="GD509" s="707"/>
      <c r="GE509" s="707"/>
      <c r="GF509" s="707"/>
      <c r="GG509" s="707"/>
      <c r="GH509" s="707"/>
      <c r="GI509" s="707"/>
      <c r="GJ509" s="707"/>
      <c r="GK509" s="707"/>
      <c r="GL509" s="707"/>
      <c r="GM509" s="707"/>
      <c r="GN509" s="707"/>
      <c r="GO509" s="707"/>
      <c r="GP509" s="707"/>
      <c r="GQ509" s="707"/>
      <c r="GR509" s="707"/>
      <c r="GS509" s="707"/>
      <c r="GT509" s="707"/>
      <c r="GU509" s="707"/>
      <c r="GV509" s="707"/>
      <c r="GW509" s="707"/>
      <c r="GX509" s="707"/>
      <c r="GY509" s="707"/>
      <c r="GZ509" s="707"/>
      <c r="HA509" s="707"/>
      <c r="HB509" s="707"/>
      <c r="HC509" s="707"/>
      <c r="HD509" s="707"/>
      <c r="HE509" s="707"/>
      <c r="HF509" s="707"/>
      <c r="HG509" s="707"/>
      <c r="HH509" s="707"/>
      <c r="HI509" s="707"/>
      <c r="HJ509" s="707"/>
      <c r="HK509" s="707"/>
      <c r="HL509" s="707"/>
      <c r="HM509" s="707"/>
      <c r="HN509" s="707"/>
      <c r="HO509" s="707"/>
      <c r="HP509" s="707"/>
      <c r="HQ509" s="707"/>
      <c r="HR509" s="707"/>
      <c r="HS509" s="707"/>
      <c r="HT509" s="707"/>
      <c r="HU509" s="707"/>
      <c r="HV509" s="707"/>
      <c r="HW509" s="707"/>
      <c r="HX509" s="707"/>
      <c r="HY509" s="707"/>
      <c r="HZ509" s="707"/>
      <c r="IA509" s="707"/>
      <c r="IB509" s="707"/>
      <c r="IC509" s="707"/>
      <c r="ID509" s="707"/>
      <c r="IE509" s="707"/>
      <c r="IF509" s="707"/>
      <c r="IG509" s="707"/>
      <c r="IH509" s="707"/>
      <c r="II509" s="707"/>
      <c r="IJ509" s="707"/>
      <c r="IK509" s="707"/>
      <c r="IL509" s="707"/>
      <c r="IM509" s="707"/>
      <c r="IN509" s="707"/>
      <c r="IO509" s="707"/>
      <c r="IP509" s="707"/>
      <c r="IQ509" s="707"/>
      <c r="IR509" s="707"/>
      <c r="IS509" s="707"/>
      <c r="IT509" s="707"/>
      <c r="IU509" s="707"/>
      <c r="IV509" s="707"/>
      <c r="IW509" s="707"/>
    </row>
    <row r="510" customFormat="false" ht="12.75" hidden="false" customHeight="false" outlineLevel="1" collapsed="false">
      <c r="A510" s="681"/>
      <c r="B510" s="706"/>
      <c r="C510" s="706"/>
      <c r="D510" s="706"/>
      <c r="E510" s="713"/>
      <c r="F510" s="713"/>
      <c r="G510" s="713"/>
      <c r="H510" s="713"/>
      <c r="I510" s="713"/>
      <c r="J510" s="713"/>
      <c r="K510" s="713"/>
      <c r="L510" s="713"/>
      <c r="M510" s="713"/>
      <c r="N510" s="713"/>
      <c r="O510" s="713"/>
      <c r="P510" s="713"/>
      <c r="Q510" s="713"/>
      <c r="R510" s="713"/>
      <c r="S510" s="713"/>
      <c r="T510" s="713"/>
      <c r="U510" s="713"/>
      <c r="V510" s="713"/>
      <c r="W510" s="713"/>
      <c r="X510" s="713"/>
      <c r="Y510" s="713"/>
      <c r="Z510" s="713"/>
      <c r="AA510" s="707"/>
      <c r="AB510" s="707"/>
      <c r="AC510" s="707"/>
      <c r="AD510" s="707"/>
      <c r="AE510" s="707"/>
      <c r="AF510" s="707"/>
      <c r="AG510" s="707"/>
      <c r="AH510" s="707"/>
      <c r="AI510" s="707"/>
      <c r="AJ510" s="707"/>
      <c r="AK510" s="707"/>
      <c r="AL510" s="707"/>
      <c r="AM510" s="707"/>
      <c r="AN510" s="707"/>
      <c r="AO510" s="707"/>
      <c r="AP510" s="707"/>
      <c r="AQ510" s="707"/>
      <c r="AR510" s="707"/>
      <c r="AS510" s="707"/>
      <c r="AT510" s="707"/>
      <c r="AU510" s="707"/>
      <c r="AV510" s="707"/>
      <c r="AW510" s="707"/>
      <c r="AX510" s="707"/>
      <c r="AY510" s="707"/>
      <c r="AZ510" s="707"/>
      <c r="BA510" s="707"/>
      <c r="BB510" s="707"/>
      <c r="BC510" s="707"/>
      <c r="BD510" s="707"/>
      <c r="BE510" s="707"/>
      <c r="BF510" s="707"/>
      <c r="BG510" s="707"/>
      <c r="BH510" s="707"/>
      <c r="BI510" s="707"/>
      <c r="BJ510" s="707"/>
      <c r="BK510" s="707"/>
      <c r="BL510" s="707"/>
      <c r="BM510" s="707"/>
      <c r="BN510" s="707"/>
      <c r="BO510" s="707"/>
      <c r="BP510" s="707"/>
      <c r="BQ510" s="707"/>
      <c r="BR510" s="707"/>
      <c r="BS510" s="707"/>
      <c r="BT510" s="707"/>
      <c r="BU510" s="707"/>
      <c r="BV510" s="707"/>
      <c r="BW510" s="707"/>
      <c r="BX510" s="707"/>
      <c r="BY510" s="707"/>
      <c r="BZ510" s="707"/>
      <c r="CA510" s="707"/>
      <c r="CB510" s="707"/>
      <c r="CC510" s="707"/>
      <c r="CD510" s="707"/>
      <c r="CE510" s="707"/>
      <c r="CF510" s="707"/>
      <c r="CG510" s="707"/>
      <c r="CH510" s="707"/>
      <c r="CI510" s="707"/>
      <c r="CJ510" s="707"/>
      <c r="CK510" s="707"/>
      <c r="CL510" s="707"/>
      <c r="CM510" s="707"/>
      <c r="CN510" s="707"/>
      <c r="CO510" s="707"/>
      <c r="CP510" s="707"/>
      <c r="CQ510" s="707"/>
      <c r="CR510" s="707"/>
      <c r="CS510" s="707"/>
      <c r="CT510" s="707"/>
      <c r="CU510" s="707"/>
      <c r="CV510" s="707"/>
      <c r="CW510" s="707"/>
      <c r="CX510" s="707"/>
      <c r="CY510" s="707"/>
      <c r="CZ510" s="707"/>
      <c r="DA510" s="707"/>
      <c r="DB510" s="707"/>
      <c r="DC510" s="707"/>
      <c r="DD510" s="707"/>
      <c r="DE510" s="707"/>
      <c r="DF510" s="707"/>
      <c r="DG510" s="707"/>
      <c r="DH510" s="707"/>
      <c r="DI510" s="707"/>
      <c r="DJ510" s="707"/>
      <c r="DK510" s="707"/>
      <c r="DL510" s="707"/>
      <c r="DM510" s="707"/>
      <c r="DN510" s="707"/>
      <c r="DO510" s="707"/>
      <c r="DP510" s="707"/>
      <c r="DQ510" s="707"/>
      <c r="DR510" s="707"/>
      <c r="DS510" s="707"/>
      <c r="DT510" s="707"/>
      <c r="DU510" s="707"/>
      <c r="DV510" s="707"/>
      <c r="DW510" s="707"/>
      <c r="DX510" s="707"/>
      <c r="DY510" s="707"/>
      <c r="DZ510" s="707"/>
      <c r="EA510" s="707"/>
      <c r="EB510" s="707"/>
      <c r="EC510" s="707"/>
      <c r="ED510" s="707"/>
      <c r="EE510" s="707"/>
      <c r="EF510" s="707"/>
      <c r="EG510" s="707"/>
      <c r="EH510" s="707"/>
      <c r="EI510" s="707"/>
      <c r="EJ510" s="707"/>
      <c r="EK510" s="707"/>
      <c r="EL510" s="707"/>
      <c r="EM510" s="707"/>
      <c r="EN510" s="707"/>
      <c r="EO510" s="707"/>
      <c r="EP510" s="707"/>
      <c r="EQ510" s="707"/>
      <c r="ER510" s="707"/>
      <c r="ES510" s="707"/>
      <c r="ET510" s="707"/>
      <c r="EU510" s="707"/>
      <c r="EV510" s="707"/>
      <c r="EW510" s="707"/>
      <c r="EX510" s="707"/>
      <c r="EY510" s="707"/>
      <c r="EZ510" s="707"/>
      <c r="FA510" s="707"/>
      <c r="FB510" s="707"/>
      <c r="FC510" s="707"/>
      <c r="FD510" s="707"/>
      <c r="FE510" s="707"/>
      <c r="FF510" s="707"/>
      <c r="FG510" s="707"/>
      <c r="FH510" s="707"/>
      <c r="FI510" s="707"/>
      <c r="FJ510" s="707"/>
      <c r="FK510" s="707"/>
      <c r="FL510" s="707"/>
      <c r="FM510" s="707"/>
      <c r="FN510" s="707"/>
      <c r="FO510" s="707"/>
      <c r="FP510" s="707"/>
      <c r="FQ510" s="707"/>
      <c r="FR510" s="707"/>
      <c r="FS510" s="707"/>
      <c r="FT510" s="707"/>
      <c r="FU510" s="707"/>
      <c r="FV510" s="707"/>
      <c r="FW510" s="707"/>
      <c r="FX510" s="707"/>
      <c r="FY510" s="707"/>
      <c r="FZ510" s="707"/>
      <c r="GA510" s="707"/>
      <c r="GB510" s="707"/>
      <c r="GC510" s="707"/>
      <c r="GD510" s="707"/>
      <c r="GE510" s="707"/>
      <c r="GF510" s="707"/>
      <c r="GG510" s="707"/>
      <c r="GH510" s="707"/>
      <c r="GI510" s="707"/>
      <c r="GJ510" s="707"/>
      <c r="GK510" s="707"/>
      <c r="GL510" s="707"/>
      <c r="GM510" s="707"/>
      <c r="GN510" s="707"/>
      <c r="GO510" s="707"/>
      <c r="GP510" s="707"/>
      <c r="GQ510" s="707"/>
      <c r="GR510" s="707"/>
      <c r="GS510" s="707"/>
      <c r="GT510" s="707"/>
      <c r="GU510" s="707"/>
      <c r="GV510" s="707"/>
      <c r="GW510" s="707"/>
      <c r="GX510" s="707"/>
      <c r="GY510" s="707"/>
      <c r="GZ510" s="707"/>
      <c r="HA510" s="707"/>
      <c r="HB510" s="707"/>
      <c r="HC510" s="707"/>
      <c r="HD510" s="707"/>
      <c r="HE510" s="707"/>
      <c r="HF510" s="707"/>
      <c r="HG510" s="707"/>
      <c r="HH510" s="707"/>
      <c r="HI510" s="707"/>
      <c r="HJ510" s="707"/>
      <c r="HK510" s="707"/>
      <c r="HL510" s="707"/>
      <c r="HM510" s="707"/>
      <c r="HN510" s="707"/>
      <c r="HO510" s="707"/>
      <c r="HP510" s="707"/>
      <c r="HQ510" s="707"/>
      <c r="HR510" s="707"/>
      <c r="HS510" s="707"/>
      <c r="HT510" s="707"/>
      <c r="HU510" s="707"/>
      <c r="HV510" s="707"/>
      <c r="HW510" s="707"/>
      <c r="HX510" s="707"/>
      <c r="HY510" s="707"/>
      <c r="HZ510" s="707"/>
      <c r="IA510" s="707"/>
      <c r="IB510" s="707"/>
      <c r="IC510" s="707"/>
      <c r="ID510" s="707"/>
      <c r="IE510" s="707"/>
      <c r="IF510" s="707"/>
      <c r="IG510" s="707"/>
      <c r="IH510" s="707"/>
      <c r="II510" s="707"/>
      <c r="IJ510" s="707"/>
      <c r="IK510" s="707"/>
      <c r="IL510" s="707"/>
      <c r="IM510" s="707"/>
      <c r="IN510" s="707"/>
      <c r="IO510" s="707"/>
      <c r="IP510" s="707"/>
      <c r="IQ510" s="707"/>
      <c r="IR510" s="707"/>
      <c r="IS510" s="707"/>
      <c r="IT510" s="707"/>
      <c r="IU510" s="707"/>
      <c r="IV510" s="707"/>
      <c r="IW510" s="707"/>
    </row>
    <row r="511" customFormat="false" ht="12.75" hidden="false" customHeight="false" outlineLevel="1" collapsed="false">
      <c r="A511" s="367"/>
      <c r="B511" s="706"/>
      <c r="C511" s="706"/>
      <c r="D511" s="706"/>
      <c r="E511" s="713"/>
      <c r="F511" s="713"/>
      <c r="G511" s="713"/>
      <c r="H511" s="713"/>
      <c r="I511" s="713"/>
      <c r="J511" s="713"/>
      <c r="K511" s="713"/>
      <c r="L511" s="713"/>
      <c r="M511" s="713"/>
      <c r="N511" s="713"/>
      <c r="O511" s="713"/>
      <c r="P511" s="713"/>
      <c r="Q511" s="713"/>
      <c r="R511" s="713"/>
      <c r="S511" s="713"/>
      <c r="T511" s="713"/>
      <c r="U511" s="713"/>
      <c r="V511" s="713"/>
      <c r="W511" s="713"/>
      <c r="X511" s="713"/>
      <c r="Y511" s="713"/>
      <c r="Z511" s="713"/>
      <c r="AA511" s="707"/>
      <c r="AB511" s="707"/>
      <c r="AC511" s="707"/>
      <c r="AD511" s="707"/>
      <c r="AE511" s="707"/>
      <c r="AF511" s="707"/>
      <c r="AG511" s="707"/>
      <c r="AH511" s="707"/>
      <c r="AI511" s="707"/>
      <c r="AJ511" s="707"/>
      <c r="AK511" s="707"/>
      <c r="AL511" s="707"/>
      <c r="AM511" s="707"/>
      <c r="AN511" s="707"/>
      <c r="AO511" s="707"/>
      <c r="AP511" s="707"/>
      <c r="AQ511" s="707"/>
      <c r="AR511" s="707"/>
      <c r="AS511" s="707"/>
      <c r="AT511" s="707"/>
      <c r="AU511" s="707"/>
      <c r="AV511" s="707"/>
      <c r="AW511" s="707"/>
      <c r="AX511" s="707"/>
      <c r="AY511" s="707"/>
      <c r="AZ511" s="707"/>
      <c r="BA511" s="707"/>
      <c r="BB511" s="707"/>
      <c r="BC511" s="707"/>
      <c r="BD511" s="707"/>
      <c r="BE511" s="707"/>
      <c r="BF511" s="707"/>
      <c r="BG511" s="707"/>
      <c r="BH511" s="707"/>
      <c r="BI511" s="707"/>
      <c r="BJ511" s="707"/>
      <c r="BK511" s="707"/>
      <c r="BL511" s="707"/>
      <c r="BM511" s="707"/>
      <c r="BN511" s="707"/>
      <c r="BO511" s="707"/>
      <c r="BP511" s="707"/>
      <c r="BQ511" s="707"/>
      <c r="BR511" s="707"/>
      <c r="BS511" s="707"/>
      <c r="BT511" s="707"/>
      <c r="BU511" s="707"/>
      <c r="BV511" s="707"/>
      <c r="BW511" s="707"/>
      <c r="BX511" s="707"/>
      <c r="BY511" s="707"/>
      <c r="BZ511" s="707"/>
      <c r="CA511" s="707"/>
      <c r="CB511" s="707"/>
      <c r="CC511" s="707"/>
      <c r="CD511" s="707"/>
      <c r="CE511" s="707"/>
      <c r="CF511" s="707"/>
      <c r="CG511" s="707"/>
      <c r="CH511" s="707"/>
      <c r="CI511" s="707"/>
      <c r="CJ511" s="707"/>
      <c r="CK511" s="707"/>
      <c r="CL511" s="707"/>
      <c r="CM511" s="707"/>
      <c r="CN511" s="707"/>
      <c r="CO511" s="707"/>
      <c r="CP511" s="707"/>
      <c r="CQ511" s="707"/>
      <c r="CR511" s="707"/>
      <c r="CS511" s="707"/>
      <c r="CT511" s="707"/>
      <c r="CU511" s="707"/>
      <c r="CV511" s="707"/>
      <c r="CW511" s="707"/>
      <c r="CX511" s="707"/>
      <c r="CY511" s="707"/>
      <c r="CZ511" s="707"/>
      <c r="DA511" s="707"/>
      <c r="DB511" s="707"/>
      <c r="DC511" s="707"/>
      <c r="DD511" s="707"/>
      <c r="DE511" s="707"/>
      <c r="DF511" s="707"/>
      <c r="DG511" s="707"/>
      <c r="DH511" s="707"/>
      <c r="DI511" s="707"/>
      <c r="DJ511" s="707"/>
      <c r="DK511" s="707"/>
      <c r="DL511" s="707"/>
      <c r="DM511" s="707"/>
      <c r="DN511" s="707"/>
      <c r="DO511" s="707"/>
      <c r="DP511" s="707"/>
      <c r="DQ511" s="707"/>
      <c r="DR511" s="707"/>
      <c r="DS511" s="707"/>
      <c r="DT511" s="707"/>
      <c r="DU511" s="707"/>
      <c r="DV511" s="707"/>
      <c r="DW511" s="707"/>
      <c r="DX511" s="707"/>
      <c r="DY511" s="707"/>
      <c r="DZ511" s="707"/>
      <c r="EA511" s="707"/>
      <c r="EB511" s="707"/>
      <c r="EC511" s="707"/>
      <c r="ED511" s="707"/>
      <c r="EE511" s="707"/>
      <c r="EF511" s="707"/>
      <c r="EG511" s="707"/>
      <c r="EH511" s="707"/>
      <c r="EI511" s="707"/>
      <c r="EJ511" s="707"/>
      <c r="EK511" s="707"/>
      <c r="EL511" s="707"/>
      <c r="EM511" s="707"/>
      <c r="EN511" s="707"/>
      <c r="EO511" s="707"/>
      <c r="EP511" s="707"/>
      <c r="EQ511" s="707"/>
      <c r="ER511" s="707"/>
      <c r="ES511" s="707"/>
      <c r="ET511" s="707"/>
      <c r="EU511" s="707"/>
      <c r="EV511" s="707"/>
      <c r="EW511" s="707"/>
      <c r="EX511" s="707"/>
      <c r="EY511" s="707"/>
      <c r="EZ511" s="707"/>
      <c r="FA511" s="707"/>
      <c r="FB511" s="707"/>
      <c r="FC511" s="707"/>
      <c r="FD511" s="707"/>
      <c r="FE511" s="707"/>
      <c r="FF511" s="707"/>
      <c r="FG511" s="707"/>
      <c r="FH511" s="707"/>
      <c r="FI511" s="707"/>
      <c r="FJ511" s="707"/>
      <c r="FK511" s="707"/>
      <c r="FL511" s="707"/>
      <c r="FM511" s="707"/>
      <c r="FN511" s="707"/>
      <c r="FO511" s="707"/>
      <c r="FP511" s="707"/>
      <c r="FQ511" s="707"/>
      <c r="FR511" s="707"/>
      <c r="FS511" s="707"/>
      <c r="FT511" s="707"/>
      <c r="FU511" s="707"/>
      <c r="FV511" s="707"/>
      <c r="FW511" s="707"/>
      <c r="FX511" s="707"/>
      <c r="FY511" s="707"/>
      <c r="FZ511" s="707"/>
      <c r="GA511" s="707"/>
      <c r="GB511" s="707"/>
      <c r="GC511" s="707"/>
      <c r="GD511" s="707"/>
      <c r="GE511" s="707"/>
      <c r="GF511" s="707"/>
      <c r="GG511" s="707"/>
      <c r="GH511" s="707"/>
      <c r="GI511" s="707"/>
      <c r="GJ511" s="707"/>
      <c r="GK511" s="707"/>
      <c r="GL511" s="707"/>
      <c r="GM511" s="707"/>
      <c r="GN511" s="707"/>
      <c r="GO511" s="707"/>
      <c r="GP511" s="707"/>
      <c r="GQ511" s="707"/>
      <c r="GR511" s="707"/>
      <c r="GS511" s="707"/>
      <c r="GT511" s="707"/>
      <c r="GU511" s="707"/>
      <c r="GV511" s="707"/>
      <c r="GW511" s="707"/>
      <c r="GX511" s="707"/>
      <c r="GY511" s="707"/>
      <c r="GZ511" s="707"/>
      <c r="HA511" s="707"/>
      <c r="HB511" s="707"/>
      <c r="HC511" s="707"/>
      <c r="HD511" s="707"/>
      <c r="HE511" s="707"/>
      <c r="HF511" s="707"/>
      <c r="HG511" s="707"/>
      <c r="HH511" s="707"/>
      <c r="HI511" s="707"/>
      <c r="HJ511" s="707"/>
      <c r="HK511" s="707"/>
      <c r="HL511" s="707"/>
      <c r="HM511" s="707"/>
      <c r="HN511" s="707"/>
      <c r="HO511" s="707"/>
      <c r="HP511" s="707"/>
      <c r="HQ511" s="707"/>
      <c r="HR511" s="707"/>
      <c r="HS511" s="707"/>
      <c r="HT511" s="707"/>
      <c r="HU511" s="707"/>
      <c r="HV511" s="707"/>
      <c r="HW511" s="707"/>
      <c r="HX511" s="707"/>
      <c r="HY511" s="707"/>
      <c r="HZ511" s="707"/>
      <c r="IA511" s="707"/>
      <c r="IB511" s="707"/>
      <c r="IC511" s="707"/>
      <c r="ID511" s="707"/>
      <c r="IE511" s="707"/>
      <c r="IF511" s="707"/>
      <c r="IG511" s="707"/>
      <c r="IH511" s="707"/>
      <c r="II511" s="707"/>
      <c r="IJ511" s="707"/>
      <c r="IK511" s="707"/>
      <c r="IL511" s="707"/>
      <c r="IM511" s="707"/>
      <c r="IN511" s="707"/>
      <c r="IO511" s="707"/>
      <c r="IP511" s="707"/>
      <c r="IQ511" s="707"/>
      <c r="IR511" s="707"/>
      <c r="IS511" s="707"/>
      <c r="IT511" s="707"/>
      <c r="IU511" s="707"/>
      <c r="IV511" s="707"/>
      <c r="IW511" s="707"/>
    </row>
    <row r="512" customFormat="false" ht="12.75" hidden="false" customHeight="false" outlineLevel="1" collapsed="false">
      <c r="A512" s="720"/>
      <c r="B512" s="725"/>
      <c r="C512" s="725"/>
      <c r="D512" s="725"/>
      <c r="E512" s="713"/>
      <c r="F512" s="713"/>
      <c r="G512" s="713"/>
      <c r="H512" s="713"/>
      <c r="I512" s="713"/>
      <c r="J512" s="713"/>
      <c r="K512" s="713"/>
      <c r="L512" s="713"/>
      <c r="M512" s="713"/>
      <c r="N512" s="713"/>
      <c r="O512" s="713"/>
      <c r="P512" s="713"/>
      <c r="Q512" s="713"/>
      <c r="R512" s="713"/>
      <c r="S512" s="713"/>
      <c r="T512" s="713"/>
      <c r="U512" s="713"/>
      <c r="V512" s="713"/>
      <c r="W512" s="713"/>
      <c r="X512" s="713"/>
      <c r="Y512" s="713"/>
      <c r="Z512" s="713"/>
      <c r="AA512" s="722"/>
      <c r="AB512" s="722"/>
      <c r="AC512" s="722"/>
      <c r="AD512" s="722"/>
      <c r="AE512" s="722"/>
      <c r="AF512" s="722"/>
      <c r="AG512" s="722"/>
      <c r="AH512" s="722"/>
      <c r="AI512" s="722"/>
      <c r="AJ512" s="722"/>
      <c r="AK512" s="722"/>
      <c r="AL512" s="722"/>
      <c r="AM512" s="722"/>
      <c r="AN512" s="722"/>
      <c r="AO512" s="722"/>
      <c r="AP512" s="722"/>
      <c r="AQ512" s="722"/>
      <c r="AR512" s="722"/>
      <c r="AS512" s="722"/>
      <c r="AT512" s="722"/>
      <c r="AU512" s="722"/>
      <c r="AV512" s="722"/>
      <c r="AW512" s="722"/>
      <c r="AX512" s="722"/>
      <c r="AY512" s="722"/>
      <c r="AZ512" s="722"/>
      <c r="BA512" s="722"/>
      <c r="BB512" s="722"/>
      <c r="BC512" s="722"/>
      <c r="BD512" s="722"/>
      <c r="BE512" s="722"/>
      <c r="BF512" s="722"/>
      <c r="BG512" s="722"/>
      <c r="BH512" s="722"/>
      <c r="BI512" s="722"/>
      <c r="BJ512" s="722"/>
      <c r="BK512" s="722"/>
      <c r="BL512" s="722"/>
      <c r="BM512" s="722"/>
      <c r="BN512" s="722"/>
      <c r="BO512" s="722"/>
      <c r="BP512" s="722"/>
      <c r="BQ512" s="722"/>
      <c r="BR512" s="722"/>
      <c r="BS512" s="722"/>
      <c r="BT512" s="722"/>
      <c r="BU512" s="722"/>
      <c r="BV512" s="722"/>
      <c r="BW512" s="722"/>
      <c r="BX512" s="722"/>
      <c r="BY512" s="722"/>
      <c r="BZ512" s="722"/>
      <c r="CA512" s="722"/>
      <c r="CB512" s="722"/>
      <c r="CC512" s="722"/>
      <c r="CD512" s="722"/>
      <c r="CE512" s="722"/>
      <c r="CF512" s="722"/>
      <c r="CG512" s="722"/>
      <c r="CH512" s="722"/>
      <c r="CI512" s="722"/>
      <c r="CJ512" s="722"/>
      <c r="CK512" s="722"/>
      <c r="CL512" s="722"/>
      <c r="CM512" s="722"/>
      <c r="CN512" s="722"/>
      <c r="CO512" s="722"/>
      <c r="CP512" s="722"/>
      <c r="CQ512" s="722"/>
      <c r="CR512" s="722"/>
      <c r="CS512" s="722"/>
      <c r="CT512" s="722"/>
      <c r="CU512" s="722"/>
      <c r="CV512" s="722"/>
      <c r="CW512" s="722"/>
      <c r="CX512" s="722"/>
      <c r="CY512" s="722"/>
      <c r="CZ512" s="722"/>
      <c r="DA512" s="722"/>
      <c r="DB512" s="722"/>
      <c r="DC512" s="722"/>
      <c r="DD512" s="722"/>
      <c r="DE512" s="722"/>
      <c r="DF512" s="722"/>
      <c r="DG512" s="722"/>
      <c r="DH512" s="722"/>
      <c r="DI512" s="722"/>
      <c r="DJ512" s="722"/>
      <c r="DK512" s="722"/>
      <c r="DL512" s="722"/>
      <c r="DM512" s="722"/>
      <c r="DN512" s="722"/>
      <c r="DO512" s="722"/>
      <c r="DP512" s="722"/>
      <c r="DQ512" s="722"/>
      <c r="DR512" s="722"/>
      <c r="DS512" s="722"/>
      <c r="DT512" s="722"/>
      <c r="DU512" s="722"/>
      <c r="DV512" s="722"/>
      <c r="DW512" s="722"/>
      <c r="DX512" s="722"/>
      <c r="DY512" s="722"/>
      <c r="DZ512" s="722"/>
      <c r="EA512" s="722"/>
      <c r="EB512" s="722"/>
      <c r="EC512" s="722"/>
      <c r="ED512" s="722"/>
      <c r="EE512" s="722"/>
      <c r="EF512" s="722"/>
      <c r="EG512" s="722"/>
      <c r="EH512" s="722"/>
      <c r="EI512" s="722"/>
      <c r="EJ512" s="722"/>
      <c r="EK512" s="722"/>
      <c r="EL512" s="722"/>
      <c r="EM512" s="722"/>
      <c r="EN512" s="722"/>
      <c r="EO512" s="722"/>
      <c r="EP512" s="722"/>
      <c r="EQ512" s="722"/>
      <c r="ER512" s="722"/>
      <c r="ES512" s="722"/>
      <c r="ET512" s="722"/>
      <c r="EU512" s="722"/>
      <c r="EV512" s="722"/>
      <c r="EW512" s="722"/>
      <c r="EX512" s="722"/>
      <c r="EY512" s="722"/>
      <c r="EZ512" s="722"/>
      <c r="FA512" s="722"/>
      <c r="FB512" s="722"/>
      <c r="FC512" s="722"/>
      <c r="FD512" s="722"/>
      <c r="FE512" s="722"/>
      <c r="FF512" s="722"/>
      <c r="FG512" s="722"/>
      <c r="FH512" s="722"/>
      <c r="FI512" s="722"/>
      <c r="FJ512" s="722"/>
      <c r="FK512" s="722"/>
      <c r="FL512" s="722"/>
      <c r="FM512" s="722"/>
      <c r="FN512" s="722"/>
      <c r="FO512" s="722"/>
      <c r="FP512" s="722"/>
      <c r="FQ512" s="722"/>
      <c r="FR512" s="722"/>
      <c r="FS512" s="722"/>
      <c r="FT512" s="722"/>
      <c r="FU512" s="722"/>
      <c r="FV512" s="722"/>
      <c r="FW512" s="722"/>
      <c r="FX512" s="722"/>
      <c r="FY512" s="722"/>
      <c r="FZ512" s="722"/>
      <c r="GA512" s="722"/>
      <c r="GB512" s="722"/>
      <c r="GC512" s="722"/>
      <c r="GD512" s="722"/>
      <c r="GE512" s="722"/>
      <c r="GF512" s="722"/>
      <c r="GG512" s="722"/>
      <c r="GH512" s="722"/>
      <c r="GI512" s="722"/>
      <c r="GJ512" s="722"/>
      <c r="GK512" s="722"/>
      <c r="GL512" s="722"/>
      <c r="GM512" s="722"/>
      <c r="GN512" s="722"/>
      <c r="GO512" s="722"/>
      <c r="GP512" s="722"/>
      <c r="GQ512" s="722"/>
      <c r="GR512" s="722"/>
      <c r="GS512" s="722"/>
      <c r="GT512" s="722"/>
      <c r="GU512" s="722"/>
      <c r="GV512" s="722"/>
      <c r="GW512" s="722"/>
      <c r="GX512" s="722"/>
      <c r="GY512" s="722"/>
      <c r="GZ512" s="722"/>
      <c r="HA512" s="722"/>
      <c r="HB512" s="722"/>
      <c r="HC512" s="722"/>
      <c r="HD512" s="722"/>
      <c r="HE512" s="722"/>
      <c r="HF512" s="722"/>
      <c r="HG512" s="722"/>
      <c r="HH512" s="722"/>
      <c r="HI512" s="722"/>
      <c r="HJ512" s="722"/>
      <c r="HK512" s="722"/>
      <c r="HL512" s="722"/>
      <c r="HM512" s="722"/>
      <c r="HN512" s="722"/>
      <c r="HO512" s="722"/>
      <c r="HP512" s="722"/>
      <c r="HQ512" s="722"/>
      <c r="HR512" s="722"/>
      <c r="HS512" s="722"/>
      <c r="HT512" s="722"/>
      <c r="HU512" s="722"/>
      <c r="HV512" s="722"/>
      <c r="HW512" s="722"/>
      <c r="HX512" s="722"/>
      <c r="HY512" s="722"/>
      <c r="HZ512" s="722"/>
      <c r="IA512" s="722"/>
      <c r="IB512" s="722"/>
      <c r="IC512" s="722"/>
      <c r="ID512" s="722"/>
      <c r="IE512" s="722"/>
      <c r="IF512" s="722"/>
      <c r="IG512" s="722"/>
      <c r="IH512" s="722"/>
      <c r="II512" s="722"/>
      <c r="IJ512" s="722"/>
      <c r="IK512" s="722"/>
      <c r="IL512" s="722"/>
      <c r="IM512" s="722"/>
      <c r="IN512" s="722"/>
      <c r="IO512" s="722"/>
      <c r="IP512" s="722"/>
      <c r="IQ512" s="722"/>
      <c r="IR512" s="722"/>
      <c r="IS512" s="722"/>
      <c r="IT512" s="722"/>
      <c r="IU512" s="722"/>
      <c r="IV512" s="722"/>
      <c r="IW512" s="722"/>
    </row>
    <row r="513" customFormat="false" ht="12.75" hidden="false" customHeight="false" outlineLevel="1" collapsed="false">
      <c r="A513" s="367"/>
      <c r="B513" s="726"/>
      <c r="C513" s="726"/>
      <c r="D513" s="726"/>
      <c r="E513" s="713"/>
      <c r="F513" s="713"/>
      <c r="G513" s="713"/>
      <c r="H513" s="713"/>
      <c r="I513" s="713"/>
      <c r="J513" s="713"/>
      <c r="K513" s="713"/>
      <c r="L513" s="713"/>
      <c r="M513" s="713"/>
      <c r="N513" s="713"/>
      <c r="O513" s="713"/>
      <c r="P513" s="713"/>
      <c r="Q513" s="713"/>
      <c r="R513" s="713"/>
      <c r="S513" s="713"/>
      <c r="T513" s="713"/>
      <c r="U513" s="713"/>
      <c r="V513" s="713"/>
      <c r="W513" s="713"/>
      <c r="X513" s="713"/>
      <c r="Y513" s="713"/>
      <c r="Z513" s="713"/>
      <c r="AA513" s="707"/>
      <c r="AB513" s="707"/>
      <c r="AC513" s="707"/>
      <c r="AD513" s="707"/>
      <c r="AE513" s="707"/>
      <c r="AF513" s="707"/>
      <c r="AG513" s="707"/>
      <c r="AH513" s="707"/>
      <c r="AI513" s="707"/>
      <c r="AJ513" s="707"/>
      <c r="AK513" s="707"/>
      <c r="AL513" s="707"/>
      <c r="AM513" s="707"/>
      <c r="AN513" s="707"/>
      <c r="AO513" s="707"/>
      <c r="AP513" s="707"/>
      <c r="AQ513" s="707"/>
      <c r="AR513" s="707"/>
      <c r="AS513" s="707"/>
      <c r="AT513" s="707"/>
      <c r="AU513" s="707"/>
      <c r="AV513" s="707"/>
      <c r="AW513" s="707"/>
      <c r="AX513" s="707"/>
      <c r="AY513" s="707"/>
      <c r="AZ513" s="707"/>
      <c r="BA513" s="707"/>
      <c r="BB513" s="707"/>
      <c r="BC513" s="707"/>
      <c r="BD513" s="707"/>
      <c r="BE513" s="707"/>
      <c r="BF513" s="707"/>
      <c r="BG513" s="707"/>
      <c r="BH513" s="707"/>
      <c r="BI513" s="707"/>
      <c r="BJ513" s="707"/>
      <c r="BK513" s="707"/>
      <c r="BL513" s="707"/>
      <c r="BM513" s="707"/>
      <c r="BN513" s="707"/>
      <c r="BO513" s="707"/>
      <c r="BP513" s="707"/>
      <c r="BQ513" s="707"/>
      <c r="BR513" s="707"/>
      <c r="BS513" s="707"/>
      <c r="BT513" s="707"/>
      <c r="BU513" s="707"/>
      <c r="BV513" s="707"/>
      <c r="BW513" s="707"/>
      <c r="BX513" s="707"/>
      <c r="BY513" s="707"/>
      <c r="BZ513" s="707"/>
      <c r="CA513" s="707"/>
      <c r="CB513" s="707"/>
      <c r="CC513" s="707"/>
      <c r="CD513" s="707"/>
      <c r="CE513" s="707"/>
      <c r="CF513" s="707"/>
      <c r="CG513" s="707"/>
      <c r="CH513" s="707"/>
      <c r="CI513" s="707"/>
      <c r="CJ513" s="707"/>
      <c r="CK513" s="707"/>
      <c r="CL513" s="707"/>
      <c r="CM513" s="707"/>
      <c r="CN513" s="707"/>
      <c r="CO513" s="707"/>
      <c r="CP513" s="707"/>
      <c r="CQ513" s="707"/>
      <c r="CR513" s="707"/>
      <c r="CS513" s="707"/>
      <c r="CT513" s="707"/>
      <c r="CU513" s="707"/>
      <c r="CV513" s="707"/>
      <c r="CW513" s="707"/>
      <c r="CX513" s="707"/>
      <c r="CY513" s="707"/>
      <c r="CZ513" s="707"/>
      <c r="DA513" s="707"/>
      <c r="DB513" s="707"/>
      <c r="DC513" s="707"/>
      <c r="DD513" s="707"/>
      <c r="DE513" s="707"/>
      <c r="DF513" s="707"/>
      <c r="DG513" s="707"/>
      <c r="DH513" s="707"/>
      <c r="DI513" s="707"/>
      <c r="DJ513" s="707"/>
      <c r="DK513" s="707"/>
      <c r="DL513" s="707"/>
      <c r="DM513" s="707"/>
      <c r="DN513" s="707"/>
      <c r="DO513" s="707"/>
      <c r="DP513" s="707"/>
      <c r="DQ513" s="707"/>
      <c r="DR513" s="707"/>
      <c r="DS513" s="707"/>
      <c r="DT513" s="707"/>
      <c r="DU513" s="707"/>
      <c r="DV513" s="707"/>
      <c r="DW513" s="707"/>
      <c r="DX513" s="707"/>
      <c r="DY513" s="707"/>
      <c r="DZ513" s="707"/>
      <c r="EA513" s="707"/>
      <c r="EB513" s="707"/>
      <c r="EC513" s="707"/>
      <c r="ED513" s="707"/>
      <c r="EE513" s="707"/>
      <c r="EF513" s="707"/>
      <c r="EG513" s="707"/>
      <c r="EH513" s="707"/>
      <c r="EI513" s="707"/>
      <c r="EJ513" s="707"/>
      <c r="EK513" s="707"/>
      <c r="EL513" s="707"/>
      <c r="EM513" s="707"/>
      <c r="EN513" s="707"/>
      <c r="EO513" s="707"/>
      <c r="EP513" s="707"/>
      <c r="EQ513" s="707"/>
      <c r="ER513" s="707"/>
      <c r="ES513" s="707"/>
      <c r="ET513" s="707"/>
      <c r="EU513" s="707"/>
      <c r="EV513" s="707"/>
      <c r="EW513" s="707"/>
      <c r="EX513" s="707"/>
      <c r="EY513" s="707"/>
      <c r="EZ513" s="707"/>
      <c r="FA513" s="707"/>
      <c r="FB513" s="707"/>
      <c r="FC513" s="707"/>
      <c r="FD513" s="707"/>
      <c r="FE513" s="707"/>
      <c r="FF513" s="707"/>
      <c r="FG513" s="707"/>
      <c r="FH513" s="707"/>
      <c r="FI513" s="707"/>
      <c r="FJ513" s="707"/>
      <c r="FK513" s="707"/>
      <c r="FL513" s="707"/>
      <c r="FM513" s="707"/>
      <c r="FN513" s="707"/>
      <c r="FO513" s="707"/>
      <c r="FP513" s="707"/>
      <c r="FQ513" s="707"/>
      <c r="FR513" s="707"/>
      <c r="FS513" s="707"/>
      <c r="FT513" s="707"/>
      <c r="FU513" s="707"/>
      <c r="FV513" s="707"/>
      <c r="FW513" s="707"/>
      <c r="FX513" s="707"/>
      <c r="FY513" s="707"/>
      <c r="FZ513" s="707"/>
      <c r="GA513" s="707"/>
      <c r="GB513" s="707"/>
      <c r="GC513" s="707"/>
      <c r="GD513" s="707"/>
      <c r="GE513" s="707"/>
      <c r="GF513" s="707"/>
      <c r="GG513" s="707"/>
      <c r="GH513" s="707"/>
      <c r="GI513" s="707"/>
      <c r="GJ513" s="707"/>
      <c r="GK513" s="707"/>
      <c r="GL513" s="707"/>
      <c r="GM513" s="707"/>
      <c r="GN513" s="707"/>
      <c r="GO513" s="707"/>
      <c r="GP513" s="707"/>
      <c r="GQ513" s="707"/>
      <c r="GR513" s="707"/>
      <c r="GS513" s="707"/>
      <c r="GT513" s="707"/>
      <c r="GU513" s="707"/>
      <c r="GV513" s="707"/>
      <c r="GW513" s="707"/>
      <c r="GX513" s="707"/>
      <c r="GY513" s="707"/>
      <c r="GZ513" s="707"/>
      <c r="HA513" s="707"/>
      <c r="HB513" s="707"/>
      <c r="HC513" s="707"/>
      <c r="HD513" s="707"/>
      <c r="HE513" s="707"/>
      <c r="HF513" s="707"/>
      <c r="HG513" s="707"/>
      <c r="HH513" s="707"/>
      <c r="HI513" s="707"/>
      <c r="HJ513" s="707"/>
      <c r="HK513" s="707"/>
      <c r="HL513" s="707"/>
      <c r="HM513" s="707"/>
      <c r="HN513" s="707"/>
      <c r="HO513" s="707"/>
      <c r="HP513" s="707"/>
      <c r="HQ513" s="707"/>
      <c r="HR513" s="707"/>
      <c r="HS513" s="707"/>
      <c r="HT513" s="707"/>
      <c r="HU513" s="707"/>
      <c r="HV513" s="707"/>
      <c r="HW513" s="707"/>
      <c r="HX513" s="707"/>
      <c r="HY513" s="707"/>
      <c r="HZ513" s="707"/>
      <c r="IA513" s="707"/>
      <c r="IB513" s="707"/>
      <c r="IC513" s="707"/>
      <c r="ID513" s="707"/>
      <c r="IE513" s="707"/>
      <c r="IF513" s="707"/>
      <c r="IG513" s="707"/>
      <c r="IH513" s="707"/>
      <c r="II513" s="707"/>
      <c r="IJ513" s="707"/>
      <c r="IK513" s="707"/>
      <c r="IL513" s="707"/>
      <c r="IM513" s="707"/>
      <c r="IN513" s="707"/>
      <c r="IO513" s="707"/>
      <c r="IP513" s="707"/>
      <c r="IQ513" s="707"/>
      <c r="IR513" s="707"/>
      <c r="IS513" s="707"/>
      <c r="IT513" s="707"/>
      <c r="IU513" s="707"/>
      <c r="IV513" s="707"/>
      <c r="IW513" s="707"/>
    </row>
    <row r="514" customFormat="false" ht="12.75" hidden="false" customHeight="false" outlineLevel="1" collapsed="false">
      <c r="A514" s="681"/>
      <c r="B514" s="726"/>
      <c r="C514" s="726"/>
      <c r="D514" s="726"/>
      <c r="E514" s="713"/>
      <c r="F514" s="713"/>
      <c r="G514" s="713"/>
      <c r="H514" s="713"/>
      <c r="I514" s="713"/>
      <c r="J514" s="713"/>
      <c r="K514" s="713"/>
      <c r="L514" s="713"/>
      <c r="M514" s="713"/>
      <c r="N514" s="713"/>
      <c r="O514" s="713"/>
      <c r="P514" s="713"/>
      <c r="Q514" s="713"/>
      <c r="R514" s="713"/>
      <c r="S514" s="713"/>
      <c r="T514" s="713"/>
      <c r="U514" s="713"/>
      <c r="V514" s="713"/>
      <c r="W514" s="713"/>
      <c r="X514" s="713"/>
      <c r="Y514" s="713"/>
      <c r="Z514" s="713"/>
      <c r="AA514" s="707"/>
      <c r="AB514" s="707"/>
      <c r="AC514" s="707"/>
      <c r="AD514" s="707"/>
      <c r="AE514" s="707"/>
      <c r="AF514" s="707"/>
      <c r="AG514" s="707"/>
      <c r="AH514" s="707"/>
      <c r="AI514" s="707"/>
      <c r="AJ514" s="707"/>
      <c r="AK514" s="707"/>
      <c r="AL514" s="707"/>
      <c r="AM514" s="707"/>
      <c r="AN514" s="707"/>
      <c r="AO514" s="707"/>
      <c r="AP514" s="707"/>
      <c r="AQ514" s="707"/>
      <c r="AR514" s="707"/>
      <c r="AS514" s="707"/>
      <c r="AT514" s="707"/>
      <c r="AU514" s="707"/>
      <c r="AV514" s="707"/>
      <c r="AW514" s="707"/>
      <c r="AX514" s="707"/>
      <c r="AY514" s="707"/>
      <c r="AZ514" s="707"/>
      <c r="BA514" s="707"/>
      <c r="BB514" s="707"/>
      <c r="BC514" s="707"/>
      <c r="BD514" s="707"/>
      <c r="BE514" s="707"/>
      <c r="BF514" s="707"/>
      <c r="BG514" s="707"/>
      <c r="BH514" s="707"/>
      <c r="BI514" s="707"/>
      <c r="BJ514" s="707"/>
      <c r="BK514" s="707"/>
      <c r="BL514" s="707"/>
      <c r="BM514" s="707"/>
      <c r="BN514" s="707"/>
      <c r="BO514" s="707"/>
      <c r="BP514" s="707"/>
      <c r="BQ514" s="707"/>
      <c r="BR514" s="707"/>
      <c r="BS514" s="707"/>
      <c r="BT514" s="707"/>
      <c r="BU514" s="707"/>
      <c r="BV514" s="707"/>
      <c r="BW514" s="707"/>
      <c r="BX514" s="707"/>
      <c r="BY514" s="707"/>
      <c r="BZ514" s="707"/>
      <c r="CA514" s="707"/>
      <c r="CB514" s="707"/>
      <c r="CC514" s="707"/>
      <c r="CD514" s="707"/>
      <c r="CE514" s="707"/>
      <c r="CF514" s="707"/>
      <c r="CG514" s="707"/>
      <c r="CH514" s="707"/>
      <c r="CI514" s="707"/>
      <c r="CJ514" s="707"/>
      <c r="CK514" s="707"/>
      <c r="CL514" s="707"/>
      <c r="CM514" s="707"/>
      <c r="CN514" s="707"/>
      <c r="CO514" s="707"/>
      <c r="CP514" s="707"/>
      <c r="CQ514" s="707"/>
      <c r="CR514" s="707"/>
      <c r="CS514" s="707"/>
      <c r="CT514" s="707"/>
      <c r="CU514" s="707"/>
      <c r="CV514" s="707"/>
      <c r="CW514" s="707"/>
      <c r="CX514" s="707"/>
      <c r="CY514" s="707"/>
      <c r="CZ514" s="707"/>
      <c r="DA514" s="707"/>
      <c r="DB514" s="707"/>
      <c r="DC514" s="707"/>
      <c r="DD514" s="707"/>
      <c r="DE514" s="707"/>
      <c r="DF514" s="707"/>
      <c r="DG514" s="707"/>
      <c r="DH514" s="707"/>
      <c r="DI514" s="707"/>
      <c r="DJ514" s="707"/>
      <c r="DK514" s="707"/>
      <c r="DL514" s="707"/>
      <c r="DM514" s="707"/>
      <c r="DN514" s="707"/>
      <c r="DO514" s="707"/>
      <c r="DP514" s="707"/>
      <c r="DQ514" s="707"/>
      <c r="DR514" s="707"/>
      <c r="DS514" s="707"/>
      <c r="DT514" s="707"/>
      <c r="DU514" s="707"/>
      <c r="DV514" s="707"/>
      <c r="DW514" s="707"/>
      <c r="DX514" s="707"/>
      <c r="DY514" s="707"/>
      <c r="DZ514" s="707"/>
      <c r="EA514" s="707"/>
      <c r="EB514" s="707"/>
      <c r="EC514" s="707"/>
      <c r="ED514" s="707"/>
      <c r="EE514" s="707"/>
      <c r="EF514" s="707"/>
      <c r="EG514" s="707"/>
      <c r="EH514" s="707"/>
      <c r="EI514" s="707"/>
      <c r="EJ514" s="707"/>
      <c r="EK514" s="707"/>
      <c r="EL514" s="707"/>
      <c r="EM514" s="707"/>
      <c r="EN514" s="707"/>
      <c r="EO514" s="707"/>
      <c r="EP514" s="707"/>
      <c r="EQ514" s="707"/>
      <c r="ER514" s="707"/>
      <c r="ES514" s="707"/>
      <c r="ET514" s="707"/>
      <c r="EU514" s="707"/>
      <c r="EV514" s="707"/>
      <c r="EW514" s="707"/>
      <c r="EX514" s="707"/>
      <c r="EY514" s="707"/>
      <c r="EZ514" s="707"/>
      <c r="FA514" s="707"/>
      <c r="FB514" s="707"/>
      <c r="FC514" s="707"/>
      <c r="FD514" s="707"/>
      <c r="FE514" s="707"/>
      <c r="FF514" s="707"/>
      <c r="FG514" s="707"/>
      <c r="FH514" s="707"/>
      <c r="FI514" s="707"/>
      <c r="FJ514" s="707"/>
      <c r="FK514" s="707"/>
      <c r="FL514" s="707"/>
      <c r="FM514" s="707"/>
      <c r="FN514" s="707"/>
      <c r="FO514" s="707"/>
      <c r="FP514" s="707"/>
      <c r="FQ514" s="707"/>
      <c r="FR514" s="707"/>
      <c r="FS514" s="707"/>
      <c r="FT514" s="707"/>
      <c r="FU514" s="707"/>
      <c r="FV514" s="707"/>
      <c r="FW514" s="707"/>
      <c r="FX514" s="707"/>
      <c r="FY514" s="707"/>
      <c r="FZ514" s="707"/>
      <c r="GA514" s="707"/>
      <c r="GB514" s="707"/>
      <c r="GC514" s="707"/>
      <c r="GD514" s="707"/>
      <c r="GE514" s="707"/>
      <c r="GF514" s="707"/>
      <c r="GG514" s="707"/>
      <c r="GH514" s="707"/>
      <c r="GI514" s="707"/>
      <c r="GJ514" s="707"/>
      <c r="GK514" s="707"/>
      <c r="GL514" s="707"/>
      <c r="GM514" s="707"/>
      <c r="GN514" s="707"/>
      <c r="GO514" s="707"/>
      <c r="GP514" s="707"/>
      <c r="GQ514" s="707"/>
      <c r="GR514" s="707"/>
      <c r="GS514" s="707"/>
      <c r="GT514" s="707"/>
      <c r="GU514" s="707"/>
      <c r="GV514" s="707"/>
      <c r="GW514" s="707"/>
      <c r="GX514" s="707"/>
      <c r="GY514" s="707"/>
      <c r="GZ514" s="707"/>
      <c r="HA514" s="707"/>
      <c r="HB514" s="707"/>
      <c r="HC514" s="707"/>
      <c r="HD514" s="707"/>
      <c r="HE514" s="707"/>
      <c r="HF514" s="707"/>
      <c r="HG514" s="707"/>
      <c r="HH514" s="707"/>
      <c r="HI514" s="707"/>
      <c r="HJ514" s="707"/>
      <c r="HK514" s="707"/>
      <c r="HL514" s="707"/>
      <c r="HM514" s="707"/>
      <c r="HN514" s="707"/>
      <c r="HO514" s="707"/>
      <c r="HP514" s="707"/>
      <c r="HQ514" s="707"/>
      <c r="HR514" s="707"/>
      <c r="HS514" s="707"/>
      <c r="HT514" s="707"/>
      <c r="HU514" s="707"/>
      <c r="HV514" s="707"/>
      <c r="HW514" s="707"/>
      <c r="HX514" s="707"/>
      <c r="HY514" s="707"/>
      <c r="HZ514" s="707"/>
      <c r="IA514" s="707"/>
      <c r="IB514" s="707"/>
      <c r="IC514" s="707"/>
      <c r="ID514" s="707"/>
      <c r="IE514" s="707"/>
      <c r="IF514" s="707"/>
      <c r="IG514" s="707"/>
      <c r="IH514" s="707"/>
      <c r="II514" s="707"/>
      <c r="IJ514" s="707"/>
      <c r="IK514" s="707"/>
      <c r="IL514" s="707"/>
      <c r="IM514" s="707"/>
      <c r="IN514" s="707"/>
      <c r="IO514" s="707"/>
      <c r="IP514" s="707"/>
      <c r="IQ514" s="707"/>
      <c r="IR514" s="707"/>
      <c r="IS514" s="707"/>
      <c r="IT514" s="707"/>
      <c r="IU514" s="707"/>
      <c r="IV514" s="707"/>
      <c r="IW514" s="707"/>
    </row>
    <row r="515" customFormat="false" ht="12.75" hidden="false" customHeight="false" outlineLevel="1" collapsed="false">
      <c r="A515" s="366"/>
      <c r="B515" s="719"/>
      <c r="C515" s="719"/>
      <c r="D515" s="719"/>
      <c r="E515" s="713"/>
      <c r="F515" s="713"/>
      <c r="G515" s="713"/>
      <c r="H515" s="713"/>
      <c r="I515" s="713"/>
      <c r="J515" s="713"/>
      <c r="K515" s="713"/>
      <c r="L515" s="713"/>
      <c r="M515" s="713"/>
      <c r="N515" s="713"/>
      <c r="O515" s="713"/>
      <c r="P515" s="713"/>
      <c r="Q515" s="713"/>
      <c r="R515" s="713"/>
      <c r="S515" s="713"/>
      <c r="T515" s="713"/>
      <c r="U515" s="713"/>
      <c r="V515" s="713"/>
      <c r="W515" s="713"/>
      <c r="X515" s="713"/>
      <c r="Y515" s="713"/>
      <c r="Z515" s="713"/>
      <c r="AA515" s="707"/>
      <c r="AB515" s="707"/>
      <c r="AC515" s="707"/>
      <c r="AD515" s="707"/>
      <c r="AE515" s="707"/>
      <c r="AF515" s="707"/>
      <c r="AG515" s="707"/>
      <c r="AH515" s="707"/>
      <c r="AI515" s="707"/>
      <c r="AJ515" s="707"/>
      <c r="AK515" s="707"/>
      <c r="AL515" s="707"/>
      <c r="AM515" s="707"/>
      <c r="AN515" s="707"/>
      <c r="AO515" s="707"/>
      <c r="AP515" s="707"/>
      <c r="AQ515" s="707"/>
      <c r="AR515" s="707"/>
      <c r="AS515" s="707"/>
      <c r="AT515" s="707"/>
      <c r="AU515" s="707"/>
      <c r="AV515" s="707"/>
      <c r="AW515" s="707"/>
      <c r="AX515" s="707"/>
      <c r="AY515" s="707"/>
      <c r="AZ515" s="707"/>
      <c r="BA515" s="707"/>
      <c r="BB515" s="707"/>
      <c r="BC515" s="707"/>
      <c r="BD515" s="707"/>
      <c r="BE515" s="707"/>
      <c r="BF515" s="707"/>
      <c r="BG515" s="707"/>
      <c r="BH515" s="707"/>
      <c r="BI515" s="707"/>
      <c r="BJ515" s="707"/>
      <c r="BK515" s="707"/>
      <c r="BL515" s="707"/>
      <c r="BM515" s="707"/>
      <c r="BN515" s="707"/>
      <c r="BO515" s="707"/>
      <c r="BP515" s="707"/>
      <c r="BQ515" s="707"/>
      <c r="BR515" s="707"/>
      <c r="BS515" s="707"/>
      <c r="BT515" s="707"/>
      <c r="BU515" s="707"/>
      <c r="BV515" s="707"/>
      <c r="BW515" s="707"/>
      <c r="BX515" s="707"/>
      <c r="BY515" s="707"/>
      <c r="BZ515" s="707"/>
      <c r="CA515" s="707"/>
      <c r="CB515" s="707"/>
      <c r="CC515" s="707"/>
      <c r="CD515" s="707"/>
      <c r="CE515" s="707"/>
      <c r="CF515" s="707"/>
      <c r="CG515" s="707"/>
      <c r="CH515" s="707"/>
      <c r="CI515" s="707"/>
      <c r="CJ515" s="707"/>
      <c r="CK515" s="707"/>
      <c r="CL515" s="707"/>
      <c r="CM515" s="707"/>
      <c r="CN515" s="707"/>
      <c r="CO515" s="707"/>
      <c r="CP515" s="707"/>
      <c r="CQ515" s="707"/>
      <c r="CR515" s="707"/>
      <c r="CS515" s="707"/>
      <c r="CT515" s="707"/>
      <c r="CU515" s="707"/>
      <c r="CV515" s="707"/>
      <c r="CW515" s="707"/>
      <c r="CX515" s="707"/>
      <c r="CY515" s="707"/>
      <c r="CZ515" s="707"/>
      <c r="DA515" s="707"/>
      <c r="DB515" s="707"/>
      <c r="DC515" s="707"/>
      <c r="DD515" s="707"/>
      <c r="DE515" s="707"/>
      <c r="DF515" s="707"/>
      <c r="DG515" s="707"/>
      <c r="DH515" s="707"/>
      <c r="DI515" s="707"/>
      <c r="DJ515" s="707"/>
      <c r="DK515" s="707"/>
      <c r="DL515" s="707"/>
      <c r="DM515" s="707"/>
      <c r="DN515" s="707"/>
      <c r="DO515" s="707"/>
      <c r="DP515" s="707"/>
      <c r="DQ515" s="707"/>
      <c r="DR515" s="707"/>
      <c r="DS515" s="707"/>
      <c r="DT515" s="707"/>
      <c r="DU515" s="707"/>
      <c r="DV515" s="707"/>
      <c r="DW515" s="707"/>
      <c r="DX515" s="707"/>
      <c r="DY515" s="707"/>
      <c r="DZ515" s="707"/>
      <c r="EA515" s="707"/>
      <c r="EB515" s="707"/>
      <c r="EC515" s="707"/>
      <c r="ED515" s="707"/>
      <c r="EE515" s="707"/>
      <c r="EF515" s="707"/>
      <c r="EG515" s="707"/>
      <c r="EH515" s="707"/>
      <c r="EI515" s="707"/>
      <c r="EJ515" s="707"/>
      <c r="EK515" s="707"/>
      <c r="EL515" s="707"/>
      <c r="EM515" s="707"/>
      <c r="EN515" s="707"/>
      <c r="EO515" s="707"/>
      <c r="EP515" s="707"/>
      <c r="EQ515" s="707"/>
      <c r="ER515" s="707"/>
      <c r="ES515" s="707"/>
      <c r="ET515" s="707"/>
      <c r="EU515" s="707"/>
      <c r="EV515" s="707"/>
      <c r="EW515" s="707"/>
      <c r="EX515" s="707"/>
      <c r="EY515" s="707"/>
      <c r="EZ515" s="707"/>
      <c r="FA515" s="707"/>
      <c r="FB515" s="707"/>
      <c r="FC515" s="707"/>
      <c r="FD515" s="707"/>
      <c r="FE515" s="707"/>
      <c r="FF515" s="707"/>
      <c r="FG515" s="707"/>
      <c r="FH515" s="707"/>
      <c r="FI515" s="707"/>
      <c r="FJ515" s="707"/>
      <c r="FK515" s="707"/>
      <c r="FL515" s="707"/>
      <c r="FM515" s="707"/>
      <c r="FN515" s="707"/>
      <c r="FO515" s="707"/>
      <c r="FP515" s="707"/>
      <c r="FQ515" s="707"/>
      <c r="FR515" s="707"/>
      <c r="FS515" s="707"/>
      <c r="FT515" s="707"/>
      <c r="FU515" s="707"/>
      <c r="FV515" s="707"/>
      <c r="FW515" s="707"/>
      <c r="FX515" s="707"/>
      <c r="FY515" s="707"/>
      <c r="FZ515" s="707"/>
      <c r="GA515" s="707"/>
      <c r="GB515" s="707"/>
      <c r="GC515" s="707"/>
      <c r="GD515" s="707"/>
      <c r="GE515" s="707"/>
      <c r="GF515" s="707"/>
      <c r="GG515" s="707"/>
      <c r="GH515" s="707"/>
      <c r="GI515" s="707"/>
      <c r="GJ515" s="707"/>
      <c r="GK515" s="707"/>
      <c r="GL515" s="707"/>
      <c r="GM515" s="707"/>
      <c r="GN515" s="707"/>
      <c r="GO515" s="707"/>
      <c r="GP515" s="707"/>
      <c r="GQ515" s="707"/>
      <c r="GR515" s="707"/>
      <c r="GS515" s="707"/>
      <c r="GT515" s="707"/>
      <c r="GU515" s="707"/>
      <c r="GV515" s="707"/>
      <c r="GW515" s="707"/>
      <c r="GX515" s="707"/>
      <c r="GY515" s="707"/>
      <c r="GZ515" s="707"/>
      <c r="HA515" s="707"/>
      <c r="HB515" s="707"/>
      <c r="HC515" s="707"/>
      <c r="HD515" s="707"/>
      <c r="HE515" s="707"/>
      <c r="HF515" s="707"/>
      <c r="HG515" s="707"/>
      <c r="HH515" s="707"/>
      <c r="HI515" s="707"/>
      <c r="HJ515" s="707"/>
      <c r="HK515" s="707"/>
      <c r="HL515" s="707"/>
      <c r="HM515" s="707"/>
      <c r="HN515" s="707"/>
      <c r="HO515" s="707"/>
      <c r="HP515" s="707"/>
      <c r="HQ515" s="707"/>
      <c r="HR515" s="707"/>
      <c r="HS515" s="707"/>
      <c r="HT515" s="707"/>
      <c r="HU515" s="707"/>
      <c r="HV515" s="707"/>
      <c r="HW515" s="707"/>
      <c r="HX515" s="707"/>
      <c r="HY515" s="707"/>
      <c r="HZ515" s="707"/>
      <c r="IA515" s="707"/>
      <c r="IB515" s="707"/>
      <c r="IC515" s="707"/>
      <c r="ID515" s="707"/>
      <c r="IE515" s="707"/>
      <c r="IF515" s="707"/>
      <c r="IG515" s="707"/>
      <c r="IH515" s="707"/>
      <c r="II515" s="707"/>
      <c r="IJ515" s="707"/>
      <c r="IK515" s="707"/>
      <c r="IL515" s="707"/>
      <c r="IM515" s="707"/>
      <c r="IN515" s="707"/>
      <c r="IO515" s="707"/>
      <c r="IP515" s="707"/>
      <c r="IQ515" s="707"/>
      <c r="IR515" s="707"/>
      <c r="IS515" s="707"/>
      <c r="IT515" s="707"/>
      <c r="IU515" s="707"/>
      <c r="IV515" s="707"/>
      <c r="IW515" s="707"/>
    </row>
    <row r="516" customFormat="false" ht="12.75" hidden="false" customHeight="false" outlineLevel="1" collapsed="false">
      <c r="A516" s="724"/>
      <c r="B516" s="725"/>
      <c r="C516" s="725"/>
      <c r="D516" s="725"/>
      <c r="E516" s="713"/>
      <c r="F516" s="713"/>
      <c r="G516" s="713"/>
      <c r="H516" s="713"/>
      <c r="I516" s="713"/>
      <c r="J516" s="713"/>
      <c r="K516" s="713"/>
      <c r="L516" s="713"/>
      <c r="M516" s="713"/>
      <c r="N516" s="713"/>
      <c r="O516" s="713"/>
      <c r="P516" s="713"/>
      <c r="Q516" s="713"/>
      <c r="R516" s="713"/>
      <c r="S516" s="713"/>
      <c r="T516" s="713"/>
      <c r="U516" s="713"/>
      <c r="V516" s="713"/>
      <c r="W516" s="713"/>
      <c r="X516" s="713"/>
      <c r="Y516" s="713"/>
      <c r="Z516" s="713"/>
      <c r="AA516" s="722"/>
      <c r="AB516" s="722"/>
      <c r="AC516" s="722"/>
      <c r="AD516" s="722"/>
      <c r="AE516" s="722"/>
      <c r="AF516" s="722"/>
      <c r="AG516" s="722"/>
      <c r="AH516" s="722"/>
      <c r="AI516" s="722"/>
      <c r="AJ516" s="722"/>
      <c r="AK516" s="722"/>
      <c r="AL516" s="722"/>
      <c r="AM516" s="722"/>
      <c r="AN516" s="722"/>
      <c r="AO516" s="722"/>
      <c r="AP516" s="722"/>
      <c r="AQ516" s="722"/>
      <c r="AR516" s="722"/>
      <c r="AS516" s="722"/>
      <c r="AT516" s="722"/>
      <c r="AU516" s="722"/>
      <c r="AV516" s="722"/>
      <c r="AW516" s="722"/>
      <c r="AX516" s="722"/>
      <c r="AY516" s="722"/>
      <c r="AZ516" s="722"/>
      <c r="BA516" s="722"/>
      <c r="BB516" s="722"/>
      <c r="BC516" s="722"/>
      <c r="BD516" s="722"/>
      <c r="BE516" s="722"/>
      <c r="BF516" s="722"/>
      <c r="BG516" s="722"/>
      <c r="BH516" s="722"/>
      <c r="BI516" s="722"/>
      <c r="BJ516" s="722"/>
      <c r="BK516" s="722"/>
      <c r="BL516" s="722"/>
      <c r="BM516" s="722"/>
      <c r="BN516" s="722"/>
      <c r="BO516" s="722"/>
      <c r="BP516" s="722"/>
      <c r="BQ516" s="722"/>
      <c r="BR516" s="722"/>
      <c r="BS516" s="722"/>
      <c r="BT516" s="722"/>
      <c r="BU516" s="722"/>
      <c r="BV516" s="722"/>
      <c r="BW516" s="722"/>
      <c r="BX516" s="722"/>
      <c r="BY516" s="722"/>
      <c r="BZ516" s="722"/>
      <c r="CA516" s="722"/>
      <c r="CB516" s="722"/>
      <c r="CC516" s="722"/>
      <c r="CD516" s="722"/>
      <c r="CE516" s="722"/>
      <c r="CF516" s="722"/>
      <c r="CG516" s="722"/>
      <c r="CH516" s="722"/>
      <c r="CI516" s="722"/>
      <c r="CJ516" s="722"/>
      <c r="CK516" s="722"/>
      <c r="CL516" s="722"/>
      <c r="CM516" s="722"/>
      <c r="CN516" s="722"/>
      <c r="CO516" s="722"/>
      <c r="CP516" s="722"/>
      <c r="CQ516" s="722"/>
      <c r="CR516" s="722"/>
      <c r="CS516" s="722"/>
      <c r="CT516" s="722"/>
      <c r="CU516" s="722"/>
      <c r="CV516" s="722"/>
      <c r="CW516" s="722"/>
      <c r="CX516" s="722"/>
      <c r="CY516" s="722"/>
      <c r="CZ516" s="722"/>
      <c r="DA516" s="722"/>
      <c r="DB516" s="722"/>
      <c r="DC516" s="722"/>
      <c r="DD516" s="722"/>
      <c r="DE516" s="722"/>
      <c r="DF516" s="722"/>
      <c r="DG516" s="722"/>
      <c r="DH516" s="722"/>
      <c r="DI516" s="722"/>
      <c r="DJ516" s="722"/>
      <c r="DK516" s="722"/>
      <c r="DL516" s="722"/>
      <c r="DM516" s="722"/>
      <c r="DN516" s="722"/>
      <c r="DO516" s="722"/>
      <c r="DP516" s="722"/>
      <c r="DQ516" s="722"/>
      <c r="DR516" s="722"/>
      <c r="DS516" s="722"/>
      <c r="DT516" s="722"/>
      <c r="DU516" s="722"/>
      <c r="DV516" s="722"/>
      <c r="DW516" s="722"/>
      <c r="DX516" s="722"/>
      <c r="DY516" s="722"/>
      <c r="DZ516" s="722"/>
      <c r="EA516" s="722"/>
      <c r="EB516" s="722"/>
      <c r="EC516" s="722"/>
      <c r="ED516" s="722"/>
      <c r="EE516" s="722"/>
      <c r="EF516" s="722"/>
      <c r="EG516" s="722"/>
      <c r="EH516" s="722"/>
      <c r="EI516" s="722"/>
      <c r="EJ516" s="722"/>
      <c r="EK516" s="722"/>
      <c r="EL516" s="722"/>
      <c r="EM516" s="722"/>
      <c r="EN516" s="722"/>
      <c r="EO516" s="722"/>
      <c r="EP516" s="722"/>
      <c r="EQ516" s="722"/>
      <c r="ER516" s="722"/>
      <c r="ES516" s="722"/>
      <c r="ET516" s="722"/>
      <c r="EU516" s="722"/>
      <c r="EV516" s="722"/>
      <c r="EW516" s="722"/>
      <c r="EX516" s="722"/>
      <c r="EY516" s="722"/>
      <c r="EZ516" s="722"/>
      <c r="FA516" s="722"/>
      <c r="FB516" s="722"/>
      <c r="FC516" s="722"/>
      <c r="FD516" s="722"/>
      <c r="FE516" s="722"/>
      <c r="FF516" s="722"/>
      <c r="FG516" s="722"/>
      <c r="FH516" s="722"/>
      <c r="FI516" s="722"/>
      <c r="FJ516" s="722"/>
      <c r="FK516" s="722"/>
      <c r="FL516" s="722"/>
      <c r="FM516" s="722"/>
      <c r="FN516" s="722"/>
      <c r="FO516" s="722"/>
      <c r="FP516" s="722"/>
      <c r="FQ516" s="722"/>
      <c r="FR516" s="722"/>
      <c r="FS516" s="722"/>
      <c r="FT516" s="722"/>
      <c r="FU516" s="722"/>
      <c r="FV516" s="722"/>
      <c r="FW516" s="722"/>
      <c r="FX516" s="722"/>
      <c r="FY516" s="722"/>
      <c r="FZ516" s="722"/>
      <c r="GA516" s="722"/>
      <c r="GB516" s="722"/>
      <c r="GC516" s="722"/>
      <c r="GD516" s="722"/>
      <c r="GE516" s="722"/>
      <c r="GF516" s="722"/>
      <c r="GG516" s="722"/>
      <c r="GH516" s="722"/>
      <c r="GI516" s="722"/>
      <c r="GJ516" s="722"/>
      <c r="GK516" s="722"/>
      <c r="GL516" s="722"/>
      <c r="GM516" s="722"/>
      <c r="GN516" s="722"/>
      <c r="GO516" s="722"/>
      <c r="GP516" s="722"/>
      <c r="GQ516" s="722"/>
      <c r="GR516" s="722"/>
      <c r="GS516" s="722"/>
      <c r="GT516" s="722"/>
      <c r="GU516" s="722"/>
      <c r="GV516" s="722"/>
      <c r="GW516" s="722"/>
      <c r="GX516" s="722"/>
      <c r="GY516" s="722"/>
      <c r="GZ516" s="722"/>
      <c r="HA516" s="722"/>
      <c r="HB516" s="722"/>
      <c r="HC516" s="722"/>
      <c r="HD516" s="722"/>
      <c r="HE516" s="722"/>
      <c r="HF516" s="722"/>
      <c r="HG516" s="722"/>
      <c r="HH516" s="722"/>
      <c r="HI516" s="722"/>
      <c r="HJ516" s="722"/>
      <c r="HK516" s="722"/>
      <c r="HL516" s="722"/>
      <c r="HM516" s="722"/>
      <c r="HN516" s="722"/>
      <c r="HO516" s="722"/>
      <c r="HP516" s="722"/>
      <c r="HQ516" s="722"/>
      <c r="HR516" s="722"/>
      <c r="HS516" s="722"/>
      <c r="HT516" s="722"/>
      <c r="HU516" s="722"/>
      <c r="HV516" s="722"/>
      <c r="HW516" s="722"/>
      <c r="HX516" s="722"/>
      <c r="HY516" s="722"/>
      <c r="HZ516" s="722"/>
      <c r="IA516" s="722"/>
      <c r="IB516" s="722"/>
      <c r="IC516" s="722"/>
      <c r="ID516" s="722"/>
      <c r="IE516" s="722"/>
      <c r="IF516" s="722"/>
      <c r="IG516" s="722"/>
      <c r="IH516" s="722"/>
      <c r="II516" s="722"/>
      <c r="IJ516" s="722"/>
      <c r="IK516" s="722"/>
      <c r="IL516" s="722"/>
      <c r="IM516" s="722"/>
      <c r="IN516" s="722"/>
      <c r="IO516" s="722"/>
      <c r="IP516" s="722"/>
      <c r="IQ516" s="722"/>
      <c r="IR516" s="722"/>
      <c r="IS516" s="722"/>
      <c r="IT516" s="722"/>
      <c r="IU516" s="722"/>
      <c r="IV516" s="722"/>
      <c r="IW516" s="722"/>
    </row>
    <row r="517" customFormat="false" ht="12.75" hidden="false" customHeight="false" outlineLevel="1" collapsed="false">
      <c r="A517" s="388"/>
      <c r="B517" s="706"/>
      <c r="C517" s="706"/>
      <c r="D517" s="706"/>
      <c r="E517" s="713"/>
      <c r="F517" s="713"/>
      <c r="G517" s="713"/>
      <c r="H517" s="713"/>
      <c r="I517" s="713"/>
      <c r="J517" s="713"/>
      <c r="K517" s="713"/>
      <c r="L517" s="713"/>
      <c r="M517" s="713"/>
      <c r="N517" s="713"/>
      <c r="O517" s="713"/>
      <c r="P517" s="713"/>
      <c r="Q517" s="713"/>
      <c r="R517" s="713"/>
      <c r="S517" s="713"/>
      <c r="T517" s="713"/>
      <c r="U517" s="713"/>
      <c r="V517" s="713"/>
      <c r="W517" s="713"/>
      <c r="X517" s="713"/>
      <c r="Y517" s="713"/>
      <c r="Z517" s="713"/>
      <c r="AA517" s="707"/>
      <c r="AB517" s="707"/>
      <c r="AC517" s="707"/>
      <c r="AD517" s="707"/>
      <c r="AE517" s="707"/>
      <c r="AF517" s="707"/>
      <c r="AG517" s="707"/>
      <c r="AH517" s="707"/>
      <c r="AI517" s="707"/>
      <c r="AJ517" s="707"/>
      <c r="AK517" s="707"/>
      <c r="AL517" s="707"/>
      <c r="AM517" s="707"/>
      <c r="AN517" s="707"/>
      <c r="AO517" s="707"/>
      <c r="AP517" s="707"/>
      <c r="AQ517" s="707"/>
      <c r="AR517" s="707"/>
      <c r="AS517" s="707"/>
      <c r="AT517" s="707"/>
      <c r="AU517" s="707"/>
      <c r="AV517" s="707"/>
      <c r="AW517" s="707"/>
      <c r="AX517" s="707"/>
      <c r="AY517" s="707"/>
      <c r="AZ517" s="707"/>
      <c r="BA517" s="707"/>
      <c r="BB517" s="707"/>
      <c r="BC517" s="707"/>
      <c r="BD517" s="707"/>
      <c r="BE517" s="707"/>
      <c r="BF517" s="707"/>
      <c r="BG517" s="707"/>
      <c r="BH517" s="707"/>
      <c r="BI517" s="707"/>
      <c r="BJ517" s="707"/>
      <c r="BK517" s="707"/>
      <c r="BL517" s="707"/>
      <c r="BM517" s="707"/>
      <c r="BN517" s="707"/>
      <c r="BO517" s="707"/>
      <c r="BP517" s="707"/>
      <c r="BQ517" s="707"/>
      <c r="BR517" s="707"/>
      <c r="BS517" s="707"/>
      <c r="BT517" s="707"/>
      <c r="BU517" s="707"/>
      <c r="BV517" s="707"/>
      <c r="BW517" s="707"/>
      <c r="BX517" s="707"/>
      <c r="BY517" s="707"/>
      <c r="BZ517" s="707"/>
      <c r="CA517" s="707"/>
      <c r="CB517" s="707"/>
      <c r="CC517" s="707"/>
      <c r="CD517" s="707"/>
      <c r="CE517" s="707"/>
      <c r="CF517" s="707"/>
      <c r="CG517" s="707"/>
      <c r="CH517" s="707"/>
      <c r="CI517" s="707"/>
      <c r="CJ517" s="707"/>
      <c r="CK517" s="707"/>
      <c r="CL517" s="707"/>
      <c r="CM517" s="707"/>
      <c r="CN517" s="707"/>
      <c r="CO517" s="707"/>
      <c r="CP517" s="707"/>
      <c r="CQ517" s="707"/>
      <c r="CR517" s="707"/>
      <c r="CS517" s="707"/>
      <c r="CT517" s="707"/>
      <c r="CU517" s="707"/>
      <c r="CV517" s="707"/>
      <c r="CW517" s="707"/>
      <c r="CX517" s="707"/>
      <c r="CY517" s="707"/>
      <c r="CZ517" s="707"/>
      <c r="DA517" s="707"/>
      <c r="DB517" s="707"/>
      <c r="DC517" s="707"/>
      <c r="DD517" s="707"/>
      <c r="DE517" s="707"/>
      <c r="DF517" s="707"/>
      <c r="DG517" s="707"/>
      <c r="DH517" s="707"/>
      <c r="DI517" s="707"/>
      <c r="DJ517" s="707"/>
      <c r="DK517" s="707"/>
      <c r="DL517" s="707"/>
      <c r="DM517" s="707"/>
      <c r="DN517" s="707"/>
      <c r="DO517" s="707"/>
      <c r="DP517" s="707"/>
      <c r="DQ517" s="707"/>
      <c r="DR517" s="707"/>
      <c r="DS517" s="707"/>
      <c r="DT517" s="707"/>
      <c r="DU517" s="707"/>
      <c r="DV517" s="707"/>
      <c r="DW517" s="707"/>
      <c r="DX517" s="707"/>
      <c r="DY517" s="707"/>
      <c r="DZ517" s="707"/>
      <c r="EA517" s="707"/>
      <c r="EB517" s="707"/>
      <c r="EC517" s="707"/>
      <c r="ED517" s="707"/>
      <c r="EE517" s="707"/>
      <c r="EF517" s="707"/>
      <c r="EG517" s="707"/>
      <c r="EH517" s="707"/>
      <c r="EI517" s="707"/>
      <c r="EJ517" s="707"/>
      <c r="EK517" s="707"/>
      <c r="EL517" s="707"/>
      <c r="EM517" s="707"/>
      <c r="EN517" s="707"/>
      <c r="EO517" s="707"/>
      <c r="EP517" s="707"/>
      <c r="EQ517" s="707"/>
      <c r="ER517" s="707"/>
      <c r="ES517" s="707"/>
      <c r="ET517" s="707"/>
      <c r="EU517" s="707"/>
      <c r="EV517" s="707"/>
      <c r="EW517" s="707"/>
      <c r="EX517" s="707"/>
      <c r="EY517" s="707"/>
      <c r="EZ517" s="707"/>
      <c r="FA517" s="707"/>
      <c r="FB517" s="707"/>
      <c r="FC517" s="707"/>
      <c r="FD517" s="707"/>
      <c r="FE517" s="707"/>
      <c r="FF517" s="707"/>
      <c r="FG517" s="707"/>
      <c r="FH517" s="707"/>
      <c r="FI517" s="707"/>
      <c r="FJ517" s="707"/>
      <c r="FK517" s="707"/>
      <c r="FL517" s="707"/>
      <c r="FM517" s="707"/>
      <c r="FN517" s="707"/>
      <c r="FO517" s="707"/>
      <c r="FP517" s="707"/>
      <c r="FQ517" s="707"/>
      <c r="FR517" s="707"/>
      <c r="FS517" s="707"/>
      <c r="FT517" s="707"/>
      <c r="FU517" s="707"/>
      <c r="FV517" s="707"/>
      <c r="FW517" s="707"/>
      <c r="FX517" s="707"/>
      <c r="FY517" s="707"/>
      <c r="FZ517" s="707"/>
      <c r="GA517" s="707"/>
      <c r="GB517" s="707"/>
      <c r="GC517" s="707"/>
      <c r="GD517" s="707"/>
      <c r="GE517" s="707"/>
      <c r="GF517" s="707"/>
      <c r="GG517" s="707"/>
      <c r="GH517" s="707"/>
      <c r="GI517" s="707"/>
      <c r="GJ517" s="707"/>
      <c r="GK517" s="707"/>
      <c r="GL517" s="707"/>
      <c r="GM517" s="707"/>
      <c r="GN517" s="707"/>
      <c r="GO517" s="707"/>
      <c r="GP517" s="707"/>
      <c r="GQ517" s="707"/>
      <c r="GR517" s="707"/>
      <c r="GS517" s="707"/>
      <c r="GT517" s="707"/>
      <c r="GU517" s="707"/>
      <c r="GV517" s="707"/>
      <c r="GW517" s="707"/>
      <c r="GX517" s="707"/>
      <c r="GY517" s="707"/>
      <c r="GZ517" s="707"/>
      <c r="HA517" s="707"/>
      <c r="HB517" s="707"/>
      <c r="HC517" s="707"/>
      <c r="HD517" s="707"/>
      <c r="HE517" s="707"/>
      <c r="HF517" s="707"/>
      <c r="HG517" s="707"/>
      <c r="HH517" s="707"/>
      <c r="HI517" s="707"/>
      <c r="HJ517" s="707"/>
      <c r="HK517" s="707"/>
      <c r="HL517" s="707"/>
      <c r="HM517" s="707"/>
      <c r="HN517" s="707"/>
      <c r="HO517" s="707"/>
      <c r="HP517" s="707"/>
      <c r="HQ517" s="707"/>
      <c r="HR517" s="707"/>
      <c r="HS517" s="707"/>
      <c r="HT517" s="707"/>
      <c r="HU517" s="707"/>
      <c r="HV517" s="707"/>
      <c r="HW517" s="707"/>
      <c r="HX517" s="707"/>
      <c r="HY517" s="707"/>
      <c r="HZ517" s="707"/>
      <c r="IA517" s="707"/>
      <c r="IB517" s="707"/>
      <c r="IC517" s="707"/>
      <c r="ID517" s="707"/>
      <c r="IE517" s="707"/>
      <c r="IF517" s="707"/>
      <c r="IG517" s="707"/>
      <c r="IH517" s="707"/>
      <c r="II517" s="707"/>
      <c r="IJ517" s="707"/>
      <c r="IK517" s="707"/>
      <c r="IL517" s="707"/>
      <c r="IM517" s="707"/>
      <c r="IN517" s="707"/>
      <c r="IO517" s="707"/>
      <c r="IP517" s="707"/>
      <c r="IQ517" s="707"/>
      <c r="IR517" s="707"/>
      <c r="IS517" s="707"/>
      <c r="IT517" s="707"/>
      <c r="IU517" s="707"/>
      <c r="IV517" s="707"/>
      <c r="IW517" s="707"/>
    </row>
    <row r="518" customFormat="false" ht="12.75" hidden="false" customHeight="false" outlineLevel="1" collapsed="false">
      <c r="A518" s="724"/>
      <c r="B518" s="725"/>
      <c r="C518" s="725"/>
      <c r="D518" s="725"/>
      <c r="E518" s="713"/>
      <c r="F518" s="713"/>
      <c r="G518" s="713"/>
      <c r="H518" s="713"/>
      <c r="I518" s="713"/>
      <c r="J518" s="713"/>
      <c r="K518" s="713"/>
      <c r="L518" s="713"/>
      <c r="M518" s="713"/>
      <c r="N518" s="713"/>
      <c r="O518" s="713"/>
      <c r="P518" s="713"/>
      <c r="Q518" s="713"/>
      <c r="R518" s="713"/>
      <c r="S518" s="713"/>
      <c r="T518" s="713"/>
      <c r="U518" s="713"/>
      <c r="V518" s="713"/>
      <c r="W518" s="713"/>
      <c r="X518" s="713"/>
      <c r="Y518" s="713"/>
      <c r="Z518" s="713"/>
      <c r="AA518" s="722"/>
      <c r="AB518" s="722"/>
      <c r="AC518" s="722"/>
      <c r="AD518" s="722"/>
      <c r="AE518" s="722"/>
      <c r="AF518" s="722"/>
      <c r="AG518" s="722"/>
      <c r="AH518" s="722"/>
      <c r="AI518" s="722"/>
      <c r="AJ518" s="722"/>
      <c r="AK518" s="722"/>
      <c r="AL518" s="722"/>
      <c r="AM518" s="722"/>
      <c r="AN518" s="722"/>
      <c r="AO518" s="722"/>
      <c r="AP518" s="722"/>
      <c r="AQ518" s="722"/>
      <c r="AR518" s="722"/>
      <c r="AS518" s="722"/>
      <c r="AT518" s="722"/>
      <c r="AU518" s="722"/>
      <c r="AV518" s="722"/>
      <c r="AW518" s="722"/>
      <c r="AX518" s="722"/>
      <c r="AY518" s="722"/>
      <c r="AZ518" s="722"/>
      <c r="BA518" s="722"/>
      <c r="BB518" s="722"/>
      <c r="BC518" s="722"/>
      <c r="BD518" s="722"/>
      <c r="BE518" s="722"/>
      <c r="BF518" s="722"/>
      <c r="BG518" s="722"/>
      <c r="BH518" s="722"/>
      <c r="BI518" s="722"/>
      <c r="BJ518" s="722"/>
      <c r="BK518" s="722"/>
      <c r="BL518" s="722"/>
      <c r="BM518" s="722"/>
      <c r="BN518" s="722"/>
      <c r="BO518" s="722"/>
      <c r="BP518" s="722"/>
      <c r="BQ518" s="722"/>
      <c r="BR518" s="722"/>
      <c r="BS518" s="722"/>
      <c r="BT518" s="722"/>
      <c r="BU518" s="722"/>
      <c r="BV518" s="722"/>
      <c r="BW518" s="722"/>
      <c r="BX518" s="722"/>
      <c r="BY518" s="722"/>
      <c r="BZ518" s="722"/>
      <c r="CA518" s="722"/>
      <c r="CB518" s="722"/>
      <c r="CC518" s="722"/>
      <c r="CD518" s="722"/>
      <c r="CE518" s="722"/>
      <c r="CF518" s="722"/>
      <c r="CG518" s="722"/>
      <c r="CH518" s="722"/>
      <c r="CI518" s="722"/>
      <c r="CJ518" s="722"/>
      <c r="CK518" s="722"/>
      <c r="CL518" s="722"/>
      <c r="CM518" s="722"/>
      <c r="CN518" s="722"/>
      <c r="CO518" s="722"/>
      <c r="CP518" s="722"/>
      <c r="CQ518" s="722"/>
      <c r="CR518" s="722"/>
      <c r="CS518" s="722"/>
      <c r="CT518" s="722"/>
      <c r="CU518" s="722"/>
      <c r="CV518" s="722"/>
      <c r="CW518" s="722"/>
      <c r="CX518" s="722"/>
      <c r="CY518" s="722"/>
      <c r="CZ518" s="722"/>
      <c r="DA518" s="722"/>
      <c r="DB518" s="722"/>
      <c r="DC518" s="722"/>
      <c r="DD518" s="722"/>
      <c r="DE518" s="722"/>
      <c r="DF518" s="722"/>
      <c r="DG518" s="722"/>
      <c r="DH518" s="722"/>
      <c r="DI518" s="722"/>
      <c r="DJ518" s="722"/>
      <c r="DK518" s="722"/>
      <c r="DL518" s="722"/>
      <c r="DM518" s="722"/>
      <c r="DN518" s="722"/>
      <c r="DO518" s="722"/>
      <c r="DP518" s="722"/>
      <c r="DQ518" s="722"/>
      <c r="DR518" s="722"/>
      <c r="DS518" s="722"/>
      <c r="DT518" s="722"/>
      <c r="DU518" s="722"/>
      <c r="DV518" s="722"/>
      <c r="DW518" s="722"/>
      <c r="DX518" s="722"/>
      <c r="DY518" s="722"/>
      <c r="DZ518" s="722"/>
      <c r="EA518" s="722"/>
      <c r="EB518" s="722"/>
      <c r="EC518" s="722"/>
      <c r="ED518" s="722"/>
      <c r="EE518" s="722"/>
      <c r="EF518" s="722"/>
      <c r="EG518" s="722"/>
      <c r="EH518" s="722"/>
      <c r="EI518" s="722"/>
      <c r="EJ518" s="722"/>
      <c r="EK518" s="722"/>
      <c r="EL518" s="722"/>
      <c r="EM518" s="722"/>
      <c r="EN518" s="722"/>
      <c r="EO518" s="722"/>
      <c r="EP518" s="722"/>
      <c r="EQ518" s="722"/>
      <c r="ER518" s="722"/>
      <c r="ES518" s="722"/>
      <c r="ET518" s="722"/>
      <c r="EU518" s="722"/>
      <c r="EV518" s="722"/>
      <c r="EW518" s="722"/>
      <c r="EX518" s="722"/>
      <c r="EY518" s="722"/>
      <c r="EZ518" s="722"/>
      <c r="FA518" s="722"/>
      <c r="FB518" s="722"/>
      <c r="FC518" s="722"/>
      <c r="FD518" s="722"/>
      <c r="FE518" s="722"/>
      <c r="FF518" s="722"/>
      <c r="FG518" s="722"/>
      <c r="FH518" s="722"/>
      <c r="FI518" s="722"/>
      <c r="FJ518" s="722"/>
      <c r="FK518" s="722"/>
      <c r="FL518" s="722"/>
      <c r="FM518" s="722"/>
      <c r="FN518" s="722"/>
      <c r="FO518" s="722"/>
      <c r="FP518" s="722"/>
      <c r="FQ518" s="722"/>
      <c r="FR518" s="722"/>
      <c r="FS518" s="722"/>
      <c r="FT518" s="722"/>
      <c r="FU518" s="722"/>
      <c r="FV518" s="722"/>
      <c r="FW518" s="722"/>
      <c r="FX518" s="722"/>
      <c r="FY518" s="722"/>
      <c r="FZ518" s="722"/>
      <c r="GA518" s="722"/>
      <c r="GB518" s="722"/>
      <c r="GC518" s="722"/>
      <c r="GD518" s="722"/>
      <c r="GE518" s="722"/>
      <c r="GF518" s="722"/>
      <c r="GG518" s="722"/>
      <c r="GH518" s="722"/>
      <c r="GI518" s="722"/>
      <c r="GJ518" s="722"/>
      <c r="GK518" s="722"/>
      <c r="GL518" s="722"/>
      <c r="GM518" s="722"/>
      <c r="GN518" s="722"/>
      <c r="GO518" s="722"/>
      <c r="GP518" s="722"/>
      <c r="GQ518" s="722"/>
      <c r="GR518" s="722"/>
      <c r="GS518" s="722"/>
      <c r="GT518" s="722"/>
      <c r="GU518" s="722"/>
      <c r="GV518" s="722"/>
      <c r="GW518" s="722"/>
      <c r="GX518" s="722"/>
      <c r="GY518" s="722"/>
      <c r="GZ518" s="722"/>
      <c r="HA518" s="722"/>
      <c r="HB518" s="722"/>
      <c r="HC518" s="722"/>
      <c r="HD518" s="722"/>
      <c r="HE518" s="722"/>
      <c r="HF518" s="722"/>
      <c r="HG518" s="722"/>
      <c r="HH518" s="722"/>
      <c r="HI518" s="722"/>
      <c r="HJ518" s="722"/>
      <c r="HK518" s="722"/>
      <c r="HL518" s="722"/>
      <c r="HM518" s="722"/>
      <c r="HN518" s="722"/>
      <c r="HO518" s="722"/>
      <c r="HP518" s="722"/>
      <c r="HQ518" s="722"/>
      <c r="HR518" s="722"/>
      <c r="HS518" s="722"/>
      <c r="HT518" s="722"/>
      <c r="HU518" s="722"/>
      <c r="HV518" s="722"/>
      <c r="HW518" s="722"/>
      <c r="HX518" s="722"/>
      <c r="HY518" s="722"/>
      <c r="HZ518" s="722"/>
      <c r="IA518" s="722"/>
      <c r="IB518" s="722"/>
      <c r="IC518" s="722"/>
      <c r="ID518" s="722"/>
      <c r="IE518" s="722"/>
      <c r="IF518" s="722"/>
      <c r="IG518" s="722"/>
      <c r="IH518" s="722"/>
      <c r="II518" s="722"/>
      <c r="IJ518" s="722"/>
      <c r="IK518" s="722"/>
      <c r="IL518" s="722"/>
      <c r="IM518" s="722"/>
      <c r="IN518" s="722"/>
      <c r="IO518" s="722"/>
      <c r="IP518" s="722"/>
      <c r="IQ518" s="722"/>
      <c r="IR518" s="722"/>
      <c r="IS518" s="722"/>
      <c r="IT518" s="722"/>
      <c r="IU518" s="722"/>
      <c r="IV518" s="722"/>
      <c r="IW518" s="722"/>
    </row>
    <row r="519" customFormat="false" ht="12.75" hidden="false" customHeight="false" outlineLevel="1" collapsed="false">
      <c r="A519" s="388"/>
      <c r="B519" s="719"/>
      <c r="C519" s="719"/>
      <c r="D519" s="719"/>
      <c r="E519" s="713"/>
      <c r="F519" s="713"/>
      <c r="G519" s="713"/>
      <c r="H519" s="713"/>
      <c r="I519" s="713"/>
      <c r="J519" s="713"/>
      <c r="K519" s="713"/>
      <c r="L519" s="713"/>
      <c r="M519" s="713"/>
      <c r="N519" s="713"/>
      <c r="O519" s="713"/>
      <c r="P519" s="713"/>
      <c r="Q519" s="713"/>
      <c r="R519" s="713"/>
      <c r="S519" s="713"/>
      <c r="T519" s="713"/>
      <c r="U519" s="713"/>
      <c r="V519" s="713"/>
      <c r="W519" s="713"/>
      <c r="X519" s="713"/>
      <c r="Y519" s="713"/>
      <c r="Z519" s="713"/>
      <c r="AA519" s="707"/>
      <c r="AB519" s="707"/>
      <c r="AC519" s="707"/>
      <c r="AD519" s="707"/>
      <c r="AE519" s="707"/>
      <c r="AF519" s="707"/>
      <c r="AG519" s="707"/>
      <c r="AH519" s="707"/>
      <c r="AI519" s="707"/>
      <c r="AJ519" s="707"/>
      <c r="AK519" s="707"/>
      <c r="AL519" s="707"/>
      <c r="AM519" s="707"/>
      <c r="AN519" s="707"/>
      <c r="AO519" s="707"/>
      <c r="AP519" s="707"/>
      <c r="AQ519" s="707"/>
      <c r="AR519" s="707"/>
      <c r="AS519" s="707"/>
      <c r="AT519" s="707"/>
      <c r="AU519" s="707"/>
      <c r="AV519" s="707"/>
      <c r="AW519" s="707"/>
      <c r="AX519" s="707"/>
      <c r="AY519" s="707"/>
      <c r="AZ519" s="707"/>
      <c r="BA519" s="707"/>
      <c r="BB519" s="707"/>
      <c r="BC519" s="707"/>
      <c r="BD519" s="707"/>
      <c r="BE519" s="707"/>
      <c r="BF519" s="707"/>
      <c r="BG519" s="707"/>
      <c r="BH519" s="707"/>
      <c r="BI519" s="707"/>
      <c r="BJ519" s="707"/>
      <c r="BK519" s="707"/>
      <c r="BL519" s="707"/>
      <c r="BM519" s="707"/>
      <c r="BN519" s="707"/>
      <c r="BO519" s="707"/>
      <c r="BP519" s="707"/>
      <c r="BQ519" s="707"/>
      <c r="BR519" s="707"/>
      <c r="BS519" s="707"/>
      <c r="BT519" s="707"/>
      <c r="BU519" s="707"/>
      <c r="BV519" s="707"/>
      <c r="BW519" s="707"/>
      <c r="BX519" s="707"/>
      <c r="BY519" s="707"/>
      <c r="BZ519" s="707"/>
      <c r="CA519" s="707"/>
      <c r="CB519" s="707"/>
      <c r="CC519" s="707"/>
      <c r="CD519" s="707"/>
      <c r="CE519" s="707"/>
      <c r="CF519" s="707"/>
      <c r="CG519" s="707"/>
      <c r="CH519" s="707"/>
      <c r="CI519" s="707"/>
      <c r="CJ519" s="707"/>
      <c r="CK519" s="707"/>
      <c r="CL519" s="707"/>
      <c r="CM519" s="707"/>
      <c r="CN519" s="707"/>
      <c r="CO519" s="707"/>
      <c r="CP519" s="707"/>
      <c r="CQ519" s="707"/>
      <c r="CR519" s="707"/>
      <c r="CS519" s="707"/>
      <c r="CT519" s="707"/>
      <c r="CU519" s="707"/>
      <c r="CV519" s="707"/>
      <c r="CW519" s="707"/>
      <c r="CX519" s="707"/>
      <c r="CY519" s="707"/>
      <c r="CZ519" s="707"/>
      <c r="DA519" s="707"/>
      <c r="DB519" s="707"/>
      <c r="DC519" s="707"/>
      <c r="DD519" s="707"/>
      <c r="DE519" s="707"/>
      <c r="DF519" s="707"/>
      <c r="DG519" s="707"/>
      <c r="DH519" s="707"/>
      <c r="DI519" s="707"/>
      <c r="DJ519" s="707"/>
      <c r="DK519" s="707"/>
      <c r="DL519" s="707"/>
      <c r="DM519" s="707"/>
      <c r="DN519" s="707"/>
      <c r="DO519" s="707"/>
      <c r="DP519" s="707"/>
      <c r="DQ519" s="707"/>
      <c r="DR519" s="707"/>
      <c r="DS519" s="707"/>
      <c r="DT519" s="707"/>
      <c r="DU519" s="707"/>
      <c r="DV519" s="707"/>
      <c r="DW519" s="707"/>
      <c r="DX519" s="707"/>
      <c r="DY519" s="707"/>
      <c r="DZ519" s="707"/>
      <c r="EA519" s="707"/>
      <c r="EB519" s="707"/>
      <c r="EC519" s="707"/>
      <c r="ED519" s="707"/>
      <c r="EE519" s="707"/>
      <c r="EF519" s="707"/>
      <c r="EG519" s="707"/>
      <c r="EH519" s="707"/>
      <c r="EI519" s="707"/>
      <c r="EJ519" s="707"/>
      <c r="EK519" s="707"/>
      <c r="EL519" s="707"/>
      <c r="EM519" s="707"/>
      <c r="EN519" s="707"/>
      <c r="EO519" s="707"/>
      <c r="EP519" s="707"/>
      <c r="EQ519" s="707"/>
      <c r="ER519" s="707"/>
      <c r="ES519" s="707"/>
      <c r="ET519" s="707"/>
      <c r="EU519" s="707"/>
      <c r="EV519" s="707"/>
      <c r="EW519" s="707"/>
      <c r="EX519" s="707"/>
      <c r="EY519" s="707"/>
      <c r="EZ519" s="707"/>
      <c r="FA519" s="707"/>
      <c r="FB519" s="707"/>
      <c r="FC519" s="707"/>
      <c r="FD519" s="707"/>
      <c r="FE519" s="707"/>
      <c r="FF519" s="707"/>
      <c r="FG519" s="707"/>
      <c r="FH519" s="707"/>
      <c r="FI519" s="707"/>
      <c r="FJ519" s="707"/>
      <c r="FK519" s="707"/>
      <c r="FL519" s="707"/>
      <c r="FM519" s="707"/>
      <c r="FN519" s="707"/>
      <c r="FO519" s="707"/>
      <c r="FP519" s="707"/>
      <c r="FQ519" s="707"/>
      <c r="FR519" s="707"/>
      <c r="FS519" s="707"/>
      <c r="FT519" s="707"/>
      <c r="FU519" s="707"/>
      <c r="FV519" s="707"/>
      <c r="FW519" s="707"/>
      <c r="FX519" s="707"/>
      <c r="FY519" s="707"/>
      <c r="FZ519" s="707"/>
      <c r="GA519" s="707"/>
      <c r="GB519" s="707"/>
      <c r="GC519" s="707"/>
      <c r="GD519" s="707"/>
      <c r="GE519" s="707"/>
      <c r="GF519" s="707"/>
      <c r="GG519" s="707"/>
      <c r="GH519" s="707"/>
      <c r="GI519" s="707"/>
      <c r="GJ519" s="707"/>
      <c r="GK519" s="707"/>
      <c r="GL519" s="707"/>
      <c r="GM519" s="707"/>
      <c r="GN519" s="707"/>
      <c r="GO519" s="707"/>
      <c r="GP519" s="707"/>
      <c r="GQ519" s="707"/>
      <c r="GR519" s="707"/>
      <c r="GS519" s="707"/>
      <c r="GT519" s="707"/>
      <c r="GU519" s="707"/>
      <c r="GV519" s="707"/>
      <c r="GW519" s="707"/>
      <c r="GX519" s="707"/>
      <c r="GY519" s="707"/>
      <c r="GZ519" s="707"/>
      <c r="HA519" s="707"/>
      <c r="HB519" s="707"/>
      <c r="HC519" s="707"/>
      <c r="HD519" s="707"/>
      <c r="HE519" s="707"/>
      <c r="HF519" s="707"/>
      <c r="HG519" s="707"/>
      <c r="HH519" s="707"/>
      <c r="HI519" s="707"/>
      <c r="HJ519" s="707"/>
      <c r="HK519" s="707"/>
      <c r="HL519" s="707"/>
      <c r="HM519" s="707"/>
      <c r="HN519" s="707"/>
      <c r="HO519" s="707"/>
      <c r="HP519" s="707"/>
      <c r="HQ519" s="707"/>
      <c r="HR519" s="707"/>
      <c r="HS519" s="707"/>
      <c r="HT519" s="707"/>
      <c r="HU519" s="707"/>
      <c r="HV519" s="707"/>
      <c r="HW519" s="707"/>
      <c r="HX519" s="707"/>
      <c r="HY519" s="707"/>
      <c r="HZ519" s="707"/>
      <c r="IA519" s="707"/>
      <c r="IB519" s="707"/>
      <c r="IC519" s="707"/>
      <c r="ID519" s="707"/>
      <c r="IE519" s="707"/>
      <c r="IF519" s="707"/>
      <c r="IG519" s="707"/>
      <c r="IH519" s="707"/>
      <c r="II519" s="707"/>
      <c r="IJ519" s="707"/>
      <c r="IK519" s="707"/>
      <c r="IL519" s="707"/>
      <c r="IM519" s="707"/>
      <c r="IN519" s="707"/>
      <c r="IO519" s="707"/>
      <c r="IP519" s="707"/>
      <c r="IQ519" s="707"/>
      <c r="IR519" s="707"/>
      <c r="IS519" s="707"/>
      <c r="IT519" s="707"/>
      <c r="IU519" s="707"/>
      <c r="IV519" s="707"/>
      <c r="IW519" s="707"/>
    </row>
    <row r="520" customFormat="false" ht="12.75" hidden="false" customHeight="false" outlineLevel="1" collapsed="false">
      <c r="A520" s="388"/>
      <c r="B520" s="719"/>
      <c r="C520" s="719"/>
      <c r="D520" s="719"/>
      <c r="E520" s="713"/>
      <c r="F520" s="713"/>
      <c r="G520" s="713"/>
      <c r="H520" s="713"/>
      <c r="I520" s="713"/>
      <c r="J520" s="713"/>
      <c r="K520" s="713"/>
      <c r="L520" s="713"/>
      <c r="M520" s="713"/>
      <c r="N520" s="713"/>
      <c r="O520" s="713"/>
      <c r="P520" s="713"/>
      <c r="Q520" s="713"/>
      <c r="R520" s="713"/>
      <c r="S520" s="713"/>
      <c r="T520" s="713"/>
      <c r="U520" s="713"/>
      <c r="V520" s="713"/>
      <c r="W520" s="713"/>
      <c r="X520" s="713"/>
      <c r="Y520" s="713"/>
      <c r="Z520" s="713"/>
      <c r="AA520" s="707"/>
      <c r="AB520" s="707"/>
      <c r="AC520" s="707"/>
      <c r="AD520" s="707"/>
      <c r="AE520" s="707"/>
      <c r="AF520" s="707"/>
      <c r="AG520" s="707"/>
      <c r="AH520" s="707"/>
      <c r="AI520" s="707"/>
      <c r="AJ520" s="707"/>
      <c r="AK520" s="707"/>
      <c r="AL520" s="707"/>
      <c r="AM520" s="707"/>
      <c r="AN520" s="707"/>
      <c r="AO520" s="707"/>
      <c r="AP520" s="707"/>
      <c r="AQ520" s="707"/>
      <c r="AR520" s="707"/>
      <c r="AS520" s="707"/>
      <c r="AT520" s="707"/>
      <c r="AU520" s="707"/>
      <c r="AV520" s="707"/>
      <c r="AW520" s="707"/>
      <c r="AX520" s="707"/>
      <c r="AY520" s="707"/>
      <c r="AZ520" s="707"/>
      <c r="BA520" s="707"/>
      <c r="BB520" s="707"/>
      <c r="BC520" s="707"/>
      <c r="BD520" s="707"/>
      <c r="BE520" s="707"/>
      <c r="BF520" s="707"/>
      <c r="BG520" s="707"/>
      <c r="BH520" s="707"/>
      <c r="BI520" s="707"/>
      <c r="BJ520" s="707"/>
      <c r="BK520" s="707"/>
      <c r="BL520" s="707"/>
      <c r="BM520" s="707"/>
      <c r="BN520" s="707"/>
      <c r="BO520" s="707"/>
      <c r="BP520" s="707"/>
      <c r="BQ520" s="707"/>
      <c r="BR520" s="707"/>
      <c r="BS520" s="707"/>
      <c r="BT520" s="707"/>
      <c r="BU520" s="707"/>
      <c r="BV520" s="707"/>
      <c r="BW520" s="707"/>
      <c r="BX520" s="707"/>
      <c r="BY520" s="707"/>
      <c r="BZ520" s="707"/>
      <c r="CA520" s="707"/>
      <c r="CB520" s="707"/>
      <c r="CC520" s="707"/>
      <c r="CD520" s="707"/>
      <c r="CE520" s="707"/>
      <c r="CF520" s="707"/>
      <c r="CG520" s="707"/>
      <c r="CH520" s="707"/>
      <c r="CI520" s="707"/>
      <c r="CJ520" s="707"/>
      <c r="CK520" s="707"/>
      <c r="CL520" s="707"/>
      <c r="CM520" s="707"/>
      <c r="CN520" s="707"/>
      <c r="CO520" s="707"/>
      <c r="CP520" s="707"/>
      <c r="CQ520" s="707"/>
      <c r="CR520" s="707"/>
      <c r="CS520" s="707"/>
      <c r="CT520" s="707"/>
      <c r="CU520" s="707"/>
      <c r="CV520" s="707"/>
      <c r="CW520" s="707"/>
      <c r="CX520" s="707"/>
      <c r="CY520" s="707"/>
      <c r="CZ520" s="707"/>
      <c r="DA520" s="707"/>
      <c r="DB520" s="707"/>
      <c r="DC520" s="707"/>
      <c r="DD520" s="707"/>
      <c r="DE520" s="707"/>
      <c r="DF520" s="707"/>
      <c r="DG520" s="707"/>
      <c r="DH520" s="707"/>
      <c r="DI520" s="707"/>
      <c r="DJ520" s="707"/>
      <c r="DK520" s="707"/>
      <c r="DL520" s="707"/>
      <c r="DM520" s="707"/>
      <c r="DN520" s="707"/>
      <c r="DO520" s="707"/>
      <c r="DP520" s="707"/>
      <c r="DQ520" s="707"/>
      <c r="DR520" s="707"/>
      <c r="DS520" s="707"/>
      <c r="DT520" s="707"/>
      <c r="DU520" s="707"/>
      <c r="DV520" s="707"/>
      <c r="DW520" s="707"/>
      <c r="DX520" s="707"/>
      <c r="DY520" s="707"/>
      <c r="DZ520" s="707"/>
      <c r="EA520" s="707"/>
      <c r="EB520" s="707"/>
      <c r="EC520" s="707"/>
      <c r="ED520" s="707"/>
      <c r="EE520" s="707"/>
      <c r="EF520" s="707"/>
      <c r="EG520" s="707"/>
      <c r="EH520" s="707"/>
      <c r="EI520" s="707"/>
      <c r="EJ520" s="707"/>
      <c r="EK520" s="707"/>
      <c r="EL520" s="707"/>
      <c r="EM520" s="707"/>
      <c r="EN520" s="707"/>
      <c r="EO520" s="707"/>
      <c r="EP520" s="707"/>
      <c r="EQ520" s="707"/>
      <c r="ER520" s="707"/>
      <c r="ES520" s="707"/>
      <c r="ET520" s="707"/>
      <c r="EU520" s="707"/>
      <c r="EV520" s="707"/>
      <c r="EW520" s="707"/>
      <c r="EX520" s="707"/>
      <c r="EY520" s="707"/>
      <c r="EZ520" s="707"/>
      <c r="FA520" s="707"/>
      <c r="FB520" s="707"/>
      <c r="FC520" s="707"/>
      <c r="FD520" s="707"/>
      <c r="FE520" s="707"/>
      <c r="FF520" s="707"/>
      <c r="FG520" s="707"/>
      <c r="FH520" s="707"/>
      <c r="FI520" s="707"/>
      <c r="FJ520" s="707"/>
      <c r="FK520" s="707"/>
      <c r="FL520" s="707"/>
      <c r="FM520" s="707"/>
      <c r="FN520" s="707"/>
      <c r="FO520" s="707"/>
      <c r="FP520" s="707"/>
      <c r="FQ520" s="707"/>
      <c r="FR520" s="707"/>
      <c r="FS520" s="707"/>
      <c r="FT520" s="707"/>
      <c r="FU520" s="707"/>
      <c r="FV520" s="707"/>
      <c r="FW520" s="707"/>
      <c r="FX520" s="707"/>
      <c r="FY520" s="707"/>
      <c r="FZ520" s="707"/>
      <c r="GA520" s="707"/>
      <c r="GB520" s="707"/>
      <c r="GC520" s="707"/>
      <c r="GD520" s="707"/>
      <c r="GE520" s="707"/>
      <c r="GF520" s="707"/>
      <c r="GG520" s="707"/>
      <c r="GH520" s="707"/>
      <c r="GI520" s="707"/>
      <c r="GJ520" s="707"/>
      <c r="GK520" s="707"/>
      <c r="GL520" s="707"/>
      <c r="GM520" s="707"/>
      <c r="GN520" s="707"/>
      <c r="GO520" s="707"/>
      <c r="GP520" s="707"/>
      <c r="GQ520" s="707"/>
      <c r="GR520" s="707"/>
      <c r="GS520" s="707"/>
      <c r="GT520" s="707"/>
      <c r="GU520" s="707"/>
      <c r="GV520" s="707"/>
      <c r="GW520" s="707"/>
      <c r="GX520" s="707"/>
      <c r="GY520" s="707"/>
      <c r="GZ520" s="707"/>
      <c r="HA520" s="707"/>
      <c r="HB520" s="707"/>
      <c r="HC520" s="707"/>
      <c r="HD520" s="707"/>
      <c r="HE520" s="707"/>
      <c r="HF520" s="707"/>
      <c r="HG520" s="707"/>
      <c r="HH520" s="707"/>
      <c r="HI520" s="707"/>
      <c r="HJ520" s="707"/>
      <c r="HK520" s="707"/>
      <c r="HL520" s="707"/>
      <c r="HM520" s="707"/>
      <c r="HN520" s="707"/>
      <c r="HO520" s="707"/>
      <c r="HP520" s="707"/>
      <c r="HQ520" s="707"/>
      <c r="HR520" s="707"/>
      <c r="HS520" s="707"/>
      <c r="HT520" s="707"/>
      <c r="HU520" s="707"/>
      <c r="HV520" s="707"/>
      <c r="HW520" s="707"/>
      <c r="HX520" s="707"/>
      <c r="HY520" s="707"/>
      <c r="HZ520" s="707"/>
      <c r="IA520" s="707"/>
      <c r="IB520" s="707"/>
      <c r="IC520" s="707"/>
      <c r="ID520" s="707"/>
      <c r="IE520" s="707"/>
      <c r="IF520" s="707"/>
      <c r="IG520" s="707"/>
      <c r="IH520" s="707"/>
      <c r="II520" s="707"/>
      <c r="IJ520" s="707"/>
      <c r="IK520" s="707"/>
      <c r="IL520" s="707"/>
      <c r="IM520" s="707"/>
      <c r="IN520" s="707"/>
      <c r="IO520" s="707"/>
      <c r="IP520" s="707"/>
      <c r="IQ520" s="707"/>
      <c r="IR520" s="707"/>
      <c r="IS520" s="707"/>
      <c r="IT520" s="707"/>
      <c r="IU520" s="707"/>
      <c r="IV520" s="707"/>
      <c r="IW520" s="707"/>
    </row>
    <row r="521" customFormat="false" ht="12.75" hidden="false" customHeight="false" outlineLevel="1" collapsed="false">
      <c r="A521" s="388"/>
      <c r="B521" s="719"/>
      <c r="C521" s="719"/>
      <c r="D521" s="719"/>
      <c r="E521" s="713"/>
      <c r="F521" s="713"/>
      <c r="G521" s="713"/>
      <c r="H521" s="713"/>
      <c r="I521" s="713"/>
      <c r="J521" s="713"/>
      <c r="K521" s="713"/>
      <c r="L521" s="713"/>
      <c r="M521" s="713"/>
      <c r="N521" s="713"/>
      <c r="O521" s="713"/>
      <c r="P521" s="713"/>
      <c r="Q521" s="713"/>
      <c r="R521" s="713"/>
      <c r="S521" s="713"/>
      <c r="T521" s="713"/>
      <c r="U521" s="713"/>
      <c r="V521" s="713"/>
      <c r="W521" s="713"/>
      <c r="X521" s="713"/>
      <c r="Y521" s="713"/>
      <c r="Z521" s="713"/>
      <c r="AA521" s="707"/>
      <c r="AB521" s="707"/>
      <c r="AC521" s="707"/>
      <c r="AD521" s="707"/>
      <c r="AE521" s="707"/>
      <c r="AF521" s="707"/>
      <c r="AG521" s="707"/>
      <c r="AH521" s="707"/>
      <c r="AI521" s="707"/>
      <c r="AJ521" s="707"/>
      <c r="AK521" s="707"/>
      <c r="AL521" s="707"/>
      <c r="AM521" s="707"/>
      <c r="AN521" s="707"/>
      <c r="AO521" s="707"/>
      <c r="AP521" s="707"/>
      <c r="AQ521" s="707"/>
      <c r="AR521" s="707"/>
      <c r="AS521" s="707"/>
      <c r="AT521" s="707"/>
      <c r="AU521" s="707"/>
      <c r="AV521" s="707"/>
      <c r="AW521" s="707"/>
      <c r="AX521" s="707"/>
      <c r="AY521" s="707"/>
      <c r="AZ521" s="707"/>
      <c r="BA521" s="707"/>
      <c r="BB521" s="707"/>
      <c r="BC521" s="707"/>
      <c r="BD521" s="707"/>
      <c r="BE521" s="707"/>
      <c r="BF521" s="707"/>
      <c r="BG521" s="707"/>
      <c r="BH521" s="707"/>
      <c r="BI521" s="707"/>
      <c r="BJ521" s="707"/>
      <c r="BK521" s="707"/>
      <c r="BL521" s="707"/>
      <c r="BM521" s="707"/>
      <c r="BN521" s="707"/>
      <c r="BO521" s="707"/>
      <c r="BP521" s="707"/>
      <c r="BQ521" s="707"/>
      <c r="BR521" s="707"/>
      <c r="BS521" s="707"/>
      <c r="BT521" s="707"/>
      <c r="BU521" s="707"/>
      <c r="BV521" s="707"/>
      <c r="BW521" s="707"/>
      <c r="BX521" s="707"/>
      <c r="BY521" s="707"/>
      <c r="BZ521" s="707"/>
      <c r="CA521" s="707"/>
      <c r="CB521" s="707"/>
      <c r="CC521" s="707"/>
      <c r="CD521" s="707"/>
      <c r="CE521" s="707"/>
      <c r="CF521" s="707"/>
      <c r="CG521" s="707"/>
      <c r="CH521" s="707"/>
      <c r="CI521" s="707"/>
      <c r="CJ521" s="707"/>
      <c r="CK521" s="707"/>
      <c r="CL521" s="707"/>
      <c r="CM521" s="707"/>
      <c r="CN521" s="707"/>
      <c r="CO521" s="707"/>
      <c r="CP521" s="707"/>
      <c r="CQ521" s="707"/>
      <c r="CR521" s="707"/>
      <c r="CS521" s="707"/>
      <c r="CT521" s="707"/>
      <c r="CU521" s="707"/>
      <c r="CV521" s="707"/>
      <c r="CW521" s="707"/>
      <c r="CX521" s="707"/>
      <c r="CY521" s="707"/>
      <c r="CZ521" s="707"/>
      <c r="DA521" s="707"/>
      <c r="DB521" s="707"/>
      <c r="DC521" s="707"/>
      <c r="DD521" s="707"/>
      <c r="DE521" s="707"/>
      <c r="DF521" s="707"/>
      <c r="DG521" s="707"/>
      <c r="DH521" s="707"/>
      <c r="DI521" s="707"/>
      <c r="DJ521" s="707"/>
      <c r="DK521" s="707"/>
      <c r="DL521" s="707"/>
      <c r="DM521" s="707"/>
      <c r="DN521" s="707"/>
      <c r="DO521" s="707"/>
      <c r="DP521" s="707"/>
      <c r="DQ521" s="707"/>
      <c r="DR521" s="707"/>
      <c r="DS521" s="707"/>
      <c r="DT521" s="707"/>
      <c r="DU521" s="707"/>
      <c r="DV521" s="707"/>
      <c r="DW521" s="707"/>
      <c r="DX521" s="707"/>
      <c r="DY521" s="707"/>
      <c r="DZ521" s="707"/>
      <c r="EA521" s="707"/>
      <c r="EB521" s="707"/>
      <c r="EC521" s="707"/>
      <c r="ED521" s="707"/>
      <c r="EE521" s="707"/>
      <c r="EF521" s="707"/>
      <c r="EG521" s="707"/>
      <c r="EH521" s="707"/>
      <c r="EI521" s="707"/>
      <c r="EJ521" s="707"/>
      <c r="EK521" s="707"/>
      <c r="EL521" s="707"/>
      <c r="EM521" s="707"/>
      <c r="EN521" s="707"/>
      <c r="EO521" s="707"/>
      <c r="EP521" s="707"/>
      <c r="EQ521" s="707"/>
      <c r="ER521" s="707"/>
      <c r="ES521" s="707"/>
      <c r="ET521" s="707"/>
      <c r="EU521" s="707"/>
      <c r="EV521" s="707"/>
      <c r="EW521" s="707"/>
      <c r="EX521" s="707"/>
      <c r="EY521" s="707"/>
      <c r="EZ521" s="707"/>
      <c r="FA521" s="707"/>
      <c r="FB521" s="707"/>
      <c r="FC521" s="707"/>
      <c r="FD521" s="707"/>
      <c r="FE521" s="707"/>
      <c r="FF521" s="707"/>
      <c r="FG521" s="707"/>
      <c r="FH521" s="707"/>
      <c r="FI521" s="707"/>
      <c r="FJ521" s="707"/>
      <c r="FK521" s="707"/>
      <c r="FL521" s="707"/>
      <c r="FM521" s="707"/>
      <c r="FN521" s="707"/>
      <c r="FO521" s="707"/>
      <c r="FP521" s="707"/>
      <c r="FQ521" s="707"/>
      <c r="FR521" s="707"/>
      <c r="FS521" s="707"/>
      <c r="FT521" s="707"/>
      <c r="FU521" s="707"/>
      <c r="FV521" s="707"/>
      <c r="FW521" s="707"/>
      <c r="FX521" s="707"/>
      <c r="FY521" s="707"/>
      <c r="FZ521" s="707"/>
      <c r="GA521" s="707"/>
      <c r="GB521" s="707"/>
      <c r="GC521" s="707"/>
      <c r="GD521" s="707"/>
      <c r="GE521" s="707"/>
      <c r="GF521" s="707"/>
      <c r="GG521" s="707"/>
      <c r="GH521" s="707"/>
      <c r="GI521" s="707"/>
      <c r="GJ521" s="707"/>
      <c r="GK521" s="707"/>
      <c r="GL521" s="707"/>
      <c r="GM521" s="707"/>
      <c r="GN521" s="707"/>
      <c r="GO521" s="707"/>
      <c r="GP521" s="707"/>
      <c r="GQ521" s="707"/>
      <c r="GR521" s="707"/>
      <c r="GS521" s="707"/>
      <c r="GT521" s="707"/>
      <c r="GU521" s="707"/>
      <c r="GV521" s="707"/>
      <c r="GW521" s="707"/>
      <c r="GX521" s="707"/>
      <c r="GY521" s="707"/>
      <c r="GZ521" s="707"/>
      <c r="HA521" s="707"/>
      <c r="HB521" s="707"/>
      <c r="HC521" s="707"/>
      <c r="HD521" s="707"/>
      <c r="HE521" s="707"/>
      <c r="HF521" s="707"/>
      <c r="HG521" s="707"/>
      <c r="HH521" s="707"/>
      <c r="HI521" s="707"/>
      <c r="HJ521" s="707"/>
      <c r="HK521" s="707"/>
      <c r="HL521" s="707"/>
      <c r="HM521" s="707"/>
      <c r="HN521" s="707"/>
      <c r="HO521" s="707"/>
      <c r="HP521" s="707"/>
      <c r="HQ521" s="707"/>
      <c r="HR521" s="707"/>
      <c r="HS521" s="707"/>
      <c r="HT521" s="707"/>
      <c r="HU521" s="707"/>
      <c r="HV521" s="707"/>
      <c r="HW521" s="707"/>
      <c r="HX521" s="707"/>
      <c r="HY521" s="707"/>
      <c r="HZ521" s="707"/>
      <c r="IA521" s="707"/>
      <c r="IB521" s="707"/>
      <c r="IC521" s="707"/>
      <c r="ID521" s="707"/>
      <c r="IE521" s="707"/>
      <c r="IF521" s="707"/>
      <c r="IG521" s="707"/>
      <c r="IH521" s="707"/>
      <c r="II521" s="707"/>
      <c r="IJ521" s="707"/>
      <c r="IK521" s="707"/>
      <c r="IL521" s="707"/>
      <c r="IM521" s="707"/>
      <c r="IN521" s="707"/>
      <c r="IO521" s="707"/>
      <c r="IP521" s="707"/>
      <c r="IQ521" s="707"/>
      <c r="IR521" s="707"/>
      <c r="IS521" s="707"/>
      <c r="IT521" s="707"/>
      <c r="IU521" s="707"/>
      <c r="IV521" s="707"/>
      <c r="IW521" s="707"/>
    </row>
    <row r="522" customFormat="false" ht="12.75" hidden="false" customHeight="false" outlineLevel="1" collapsed="false">
      <c r="A522" s="70"/>
      <c r="B522" s="70"/>
      <c r="C522" s="70"/>
      <c r="D522" s="70"/>
      <c r="E522" s="70"/>
      <c r="F522" s="70"/>
      <c r="G522" s="70"/>
      <c r="H522" s="70"/>
      <c r="I522" s="70"/>
      <c r="J522" s="70"/>
      <c r="K522" s="70"/>
      <c r="L522" s="70"/>
      <c r="M522" s="70"/>
      <c r="N522" s="70"/>
      <c r="O522" s="70"/>
      <c r="P522" s="70"/>
      <c r="Q522" s="70"/>
      <c r="R522" s="70"/>
      <c r="S522" s="70"/>
      <c r="T522" s="70"/>
      <c r="U522" s="70"/>
      <c r="V522" s="70"/>
      <c r="W522" s="70"/>
      <c r="X522" s="70"/>
      <c r="Y522" s="70"/>
      <c r="Z522" s="70"/>
    </row>
    <row r="523" customFormat="false" ht="12.75" hidden="false" customHeight="false" outlineLevel="1" collapsed="false">
      <c r="A523" s="70"/>
      <c r="B523" s="70"/>
      <c r="C523" s="70"/>
      <c r="D523" s="70"/>
      <c r="E523" s="70"/>
      <c r="F523" s="70"/>
      <c r="G523" s="70"/>
      <c r="H523" s="70"/>
      <c r="I523" s="70"/>
      <c r="J523" s="70"/>
      <c r="K523" s="70"/>
      <c r="L523" s="70"/>
      <c r="M523" s="70"/>
      <c r="N523" s="70"/>
      <c r="O523" s="70"/>
      <c r="P523" s="70"/>
      <c r="Q523" s="70"/>
      <c r="R523" s="70"/>
      <c r="S523" s="70"/>
      <c r="T523" s="70"/>
      <c r="U523" s="70"/>
      <c r="V523" s="70"/>
      <c r="W523" s="70"/>
      <c r="X523" s="70"/>
      <c r="Y523" s="70"/>
      <c r="Z523" s="70"/>
    </row>
    <row r="524" customFormat="false" ht="12.75" hidden="false" customHeight="false" outlineLevel="1" collapsed="false">
      <c r="A524" s="70"/>
      <c r="B524" s="70"/>
      <c r="C524" s="70"/>
      <c r="D524" s="70"/>
      <c r="E524" s="70"/>
      <c r="F524" s="70"/>
      <c r="G524" s="70"/>
      <c r="H524" s="70"/>
      <c r="I524" s="70"/>
      <c r="J524" s="70"/>
      <c r="K524" s="70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  <c r="Y524" s="70"/>
      <c r="Z524" s="70"/>
    </row>
    <row r="525" customFormat="false" ht="18.75" hidden="false" customHeight="false" outlineLevel="1" collapsed="false">
      <c r="A525" s="683"/>
      <c r="B525" s="70"/>
      <c r="C525" s="70"/>
      <c r="D525" s="70"/>
      <c r="E525" s="70"/>
      <c r="F525" s="70"/>
      <c r="G525" s="70"/>
      <c r="H525" s="70"/>
      <c r="I525" s="70"/>
      <c r="J525" s="70"/>
      <c r="K525" s="70"/>
      <c r="L525" s="70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  <c r="Y525" s="70"/>
      <c r="Z525" s="70"/>
    </row>
    <row r="526" customFormat="false" ht="12.75" hidden="false" customHeight="false" outlineLevel="1" collapsed="false">
      <c r="A526" s="395"/>
      <c r="B526" s="70"/>
      <c r="C526" s="70"/>
      <c r="D526" s="70"/>
      <c r="E526" s="70"/>
      <c r="F526" s="70"/>
      <c r="G526" s="70"/>
      <c r="H526" s="70"/>
      <c r="I526" s="70"/>
      <c r="J526" s="70"/>
      <c r="K526" s="70"/>
      <c r="L526" s="70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  <c r="Y526" s="70"/>
      <c r="Z526" s="70"/>
    </row>
    <row r="527" customFormat="false" ht="12.75" hidden="false" customHeight="false" outlineLevel="1" collapsed="false">
      <c r="A527" s="727"/>
      <c r="B527" s="70"/>
      <c r="C527" s="70"/>
      <c r="D527" s="70"/>
      <c r="E527" s="70"/>
      <c r="F527" s="692"/>
      <c r="G527" s="692"/>
      <c r="H527" s="692"/>
      <c r="I527" s="692"/>
      <c r="J527" s="692"/>
      <c r="K527" s="692"/>
      <c r="L527" s="692"/>
      <c r="M527" s="692"/>
      <c r="N527" s="692"/>
      <c r="O527" s="692"/>
      <c r="P527" s="692"/>
      <c r="Q527" s="692"/>
      <c r="R527" s="70"/>
      <c r="S527" s="70"/>
      <c r="T527" s="70"/>
      <c r="U527" s="70"/>
      <c r="V527" s="70"/>
      <c r="W527" s="70"/>
      <c r="X527" s="70"/>
      <c r="Y527" s="70"/>
      <c r="Z527" s="70"/>
    </row>
    <row r="528" customFormat="false" ht="12.75" hidden="false" customHeight="false" outlineLevel="1" collapsed="false">
      <c r="A528" s="70"/>
      <c r="B528" s="70"/>
      <c r="C528" s="70"/>
      <c r="D528" s="70"/>
      <c r="E528" s="70"/>
      <c r="F528" s="70"/>
      <c r="G528" s="70"/>
      <c r="H528" s="70"/>
      <c r="I528" s="70"/>
      <c r="J528" s="70"/>
      <c r="K528" s="70"/>
      <c r="L528" s="70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  <c r="Y528" s="70"/>
      <c r="Z528" s="70"/>
    </row>
    <row r="529" customFormat="false" ht="12.75" hidden="false" customHeight="false" outlineLevel="1" collapsed="false">
      <c r="A529" s="322"/>
      <c r="B529" s="322"/>
      <c r="C529" s="322"/>
      <c r="D529" s="322"/>
      <c r="E529" s="321"/>
      <c r="F529" s="321"/>
      <c r="G529" s="321"/>
      <c r="H529" s="321"/>
      <c r="I529" s="321"/>
      <c r="J529" s="321"/>
      <c r="K529" s="321"/>
      <c r="L529" s="321"/>
      <c r="M529" s="321"/>
      <c r="N529" s="321"/>
      <c r="O529" s="321"/>
      <c r="P529" s="321"/>
      <c r="Q529" s="321"/>
      <c r="R529" s="70"/>
      <c r="S529" s="70"/>
      <c r="T529" s="70"/>
      <c r="U529" s="70"/>
      <c r="V529" s="70"/>
      <c r="W529" s="70"/>
      <c r="X529" s="70"/>
      <c r="Y529" s="70"/>
      <c r="Z529" s="70"/>
    </row>
    <row r="530" customFormat="false" ht="12.75" hidden="true" customHeight="false" outlineLevel="2" collapsed="false">
      <c r="A530" s="395"/>
      <c r="B530" s="70"/>
      <c r="C530" s="70"/>
      <c r="D530" s="70"/>
      <c r="E530" s="70"/>
      <c r="F530" s="70"/>
      <c r="G530" s="70"/>
      <c r="H530" s="70"/>
      <c r="I530" s="70"/>
      <c r="J530" s="70"/>
      <c r="K530" s="70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  <c r="Y530" s="70"/>
      <c r="Z530" s="70"/>
    </row>
    <row r="531" customFormat="false" ht="12.75" hidden="true" customHeight="false" outlineLevel="2" collapsed="false">
      <c r="A531" s="685"/>
      <c r="B531" s="70"/>
      <c r="C531" s="70"/>
      <c r="D531" s="70"/>
      <c r="E531" s="70"/>
      <c r="F531" s="686"/>
      <c r="G531" s="686"/>
      <c r="H531" s="686"/>
      <c r="I531" s="686"/>
      <c r="J531" s="686"/>
      <c r="K531" s="686"/>
      <c r="L531" s="686"/>
      <c r="M531" s="686"/>
      <c r="N531" s="686"/>
      <c r="O531" s="686"/>
      <c r="P531" s="686"/>
      <c r="Q531" s="686"/>
      <c r="R531" s="70"/>
      <c r="S531" s="70"/>
      <c r="T531" s="70"/>
      <c r="U531" s="70"/>
      <c r="V531" s="70"/>
      <c r="W531" s="70"/>
      <c r="X531" s="70"/>
      <c r="Y531" s="70"/>
      <c r="Z531" s="70"/>
    </row>
    <row r="532" customFormat="false" ht="12.75" hidden="true" customHeight="false" outlineLevel="2" collapsed="false">
      <c r="A532" s="685"/>
      <c r="B532" s="70"/>
      <c r="C532" s="70"/>
      <c r="D532" s="70"/>
      <c r="E532" s="70"/>
      <c r="F532" s="686"/>
      <c r="G532" s="686"/>
      <c r="H532" s="686"/>
      <c r="I532" s="686"/>
      <c r="J532" s="686"/>
      <c r="K532" s="686"/>
      <c r="L532" s="686"/>
      <c r="M532" s="686"/>
      <c r="N532" s="686"/>
      <c r="O532" s="686"/>
      <c r="P532" s="686"/>
      <c r="Q532" s="686"/>
      <c r="R532" s="70"/>
      <c r="S532" s="70"/>
      <c r="T532" s="70"/>
      <c r="U532" s="70"/>
      <c r="V532" s="70"/>
      <c r="W532" s="70"/>
      <c r="X532" s="70"/>
      <c r="Y532" s="70"/>
      <c r="Z532" s="70"/>
    </row>
    <row r="533" customFormat="false" ht="12.75" hidden="true" customHeight="false" outlineLevel="2" collapsed="false">
      <c r="A533" s="728"/>
      <c r="B533" s="70"/>
      <c r="C533" s="70"/>
      <c r="D533" s="70"/>
      <c r="E533" s="70"/>
      <c r="F533" s="686"/>
      <c r="G533" s="686"/>
      <c r="H533" s="686"/>
      <c r="I533" s="686"/>
      <c r="J533" s="686"/>
      <c r="K533" s="686"/>
      <c r="L533" s="686"/>
      <c r="M533" s="686"/>
      <c r="N533" s="686"/>
      <c r="O533" s="686"/>
      <c r="P533" s="686"/>
      <c r="Q533" s="686"/>
      <c r="R533" s="70"/>
      <c r="S533" s="70"/>
      <c r="T533" s="70"/>
      <c r="U533" s="70"/>
      <c r="V533" s="70"/>
      <c r="W533" s="70"/>
      <c r="X533" s="70"/>
      <c r="Y533" s="70"/>
      <c r="Z533" s="70"/>
    </row>
    <row r="534" customFormat="false" ht="12.75" hidden="true" customHeight="false" outlineLevel="2" collapsed="false">
      <c r="A534" s="685"/>
      <c r="B534" s="70"/>
      <c r="C534" s="70"/>
      <c r="D534" s="70"/>
      <c r="E534" s="70"/>
      <c r="F534" s="686"/>
      <c r="G534" s="686"/>
      <c r="H534" s="686"/>
      <c r="I534" s="686"/>
      <c r="J534" s="686"/>
      <c r="K534" s="686"/>
      <c r="L534" s="686"/>
      <c r="M534" s="686"/>
      <c r="N534" s="686"/>
      <c r="O534" s="686"/>
      <c r="P534" s="686"/>
      <c r="Q534" s="686"/>
      <c r="R534" s="70"/>
      <c r="S534" s="70"/>
      <c r="T534" s="70"/>
      <c r="U534" s="70"/>
      <c r="V534" s="70"/>
      <c r="W534" s="70"/>
      <c r="X534" s="70"/>
      <c r="Y534" s="70"/>
      <c r="Z534" s="70"/>
    </row>
    <row r="535" customFormat="false" ht="12.75" hidden="true" customHeight="false" outlineLevel="2" collapsed="false">
      <c r="A535" s="70"/>
      <c r="B535" s="70"/>
      <c r="C535" s="70"/>
      <c r="D535" s="70"/>
      <c r="E535" s="70"/>
      <c r="F535" s="686"/>
      <c r="G535" s="686"/>
      <c r="H535" s="686"/>
      <c r="I535" s="686"/>
      <c r="J535" s="686"/>
      <c r="K535" s="686"/>
      <c r="L535" s="686"/>
      <c r="M535" s="686"/>
      <c r="N535" s="686"/>
      <c r="O535" s="686"/>
      <c r="P535" s="686"/>
      <c r="Q535" s="686"/>
      <c r="R535" s="70"/>
      <c r="S535" s="70"/>
      <c r="T535" s="70"/>
      <c r="U535" s="70"/>
      <c r="V535" s="70"/>
      <c r="W535" s="70"/>
      <c r="X535" s="70"/>
      <c r="Y535" s="70"/>
      <c r="Z535" s="70"/>
    </row>
    <row r="536" customFormat="false" ht="12.75" hidden="true" customHeight="false" outlineLevel="2" collapsed="false">
      <c r="A536" s="395"/>
      <c r="B536" s="70"/>
      <c r="C536" s="70"/>
      <c r="D536" s="70"/>
      <c r="E536" s="70"/>
      <c r="F536" s="686"/>
      <c r="G536" s="686"/>
      <c r="H536" s="686"/>
      <c r="I536" s="686"/>
      <c r="J536" s="686"/>
      <c r="K536" s="686"/>
      <c r="L536" s="686"/>
      <c r="M536" s="686"/>
      <c r="N536" s="686"/>
      <c r="O536" s="686"/>
      <c r="P536" s="686"/>
      <c r="Q536" s="686"/>
      <c r="R536" s="70"/>
      <c r="S536" s="70"/>
      <c r="T536" s="70"/>
      <c r="U536" s="70"/>
      <c r="V536" s="70"/>
      <c r="W536" s="70"/>
      <c r="X536" s="70"/>
      <c r="Y536" s="70"/>
      <c r="Z536" s="70"/>
    </row>
    <row r="537" customFormat="false" ht="12.75" hidden="true" customHeight="false" outlineLevel="2" collapsed="false">
      <c r="A537" s="685"/>
      <c r="B537" s="70"/>
      <c r="C537" s="70"/>
      <c r="D537" s="70"/>
      <c r="E537" s="70"/>
      <c r="F537" s="686"/>
      <c r="G537" s="686"/>
      <c r="H537" s="686"/>
      <c r="I537" s="686"/>
      <c r="J537" s="686"/>
      <c r="K537" s="686"/>
      <c r="L537" s="686"/>
      <c r="M537" s="686"/>
      <c r="N537" s="686"/>
      <c r="O537" s="686"/>
      <c r="P537" s="686"/>
      <c r="Q537" s="686"/>
      <c r="R537" s="70"/>
      <c r="S537" s="70"/>
      <c r="T537" s="70"/>
      <c r="U537" s="70"/>
      <c r="V537" s="70"/>
      <c r="W537" s="70"/>
      <c r="X537" s="70"/>
      <c r="Y537" s="70"/>
      <c r="Z537" s="70"/>
    </row>
    <row r="538" customFormat="false" ht="12.75" hidden="true" customHeight="false" outlineLevel="2" collapsed="false">
      <c r="A538" s="685"/>
      <c r="B538" s="70"/>
      <c r="C538" s="70"/>
      <c r="D538" s="70"/>
      <c r="E538" s="70"/>
      <c r="F538" s="686"/>
      <c r="G538" s="686"/>
      <c r="H538" s="686"/>
      <c r="I538" s="686"/>
      <c r="J538" s="686"/>
      <c r="K538" s="686"/>
      <c r="L538" s="686"/>
      <c r="M538" s="686"/>
      <c r="N538" s="686"/>
      <c r="O538" s="686"/>
      <c r="P538" s="686"/>
      <c r="Q538" s="686"/>
      <c r="R538" s="70"/>
      <c r="S538" s="70"/>
      <c r="T538" s="70"/>
      <c r="U538" s="70"/>
      <c r="V538" s="70"/>
      <c r="W538" s="70"/>
      <c r="X538" s="70"/>
      <c r="Y538" s="70"/>
      <c r="Z538" s="70"/>
    </row>
    <row r="539" customFormat="false" ht="12.75" hidden="true" customHeight="false" outlineLevel="2" collapsed="false">
      <c r="A539" s="685"/>
      <c r="B539" s="70"/>
      <c r="C539" s="70"/>
      <c r="D539" s="70"/>
      <c r="E539" s="70"/>
      <c r="F539" s="686"/>
      <c r="G539" s="686"/>
      <c r="H539" s="686"/>
      <c r="I539" s="686"/>
      <c r="J539" s="686"/>
      <c r="K539" s="686"/>
      <c r="L539" s="686"/>
      <c r="M539" s="686"/>
      <c r="N539" s="686"/>
      <c r="O539" s="686"/>
      <c r="P539" s="686"/>
      <c r="Q539" s="686"/>
      <c r="R539" s="70"/>
      <c r="S539" s="70"/>
      <c r="T539" s="70"/>
      <c r="U539" s="70"/>
      <c r="V539" s="70"/>
      <c r="W539" s="70"/>
      <c r="X539" s="70"/>
      <c r="Y539" s="70"/>
      <c r="Z539" s="70"/>
    </row>
    <row r="540" customFormat="false" ht="12.75" hidden="true" customHeight="false" outlineLevel="2" collapsed="false">
      <c r="A540" s="685"/>
      <c r="B540" s="70"/>
      <c r="C540" s="70"/>
      <c r="D540" s="70"/>
      <c r="E540" s="70"/>
      <c r="F540" s="686"/>
      <c r="G540" s="686"/>
      <c r="H540" s="686"/>
      <c r="I540" s="686"/>
      <c r="J540" s="686"/>
      <c r="K540" s="686"/>
      <c r="L540" s="686"/>
      <c r="M540" s="686"/>
      <c r="N540" s="686"/>
      <c r="O540" s="686"/>
      <c r="P540" s="686"/>
      <c r="Q540" s="686"/>
      <c r="R540" s="70"/>
      <c r="S540" s="70"/>
      <c r="T540" s="70"/>
      <c r="U540" s="70"/>
      <c r="V540" s="70"/>
      <c r="W540" s="70"/>
      <c r="X540" s="70"/>
      <c r="Y540" s="70"/>
      <c r="Z540" s="70"/>
    </row>
    <row r="541" customFormat="false" ht="12.75" hidden="true" customHeight="false" outlineLevel="2" collapsed="false">
      <c r="A541" s="685"/>
      <c r="B541" s="70"/>
      <c r="C541" s="70"/>
      <c r="D541" s="70"/>
      <c r="E541" s="70"/>
      <c r="F541" s="686"/>
      <c r="G541" s="686"/>
      <c r="H541" s="686"/>
      <c r="I541" s="686"/>
      <c r="J541" s="686"/>
      <c r="K541" s="686"/>
      <c r="L541" s="686"/>
      <c r="M541" s="686"/>
      <c r="N541" s="686"/>
      <c r="O541" s="686"/>
      <c r="P541" s="686"/>
      <c r="Q541" s="686"/>
      <c r="R541" s="70"/>
      <c r="S541" s="70"/>
      <c r="T541" s="70"/>
      <c r="U541" s="70"/>
      <c r="V541" s="70"/>
      <c r="W541" s="70"/>
      <c r="X541" s="70"/>
      <c r="Y541" s="70"/>
      <c r="Z541" s="70"/>
    </row>
    <row r="542" customFormat="false" ht="12.75" hidden="true" customHeight="false" outlineLevel="2" collapsed="false">
      <c r="A542" s="685"/>
      <c r="B542" s="70"/>
      <c r="C542" s="70"/>
      <c r="D542" s="70"/>
      <c r="E542" s="70"/>
      <c r="F542" s="686"/>
      <c r="G542" s="686"/>
      <c r="H542" s="686"/>
      <c r="I542" s="686"/>
      <c r="J542" s="686"/>
      <c r="K542" s="686"/>
      <c r="L542" s="686"/>
      <c r="M542" s="686"/>
      <c r="N542" s="686"/>
      <c r="O542" s="686"/>
      <c r="P542" s="686"/>
      <c r="Q542" s="686"/>
      <c r="R542" s="70"/>
      <c r="S542" s="70"/>
      <c r="T542" s="70"/>
      <c r="U542" s="70"/>
      <c r="V542" s="70"/>
      <c r="W542" s="70"/>
      <c r="X542" s="70"/>
      <c r="Y542" s="70"/>
      <c r="Z542" s="70"/>
    </row>
    <row r="543" customFormat="false" ht="12.75" hidden="true" customHeight="false" outlineLevel="2" collapsed="false">
      <c r="A543" s="685"/>
      <c r="B543" s="70"/>
      <c r="C543" s="70"/>
      <c r="D543" s="70"/>
      <c r="E543" s="70"/>
      <c r="F543" s="686"/>
      <c r="G543" s="686"/>
      <c r="H543" s="686"/>
      <c r="I543" s="686"/>
      <c r="J543" s="686"/>
      <c r="K543" s="686"/>
      <c r="L543" s="686"/>
      <c r="M543" s="686"/>
      <c r="N543" s="686"/>
      <c r="O543" s="686"/>
      <c r="P543" s="686"/>
      <c r="Q543" s="686"/>
      <c r="R543" s="70"/>
      <c r="S543" s="70"/>
      <c r="T543" s="70"/>
      <c r="U543" s="70"/>
      <c r="V543" s="70"/>
      <c r="W543" s="70"/>
      <c r="X543" s="70"/>
      <c r="Y543" s="70"/>
      <c r="Z543" s="70"/>
    </row>
    <row r="544" customFormat="false" ht="12.75" hidden="true" customHeight="false" outlineLevel="2" collapsed="false">
      <c r="A544" s="685"/>
      <c r="B544" s="70"/>
      <c r="C544" s="70"/>
      <c r="D544" s="70"/>
      <c r="E544" s="70"/>
      <c r="F544" s="686"/>
      <c r="G544" s="686"/>
      <c r="H544" s="686"/>
      <c r="I544" s="686"/>
      <c r="J544" s="686"/>
      <c r="K544" s="686"/>
      <c r="L544" s="686"/>
      <c r="M544" s="686"/>
      <c r="N544" s="686"/>
      <c r="O544" s="686"/>
      <c r="P544" s="686"/>
      <c r="Q544" s="686"/>
      <c r="R544" s="70"/>
      <c r="S544" s="70"/>
      <c r="T544" s="70"/>
      <c r="U544" s="70"/>
      <c r="V544" s="70"/>
      <c r="W544" s="70"/>
      <c r="X544" s="70"/>
      <c r="Y544" s="70"/>
      <c r="Z544" s="70"/>
    </row>
    <row r="545" customFormat="false" ht="12.75" hidden="true" customHeight="false" outlineLevel="2" collapsed="false">
      <c r="A545" s="685"/>
      <c r="B545" s="70"/>
      <c r="C545" s="70"/>
      <c r="D545" s="70"/>
      <c r="E545" s="70"/>
      <c r="F545" s="686"/>
      <c r="G545" s="686"/>
      <c r="H545" s="686"/>
      <c r="I545" s="686"/>
      <c r="J545" s="686"/>
      <c r="K545" s="686"/>
      <c r="L545" s="686"/>
      <c r="M545" s="686"/>
      <c r="N545" s="686"/>
      <c r="O545" s="686"/>
      <c r="P545" s="686"/>
      <c r="Q545" s="686"/>
      <c r="R545" s="70"/>
      <c r="S545" s="70"/>
      <c r="T545" s="70"/>
      <c r="U545" s="70"/>
      <c r="V545" s="70"/>
      <c r="W545" s="70"/>
      <c r="X545" s="70"/>
      <c r="Y545" s="70"/>
      <c r="Z545" s="70"/>
    </row>
    <row r="546" customFormat="false" ht="12.75" hidden="true" customHeight="false" outlineLevel="2" collapsed="false">
      <c r="A546" s="685"/>
      <c r="B546" s="70"/>
      <c r="C546" s="70"/>
      <c r="D546" s="70"/>
      <c r="E546" s="70"/>
      <c r="F546" s="686"/>
      <c r="G546" s="686"/>
      <c r="H546" s="686"/>
      <c r="I546" s="686"/>
      <c r="J546" s="686"/>
      <c r="K546" s="686"/>
      <c r="L546" s="686"/>
      <c r="M546" s="686"/>
      <c r="N546" s="686"/>
      <c r="O546" s="686"/>
      <c r="P546" s="686"/>
      <c r="Q546" s="686"/>
      <c r="R546" s="70"/>
      <c r="S546" s="70"/>
      <c r="T546" s="70"/>
      <c r="U546" s="70"/>
      <c r="V546" s="70"/>
      <c r="W546" s="70"/>
      <c r="X546" s="70"/>
      <c r="Y546" s="70"/>
      <c r="Z546" s="70"/>
    </row>
    <row r="547" customFormat="false" ht="12.75" hidden="true" customHeight="false" outlineLevel="2" collapsed="false">
      <c r="A547" s="70"/>
      <c r="B547" s="70"/>
      <c r="C547" s="70"/>
      <c r="D547" s="70"/>
      <c r="E547" s="70"/>
      <c r="F547" s="686"/>
      <c r="G547" s="686"/>
      <c r="H547" s="686"/>
      <c r="I547" s="686"/>
      <c r="J547" s="686"/>
      <c r="K547" s="686"/>
      <c r="L547" s="686"/>
      <c r="M547" s="686"/>
      <c r="N547" s="686"/>
      <c r="O547" s="686"/>
      <c r="P547" s="686"/>
      <c r="Q547" s="686"/>
      <c r="R547" s="70"/>
      <c r="S547" s="70"/>
      <c r="T547" s="70"/>
      <c r="U547" s="70"/>
      <c r="V547" s="70"/>
      <c r="W547" s="70"/>
      <c r="X547" s="70"/>
      <c r="Y547" s="70"/>
      <c r="Z547" s="70"/>
    </row>
    <row r="548" customFormat="false" ht="12.75" hidden="true" customHeight="false" outlineLevel="2" collapsed="false">
      <c r="A548" s="70"/>
      <c r="B548" s="70"/>
      <c r="C548" s="70"/>
      <c r="D548" s="70"/>
      <c r="E548" s="70"/>
      <c r="F548" s="686"/>
      <c r="G548" s="686"/>
      <c r="H548" s="686"/>
      <c r="I548" s="686"/>
      <c r="J548" s="686"/>
      <c r="K548" s="686"/>
      <c r="L548" s="686"/>
      <c r="M548" s="686"/>
      <c r="N548" s="686"/>
      <c r="O548" s="686"/>
      <c r="P548" s="686"/>
      <c r="Q548" s="686"/>
      <c r="R548" s="70"/>
      <c r="S548" s="70"/>
      <c r="T548" s="70"/>
      <c r="U548" s="70"/>
      <c r="V548" s="70"/>
      <c r="W548" s="70"/>
      <c r="X548" s="70"/>
      <c r="Y548" s="70"/>
      <c r="Z548" s="70"/>
    </row>
    <row r="549" customFormat="false" ht="12.75" hidden="true" customHeight="false" outlineLevel="2" collapsed="false">
      <c r="A549" s="70"/>
      <c r="B549" s="70"/>
      <c r="C549" s="70"/>
      <c r="D549" s="70"/>
      <c r="E549" s="70"/>
      <c r="F549" s="686"/>
      <c r="G549" s="686"/>
      <c r="H549" s="686"/>
      <c r="I549" s="686"/>
      <c r="J549" s="686"/>
      <c r="K549" s="686"/>
      <c r="L549" s="686"/>
      <c r="M549" s="686"/>
      <c r="N549" s="686"/>
      <c r="O549" s="686"/>
      <c r="P549" s="686"/>
      <c r="Q549" s="686"/>
      <c r="R549" s="70"/>
      <c r="S549" s="70"/>
      <c r="T549" s="70"/>
      <c r="U549" s="70"/>
      <c r="V549" s="70"/>
      <c r="W549" s="70"/>
      <c r="X549" s="70"/>
      <c r="Y549" s="70"/>
      <c r="Z549" s="70"/>
    </row>
    <row r="550" customFormat="false" ht="12.75" hidden="true" customHeight="false" outlineLevel="2" collapsed="false">
      <c r="A550" s="685"/>
      <c r="B550" s="70"/>
      <c r="C550" s="70"/>
      <c r="D550" s="70"/>
      <c r="E550" s="70"/>
      <c r="F550" s="686"/>
      <c r="G550" s="686"/>
      <c r="H550" s="686"/>
      <c r="I550" s="686"/>
      <c r="J550" s="686"/>
      <c r="K550" s="686"/>
      <c r="L550" s="686"/>
      <c r="M550" s="686"/>
      <c r="N550" s="686"/>
      <c r="O550" s="686"/>
      <c r="P550" s="686"/>
      <c r="Q550" s="686"/>
      <c r="R550" s="70"/>
      <c r="S550" s="70"/>
      <c r="T550" s="70"/>
      <c r="U550" s="70"/>
      <c r="V550" s="70"/>
      <c r="W550" s="70"/>
      <c r="X550" s="70"/>
      <c r="Y550" s="70"/>
      <c r="Z550" s="70"/>
    </row>
    <row r="551" customFormat="false" ht="12.75" hidden="true" customHeight="false" outlineLevel="2" collapsed="false">
      <c r="A551" s="70"/>
      <c r="B551" s="70"/>
      <c r="C551" s="70"/>
      <c r="D551" s="70"/>
      <c r="E551" s="70"/>
      <c r="F551" s="686"/>
      <c r="G551" s="686"/>
      <c r="H551" s="686"/>
      <c r="I551" s="686"/>
      <c r="J551" s="686"/>
      <c r="K551" s="686"/>
      <c r="L551" s="686"/>
      <c r="M551" s="686"/>
      <c r="N551" s="686"/>
      <c r="O551" s="686"/>
      <c r="P551" s="686"/>
      <c r="Q551" s="686"/>
      <c r="R551" s="70"/>
      <c r="S551" s="70"/>
      <c r="T551" s="70"/>
      <c r="U551" s="70"/>
      <c r="V551" s="70"/>
      <c r="W551" s="70"/>
      <c r="X551" s="70"/>
      <c r="Y551" s="70"/>
      <c r="Z551" s="70"/>
    </row>
    <row r="552" customFormat="false" ht="12.75" hidden="true" customHeight="false" outlineLevel="2" collapsed="false">
      <c r="A552" s="70"/>
      <c r="B552" s="70"/>
      <c r="C552" s="70"/>
      <c r="D552" s="70"/>
      <c r="E552" s="70"/>
      <c r="F552" s="686"/>
      <c r="G552" s="686"/>
      <c r="H552" s="686"/>
      <c r="I552" s="686"/>
      <c r="J552" s="686"/>
      <c r="K552" s="686"/>
      <c r="L552" s="686"/>
      <c r="M552" s="686"/>
      <c r="N552" s="686"/>
      <c r="O552" s="686"/>
      <c r="P552" s="686"/>
      <c r="Q552" s="686"/>
      <c r="R552" s="70"/>
      <c r="S552" s="70"/>
      <c r="T552" s="70"/>
      <c r="U552" s="70"/>
      <c r="V552" s="70"/>
      <c r="W552" s="70"/>
      <c r="X552" s="70"/>
      <c r="Y552" s="70"/>
      <c r="Z552" s="70"/>
    </row>
    <row r="553" customFormat="false" ht="12.75" hidden="true" customHeight="false" outlineLevel="2" collapsed="false">
      <c r="A553" s="395"/>
      <c r="B553" s="70"/>
      <c r="C553" s="70"/>
      <c r="D553" s="70"/>
      <c r="E553" s="70"/>
      <c r="F553" s="686"/>
      <c r="G553" s="686"/>
      <c r="H553" s="686"/>
      <c r="I553" s="686"/>
      <c r="J553" s="686"/>
      <c r="K553" s="686"/>
      <c r="L553" s="686"/>
      <c r="M553" s="686"/>
      <c r="N553" s="686"/>
      <c r="O553" s="686"/>
      <c r="P553" s="686"/>
      <c r="Q553" s="686"/>
      <c r="R553" s="70"/>
      <c r="S553" s="70"/>
      <c r="T553" s="70"/>
      <c r="U553" s="70"/>
      <c r="V553" s="70"/>
      <c r="W553" s="70"/>
      <c r="X553" s="70"/>
      <c r="Y553" s="70"/>
      <c r="Z553" s="70"/>
    </row>
    <row r="554" customFormat="false" ht="12.75" hidden="true" customHeight="false" outlineLevel="2" collapsed="false">
      <c r="A554" s="685"/>
      <c r="B554" s="70"/>
      <c r="C554" s="70"/>
      <c r="D554" s="70"/>
      <c r="E554" s="70"/>
      <c r="F554" s="686"/>
      <c r="G554" s="686"/>
      <c r="H554" s="686"/>
      <c r="I554" s="686"/>
      <c r="J554" s="686"/>
      <c r="K554" s="686"/>
      <c r="L554" s="686"/>
      <c r="M554" s="686"/>
      <c r="N554" s="686"/>
      <c r="O554" s="686"/>
      <c r="P554" s="686"/>
      <c r="Q554" s="686"/>
      <c r="R554" s="70"/>
      <c r="S554" s="70"/>
      <c r="T554" s="70"/>
      <c r="U554" s="70"/>
      <c r="V554" s="70"/>
      <c r="W554" s="70"/>
      <c r="X554" s="70"/>
      <c r="Y554" s="70"/>
      <c r="Z554" s="70"/>
    </row>
    <row r="555" customFormat="false" ht="12.75" hidden="false" customHeight="false" outlineLevel="1" collapsed="true">
      <c r="A555" s="395"/>
      <c r="B555" s="70"/>
      <c r="C555" s="70"/>
      <c r="D555" s="70"/>
      <c r="E555" s="70"/>
      <c r="F555" s="686"/>
      <c r="G555" s="686"/>
      <c r="H555" s="686"/>
      <c r="I555" s="686"/>
      <c r="J555" s="686"/>
      <c r="K555" s="686"/>
      <c r="L555" s="686"/>
      <c r="M555" s="686"/>
      <c r="N555" s="686"/>
      <c r="O555" s="686"/>
      <c r="P555" s="686"/>
      <c r="Q555" s="686"/>
      <c r="R555" s="70"/>
      <c r="S555" s="70"/>
      <c r="T555" s="70"/>
      <c r="U555" s="70"/>
      <c r="V555" s="70"/>
      <c r="W555" s="70"/>
      <c r="X555" s="70"/>
      <c r="Y555" s="70"/>
      <c r="Z555" s="70"/>
    </row>
    <row r="556" customFormat="false" ht="12.75" hidden="false" customHeight="false" outlineLevel="1" collapsed="false">
      <c r="A556" s="395"/>
      <c r="B556" s="70"/>
      <c r="C556" s="70"/>
      <c r="D556" s="70"/>
      <c r="E556" s="70"/>
      <c r="F556" s="686"/>
      <c r="G556" s="686"/>
      <c r="H556" s="686"/>
      <c r="I556" s="686"/>
      <c r="J556" s="686"/>
      <c r="K556" s="686"/>
      <c r="L556" s="686"/>
      <c r="M556" s="686"/>
      <c r="N556" s="686"/>
      <c r="O556" s="686"/>
      <c r="P556" s="686"/>
      <c r="Q556" s="686"/>
      <c r="R556" s="70"/>
      <c r="S556" s="70"/>
      <c r="T556" s="70"/>
      <c r="U556" s="70"/>
      <c r="V556" s="70"/>
      <c r="W556" s="70"/>
      <c r="X556" s="70"/>
      <c r="Y556" s="70"/>
      <c r="Z556" s="70"/>
    </row>
    <row r="557" customFormat="false" ht="12.75" hidden="false" customHeight="false" outlineLevel="1" collapsed="false">
      <c r="A557" s="395"/>
      <c r="B557" s="70"/>
      <c r="C557" s="70"/>
      <c r="D557" s="70"/>
      <c r="E557" s="70"/>
      <c r="F557" s="686"/>
      <c r="G557" s="686"/>
      <c r="H557" s="686"/>
      <c r="I557" s="686"/>
      <c r="J557" s="686"/>
      <c r="K557" s="686"/>
      <c r="L557" s="686"/>
      <c r="M557" s="686"/>
      <c r="N557" s="686"/>
      <c r="O557" s="686"/>
      <c r="P557" s="686"/>
      <c r="Q557" s="686"/>
      <c r="R557" s="70"/>
      <c r="S557" s="70"/>
      <c r="T557" s="70"/>
      <c r="U557" s="70"/>
      <c r="V557" s="70"/>
      <c r="W557" s="70"/>
      <c r="X557" s="70"/>
      <c r="Y557" s="70"/>
      <c r="Z557" s="70"/>
    </row>
    <row r="558" customFormat="false" ht="12.75" hidden="false" customHeight="false" outlineLevel="1" collapsed="false">
      <c r="A558" s="70"/>
      <c r="B558" s="70"/>
      <c r="C558" s="70"/>
      <c r="D558" s="70"/>
      <c r="E558" s="70"/>
      <c r="F558" s="686"/>
      <c r="G558" s="686"/>
      <c r="H558" s="686"/>
      <c r="I558" s="686"/>
      <c r="J558" s="686"/>
      <c r="K558" s="686"/>
      <c r="L558" s="686"/>
      <c r="M558" s="686"/>
      <c r="N558" s="686"/>
      <c r="O558" s="686"/>
      <c r="P558" s="686"/>
      <c r="Q558" s="686"/>
      <c r="R558" s="70"/>
      <c r="S558" s="70"/>
      <c r="T558" s="70"/>
      <c r="U558" s="70"/>
      <c r="V558" s="70"/>
      <c r="W558" s="70"/>
      <c r="X558" s="70"/>
      <c r="Y558" s="70"/>
      <c r="Z558" s="70"/>
    </row>
    <row r="559" customFormat="false" ht="12.75" hidden="false" customHeight="false" outlineLevel="1" collapsed="false">
      <c r="A559" s="70"/>
      <c r="B559" s="70"/>
      <c r="C559" s="70"/>
      <c r="D559" s="70"/>
      <c r="E559" s="70"/>
      <c r="F559" s="686"/>
      <c r="G559" s="686"/>
      <c r="H559" s="686"/>
      <c r="I559" s="686"/>
      <c r="J559" s="686"/>
      <c r="K559" s="686"/>
      <c r="L559" s="686"/>
      <c r="M559" s="686"/>
      <c r="N559" s="686"/>
      <c r="O559" s="686"/>
      <c r="P559" s="686"/>
      <c r="Q559" s="686"/>
      <c r="R559" s="70"/>
      <c r="S559" s="70"/>
      <c r="T559" s="70"/>
      <c r="U559" s="70"/>
      <c r="V559" s="70"/>
      <c r="W559" s="70"/>
      <c r="X559" s="70"/>
      <c r="Y559" s="70"/>
      <c r="Z559" s="70"/>
    </row>
    <row r="560" customFormat="false" ht="12.75" hidden="false" customHeight="false" outlineLevel="1" collapsed="false">
      <c r="A560" s="395"/>
      <c r="B560" s="70"/>
      <c r="C560" s="70"/>
      <c r="D560" s="70"/>
      <c r="E560" s="70"/>
      <c r="F560" s="686"/>
      <c r="G560" s="686"/>
      <c r="H560" s="686"/>
      <c r="I560" s="686"/>
      <c r="J560" s="686"/>
      <c r="K560" s="686"/>
      <c r="L560" s="686"/>
      <c r="M560" s="686"/>
      <c r="N560" s="686"/>
      <c r="O560" s="686"/>
      <c r="P560" s="686"/>
      <c r="Q560" s="686"/>
      <c r="R560" s="70"/>
      <c r="S560" s="70"/>
      <c r="T560" s="70"/>
      <c r="U560" s="70"/>
      <c r="V560" s="70"/>
      <c r="W560" s="70"/>
      <c r="X560" s="70"/>
      <c r="Y560" s="70"/>
      <c r="Z560" s="70"/>
    </row>
    <row r="561" customFormat="false" ht="12.75" hidden="false" customHeight="false" outlineLevel="1" collapsed="false">
      <c r="A561" s="395"/>
      <c r="B561" s="70"/>
      <c r="C561" s="70"/>
      <c r="D561" s="70"/>
      <c r="E561" s="70"/>
      <c r="F561" s="686"/>
      <c r="G561" s="686"/>
      <c r="H561" s="686"/>
      <c r="I561" s="686"/>
      <c r="J561" s="686"/>
      <c r="K561" s="686"/>
      <c r="L561" s="686"/>
      <c r="M561" s="686"/>
      <c r="N561" s="686"/>
      <c r="O561" s="686"/>
      <c r="P561" s="686"/>
      <c r="Q561" s="686"/>
      <c r="R561" s="70"/>
      <c r="S561" s="70"/>
      <c r="T561" s="70"/>
      <c r="U561" s="70"/>
      <c r="V561" s="70"/>
      <c r="W561" s="70"/>
      <c r="X561" s="70"/>
      <c r="Y561" s="70"/>
      <c r="Z561" s="70"/>
    </row>
    <row r="562" customFormat="false" ht="12.75" hidden="false" customHeight="false" outlineLevel="1" collapsed="false">
      <c r="A562" s="395"/>
      <c r="B562" s="70"/>
      <c r="C562" s="70"/>
      <c r="D562" s="70"/>
      <c r="E562" s="70"/>
      <c r="F562" s="686"/>
      <c r="G562" s="686"/>
      <c r="H562" s="686"/>
      <c r="I562" s="686"/>
      <c r="J562" s="686"/>
      <c r="K562" s="686"/>
      <c r="L562" s="686"/>
      <c r="M562" s="686"/>
      <c r="N562" s="686"/>
      <c r="O562" s="686"/>
      <c r="P562" s="686"/>
      <c r="Q562" s="686"/>
      <c r="R562" s="70"/>
      <c r="S562" s="70"/>
      <c r="T562" s="70"/>
      <c r="U562" s="70"/>
      <c r="V562" s="70"/>
      <c r="W562" s="70"/>
      <c r="X562" s="70"/>
      <c r="Y562" s="70"/>
      <c r="Z562" s="70"/>
    </row>
    <row r="563" customFormat="false" ht="12.75" hidden="false" customHeight="false" outlineLevel="1" collapsed="false">
      <c r="A563" s="395"/>
      <c r="B563" s="70"/>
      <c r="C563" s="70"/>
      <c r="D563" s="70"/>
      <c r="E563" s="70"/>
      <c r="F563" s="686"/>
      <c r="G563" s="686"/>
      <c r="H563" s="686"/>
      <c r="I563" s="686"/>
      <c r="J563" s="686"/>
      <c r="K563" s="686"/>
      <c r="L563" s="686"/>
      <c r="M563" s="686"/>
      <c r="N563" s="686"/>
      <c r="O563" s="686"/>
      <c r="P563" s="686"/>
      <c r="Q563" s="686"/>
      <c r="R563" s="70"/>
      <c r="S563" s="70"/>
      <c r="T563" s="70"/>
      <c r="U563" s="70"/>
      <c r="V563" s="70"/>
      <c r="W563" s="70"/>
      <c r="X563" s="70"/>
      <c r="Y563" s="70"/>
      <c r="Z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  <c r="F564" s="70"/>
      <c r="G564" s="70"/>
      <c r="H564" s="70"/>
      <c r="I564" s="686"/>
      <c r="J564" s="686"/>
      <c r="K564" s="686"/>
      <c r="L564" s="686"/>
      <c r="M564" s="686"/>
      <c r="N564" s="686"/>
      <c r="O564" s="686"/>
      <c r="P564" s="686"/>
      <c r="Q564" s="686"/>
      <c r="R564" s="70"/>
      <c r="S564" s="70"/>
      <c r="T564" s="70"/>
      <c r="U564" s="70"/>
      <c r="V564" s="70"/>
      <c r="W564" s="70"/>
      <c r="X564" s="70"/>
      <c r="Y564" s="70"/>
      <c r="Z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  <c r="F565" s="70"/>
      <c r="G565" s="70"/>
      <c r="H565" s="70"/>
      <c r="I565" s="686"/>
      <c r="J565" s="686"/>
      <c r="K565" s="686"/>
      <c r="L565" s="686"/>
      <c r="M565" s="686"/>
      <c r="N565" s="686"/>
      <c r="O565" s="686"/>
      <c r="P565" s="686"/>
      <c r="Q565" s="686"/>
      <c r="R565" s="70"/>
      <c r="S565" s="70"/>
      <c r="T565" s="70"/>
      <c r="U565" s="70"/>
      <c r="V565" s="70"/>
      <c r="W565" s="70"/>
      <c r="X565" s="70"/>
      <c r="Y565" s="70"/>
      <c r="Z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  <c r="F566" s="70"/>
      <c r="G566" s="70"/>
      <c r="H566" s="70"/>
      <c r="I566" s="686"/>
      <c r="J566" s="686"/>
      <c r="K566" s="686"/>
      <c r="L566" s="686"/>
      <c r="M566" s="686"/>
      <c r="N566" s="686"/>
      <c r="O566" s="686"/>
      <c r="P566" s="686"/>
      <c r="Q566" s="686"/>
      <c r="R566" s="70"/>
      <c r="S566" s="70"/>
      <c r="T566" s="70"/>
      <c r="U566" s="70"/>
      <c r="V566" s="70"/>
      <c r="W566" s="70"/>
      <c r="X566" s="70"/>
      <c r="Y566" s="70"/>
      <c r="Z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  <c r="F567" s="70"/>
      <c r="G567" s="70"/>
      <c r="H567" s="70"/>
      <c r="I567" s="686"/>
      <c r="J567" s="686"/>
      <c r="K567" s="686"/>
      <c r="L567" s="686"/>
      <c r="M567" s="686"/>
      <c r="N567" s="686"/>
      <c r="O567" s="686"/>
      <c r="P567" s="686"/>
      <c r="Q567" s="686"/>
      <c r="R567" s="70"/>
      <c r="S567" s="70"/>
      <c r="T567" s="70"/>
      <c r="U567" s="70"/>
      <c r="V567" s="70"/>
      <c r="W567" s="70"/>
      <c r="X567" s="70"/>
      <c r="Y567" s="70"/>
      <c r="Z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  <c r="F568" s="70"/>
      <c r="G568" s="70"/>
      <c r="H568" s="70"/>
      <c r="I568" s="686"/>
      <c r="J568" s="686"/>
      <c r="K568" s="686"/>
      <c r="L568" s="686"/>
      <c r="M568" s="686"/>
      <c r="N568" s="686"/>
      <c r="O568" s="686"/>
      <c r="P568" s="686"/>
      <c r="Q568" s="686"/>
      <c r="R568" s="70"/>
      <c r="S568" s="70"/>
      <c r="T568" s="70"/>
      <c r="U568" s="70"/>
      <c r="V568" s="70"/>
      <c r="W568" s="70"/>
      <c r="X568" s="70"/>
      <c r="Y568" s="70"/>
      <c r="Z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  <c r="F569" s="70"/>
      <c r="G569" s="70"/>
      <c r="H569" s="70"/>
      <c r="I569" s="70"/>
      <c r="J569" s="70"/>
      <c r="K569" s="70"/>
      <c r="L569" s="70"/>
      <c r="M569" s="70"/>
      <c r="N569" s="70"/>
      <c r="O569" s="70"/>
      <c r="P569" s="70"/>
      <c r="Q569" s="70"/>
      <c r="R569" s="70"/>
      <c r="S569" s="70"/>
      <c r="T569" s="70"/>
      <c r="U569" s="70"/>
      <c r="V569" s="70"/>
      <c r="W569" s="70"/>
      <c r="X569" s="70"/>
      <c r="Y569" s="70"/>
      <c r="Z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  <c r="F570" s="70"/>
      <c r="G570" s="70"/>
      <c r="H570" s="70"/>
      <c r="I570" s="70"/>
      <c r="J570" s="70"/>
      <c r="K570" s="70"/>
      <c r="L570" s="70"/>
      <c r="M570" s="70"/>
      <c r="N570" s="70"/>
      <c r="O570" s="70"/>
      <c r="P570" s="70"/>
      <c r="Q570" s="70"/>
      <c r="R570" s="70"/>
      <c r="S570" s="70"/>
      <c r="T570" s="70"/>
      <c r="U570" s="70"/>
      <c r="V570" s="70"/>
      <c r="W570" s="70"/>
      <c r="X570" s="70"/>
      <c r="Y570" s="70"/>
      <c r="Z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  <c r="F571" s="70"/>
      <c r="G571" s="70"/>
      <c r="H571" s="70"/>
      <c r="I571" s="70"/>
      <c r="J571" s="70"/>
      <c r="K571" s="70"/>
      <c r="L571" s="70"/>
      <c r="M571" s="70"/>
      <c r="N571" s="70"/>
      <c r="O571" s="70"/>
      <c r="P571" s="70"/>
      <c r="Q571" s="70"/>
      <c r="R571" s="70"/>
      <c r="S571" s="70"/>
      <c r="T571" s="70"/>
      <c r="U571" s="70"/>
      <c r="V571" s="70"/>
      <c r="W571" s="70"/>
      <c r="X571" s="70"/>
      <c r="Y571" s="70"/>
      <c r="Z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  <c r="F572" s="70"/>
      <c r="G572" s="70"/>
      <c r="H572" s="70"/>
      <c r="I572" s="70"/>
      <c r="J572" s="70"/>
      <c r="K572" s="70"/>
      <c r="L572" s="70"/>
      <c r="M572" s="70"/>
      <c r="N572" s="70"/>
      <c r="O572" s="70"/>
      <c r="P572" s="70"/>
      <c r="Q572" s="70"/>
      <c r="R572" s="70"/>
      <c r="S572" s="70"/>
      <c r="T572" s="70"/>
      <c r="U572" s="70"/>
      <c r="V572" s="70"/>
      <c r="W572" s="70"/>
      <c r="X572" s="70"/>
      <c r="Y572" s="70"/>
      <c r="Z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  <c r="F573" s="70"/>
      <c r="G573" s="70"/>
      <c r="H573" s="70"/>
      <c r="I573" s="70"/>
      <c r="J573" s="70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  <c r="Z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  <c r="F574" s="70"/>
      <c r="G574" s="70"/>
      <c r="H574" s="70"/>
      <c r="I574" s="70"/>
      <c r="J574" s="70"/>
      <c r="K574" s="70"/>
      <c r="L574" s="70"/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70"/>
      <c r="X574" s="70"/>
      <c r="Y574" s="70"/>
      <c r="Z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  <c r="F575" s="70"/>
      <c r="G575" s="70"/>
      <c r="H575" s="70"/>
      <c r="I575" s="70"/>
      <c r="J575" s="70"/>
      <c r="K575" s="70"/>
      <c r="L575" s="70"/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70"/>
      <c r="X575" s="70"/>
      <c r="Y575" s="70"/>
      <c r="Z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  <c r="F576" s="70"/>
      <c r="G576" s="70"/>
      <c r="H576" s="70"/>
      <c r="I576" s="70"/>
      <c r="J576" s="70"/>
      <c r="K576" s="70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  <c r="Y576" s="70"/>
      <c r="Z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  <c r="F577" s="70"/>
      <c r="G577" s="70"/>
      <c r="H577" s="70"/>
      <c r="I577" s="70"/>
      <c r="J577" s="70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  <c r="Y577" s="70"/>
      <c r="Z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  <c r="F578" s="70"/>
      <c r="G578" s="70"/>
      <c r="H578" s="70"/>
      <c r="I578" s="70"/>
      <c r="J578" s="70"/>
      <c r="K578" s="70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  <c r="Y578" s="70"/>
      <c r="Z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  <c r="F579" s="70"/>
      <c r="G579" s="70"/>
      <c r="H579" s="70"/>
      <c r="I579" s="70"/>
      <c r="J579" s="70"/>
      <c r="K579" s="70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  <c r="Y579" s="70"/>
      <c r="Z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  <c r="F580" s="70"/>
      <c r="G580" s="70"/>
      <c r="H580" s="70"/>
      <c r="I580" s="70"/>
      <c r="J580" s="70"/>
      <c r="K580" s="70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  <c r="Y580" s="70"/>
      <c r="Z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  <c r="F581" s="70"/>
      <c r="G581" s="70"/>
      <c r="H581" s="70"/>
      <c r="I581" s="70"/>
      <c r="J581" s="70"/>
      <c r="K581" s="70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  <c r="Y581" s="70"/>
      <c r="Z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  <c r="F582" s="70"/>
      <c r="G582" s="70"/>
      <c r="H582" s="70"/>
      <c r="I582" s="70"/>
      <c r="J582" s="70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  <c r="Z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  <c r="F583" s="70"/>
      <c r="G583" s="70"/>
      <c r="H583" s="70"/>
      <c r="I583" s="70"/>
      <c r="J583" s="70"/>
      <c r="K583" s="70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  <c r="Y583" s="70"/>
      <c r="Z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  <c r="F584" s="70"/>
      <c r="G584" s="70"/>
      <c r="H584" s="70"/>
      <c r="I584" s="70"/>
      <c r="J584" s="70"/>
      <c r="K584" s="70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  <c r="Y584" s="70"/>
      <c r="Z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  <c r="F585" s="70"/>
      <c r="G585" s="70"/>
      <c r="H585" s="70"/>
      <c r="I585" s="70"/>
      <c r="J585" s="70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  <c r="Y585" s="70"/>
      <c r="Z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  <c r="F586" s="70"/>
      <c r="G586" s="70"/>
      <c r="H586" s="70"/>
      <c r="I586" s="70"/>
      <c r="J586" s="70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  <c r="Y586" s="70"/>
      <c r="Z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  <c r="F587" s="70"/>
      <c r="G587" s="70"/>
      <c r="H587" s="70"/>
      <c r="I587" s="70"/>
      <c r="J587" s="70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  <c r="Y587" s="70"/>
      <c r="Z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  <c r="F588" s="70"/>
      <c r="G588" s="70"/>
      <c r="H588" s="70"/>
      <c r="I588" s="70"/>
      <c r="J588" s="70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  <c r="Z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  <c r="F589" s="70"/>
      <c r="G589" s="70"/>
      <c r="H589" s="70"/>
      <c r="I589" s="70"/>
      <c r="J589" s="70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  <c r="Z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  <c r="F590" s="70"/>
      <c r="G590" s="70"/>
      <c r="H590" s="70"/>
      <c r="I590" s="70"/>
      <c r="J590" s="70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  <c r="Z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  <c r="F591" s="70"/>
      <c r="G591" s="70"/>
      <c r="H591" s="70"/>
      <c r="I591" s="70"/>
      <c r="J591" s="70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  <c r="Z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  <c r="F592" s="70"/>
      <c r="G592" s="70"/>
      <c r="H592" s="70"/>
      <c r="I592" s="70"/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  <c r="Y592" s="70"/>
      <c r="Z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  <c r="F593" s="70"/>
      <c r="G593" s="70"/>
      <c r="H593" s="70"/>
      <c r="I593" s="70"/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70"/>
      <c r="Y593" s="70"/>
      <c r="Z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  <c r="F594" s="70"/>
      <c r="G594" s="70"/>
      <c r="H594" s="70"/>
      <c r="I594" s="70"/>
      <c r="J594" s="70"/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70"/>
      <c r="Y594" s="70"/>
      <c r="Z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  <c r="F595" s="70"/>
      <c r="G595" s="70"/>
      <c r="H595" s="70"/>
      <c r="I595" s="70"/>
      <c r="J595" s="70"/>
      <c r="K595" s="70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  <c r="Y595" s="70"/>
      <c r="Z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  <c r="F596" s="70"/>
      <c r="G596" s="70"/>
      <c r="H596" s="70"/>
      <c r="I596" s="70"/>
      <c r="J596" s="70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  <c r="Z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  <c r="F597" s="70"/>
      <c r="G597" s="70"/>
      <c r="H597" s="70"/>
      <c r="I597" s="70"/>
      <c r="J597" s="70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  <c r="Z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  <c r="F598" s="70"/>
      <c r="G598" s="70"/>
      <c r="H598" s="70"/>
      <c r="I598" s="70"/>
      <c r="J598" s="70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  <c r="Z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  <c r="F599" s="70"/>
      <c r="G599" s="70"/>
      <c r="H599" s="70"/>
      <c r="I599" s="70"/>
      <c r="J599" s="70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  <c r="Z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  <c r="F600" s="70"/>
      <c r="G600" s="70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  <c r="Z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  <c r="F601" s="70"/>
      <c r="G601" s="70"/>
      <c r="H601" s="70"/>
      <c r="I601" s="70"/>
      <c r="J601" s="70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  <c r="Z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  <c r="F602" s="70"/>
      <c r="G602" s="70"/>
      <c r="H602" s="70"/>
      <c r="I602" s="70"/>
      <c r="J602" s="70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  <c r="Z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  <c r="F603" s="70"/>
      <c r="G603" s="70"/>
      <c r="H603" s="70"/>
      <c r="I603" s="70"/>
      <c r="J603" s="70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  <c r="Z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  <c r="F604" s="70"/>
      <c r="G604" s="70"/>
      <c r="H604" s="70"/>
      <c r="I604" s="70"/>
      <c r="J604" s="70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  <c r="Z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  <c r="F605" s="70"/>
      <c r="G605" s="70"/>
      <c r="H605" s="70"/>
      <c r="I605" s="70"/>
      <c r="J605" s="70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  <c r="Z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  <c r="F606" s="70"/>
      <c r="G606" s="70"/>
      <c r="H606" s="70"/>
      <c r="I606" s="70"/>
      <c r="J606" s="70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  <c r="Z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  <c r="F607" s="70"/>
      <c r="G607" s="70"/>
      <c r="H607" s="70"/>
      <c r="I607" s="70"/>
      <c r="J607" s="70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  <c r="Z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  <c r="F608" s="70"/>
      <c r="G608" s="70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  <c r="Z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  <c r="F609" s="70"/>
      <c r="G609" s="70"/>
      <c r="H609" s="70"/>
      <c r="I609" s="70"/>
      <c r="J609" s="70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  <c r="Z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  <c r="F610" s="70"/>
      <c r="G610" s="70"/>
      <c r="H610" s="70"/>
      <c r="I610" s="70"/>
      <c r="J610" s="70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  <c r="Z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  <c r="F611" s="70"/>
      <c r="G611" s="70"/>
      <c r="H611" s="70"/>
      <c r="I611" s="70"/>
      <c r="J611" s="70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  <c r="Z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  <c r="F612" s="70"/>
      <c r="G612" s="70"/>
      <c r="H612" s="70"/>
      <c r="I612" s="70"/>
      <c r="J612" s="70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  <c r="Z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  <c r="F613" s="70"/>
      <c r="G613" s="70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  <c r="Z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  <c r="F614" s="70"/>
      <c r="G614" s="70"/>
      <c r="H614" s="70"/>
      <c r="I614" s="70"/>
      <c r="J614" s="70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  <c r="Z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  <c r="F615" s="70"/>
      <c r="G615" s="70"/>
      <c r="H615" s="70"/>
      <c r="I615" s="70"/>
      <c r="J615" s="70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  <c r="Z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  <c r="F616" s="70"/>
      <c r="G616" s="70"/>
      <c r="H616" s="70"/>
      <c r="I616" s="70"/>
      <c r="J616" s="70"/>
      <c r="K616" s="70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  <c r="Y616" s="70"/>
      <c r="Z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  <c r="F617" s="70"/>
      <c r="G617" s="70"/>
      <c r="H617" s="70"/>
      <c r="I617" s="70"/>
      <c r="J617" s="70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  <c r="Z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  <c r="F618" s="70"/>
      <c r="G618" s="70"/>
      <c r="H618" s="70"/>
      <c r="I618" s="70"/>
      <c r="J618" s="70"/>
      <c r="K618" s="70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  <c r="Y618" s="70"/>
      <c r="Z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  <c r="F619" s="70"/>
      <c r="G619" s="70"/>
      <c r="H619" s="70"/>
      <c r="I619" s="70"/>
      <c r="J619" s="70"/>
      <c r="K619" s="70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  <c r="Y619" s="70"/>
      <c r="Z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  <c r="F620" s="70"/>
      <c r="G620" s="70"/>
      <c r="H620" s="70"/>
      <c r="I620" s="70"/>
      <c r="J620" s="70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  <c r="Y620" s="70"/>
      <c r="Z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  <c r="F621" s="70"/>
      <c r="G621" s="70"/>
      <c r="H621" s="70"/>
      <c r="I621" s="70"/>
      <c r="J621" s="70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  <c r="Z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  <c r="F622" s="70"/>
      <c r="G622" s="70"/>
      <c r="H622" s="70"/>
      <c r="I622" s="70"/>
      <c r="J622" s="70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  <c r="Z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  <c r="F623" s="70"/>
      <c r="G623" s="70"/>
      <c r="H623" s="70"/>
      <c r="I623" s="70"/>
      <c r="J623" s="70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  <c r="Z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  <c r="F624" s="70"/>
      <c r="G624" s="70"/>
      <c r="H624" s="70"/>
      <c r="I624" s="70"/>
      <c r="J624" s="70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  <c r="Z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  <c r="F625" s="70"/>
      <c r="G625" s="70"/>
      <c r="H625" s="70"/>
      <c r="I625" s="70"/>
      <c r="J625" s="70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  <c r="Z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  <c r="F626" s="70"/>
      <c r="G626" s="70"/>
      <c r="H626" s="70"/>
      <c r="I626" s="70"/>
      <c r="J626" s="70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  <c r="Z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  <c r="F627" s="70"/>
      <c r="G627" s="70"/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  <c r="Z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  <c r="F628" s="70"/>
      <c r="G628" s="70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  <c r="Z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  <c r="F629" s="70"/>
      <c r="G629" s="70"/>
      <c r="H629" s="70"/>
      <c r="I629" s="70"/>
      <c r="J629" s="70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  <c r="Z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  <c r="F630" s="70"/>
      <c r="G630" s="70"/>
      <c r="H630" s="70"/>
      <c r="I630" s="70"/>
      <c r="J630" s="70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  <c r="Z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  <c r="F631" s="70"/>
      <c r="G631" s="70"/>
      <c r="H631" s="70"/>
      <c r="I631" s="70"/>
      <c r="J631" s="70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  <c r="Z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  <c r="F632" s="70"/>
      <c r="G632" s="70"/>
      <c r="H632" s="70"/>
      <c r="I632" s="70"/>
      <c r="J632" s="70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  <c r="Z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  <c r="F633" s="70"/>
      <c r="G633" s="70"/>
      <c r="H633" s="70"/>
      <c r="I633" s="70"/>
      <c r="J633" s="70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  <c r="Z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  <c r="F634" s="70"/>
      <c r="G634" s="70"/>
      <c r="H634" s="70"/>
      <c r="I634" s="70"/>
      <c r="J634" s="70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  <c r="Z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  <c r="F635" s="70"/>
      <c r="G635" s="70"/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  <c r="Z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  <c r="F636" s="70"/>
      <c r="G636" s="70"/>
      <c r="H636" s="70"/>
      <c r="I636" s="70"/>
      <c r="J636" s="70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  <c r="Z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  <c r="F637" s="70"/>
      <c r="G637" s="70"/>
      <c r="H637" s="70"/>
      <c r="I637" s="70"/>
      <c r="J637" s="70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  <c r="Z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  <c r="F638" s="70"/>
      <c r="G638" s="70"/>
      <c r="H638" s="70"/>
      <c r="I638" s="70"/>
      <c r="J638" s="70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  <c r="Z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  <c r="F639" s="70"/>
      <c r="G639" s="70"/>
      <c r="H639" s="70"/>
      <c r="I639" s="70"/>
      <c r="J639" s="70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  <c r="Z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  <c r="F640" s="70"/>
      <c r="G640" s="70"/>
      <c r="H640" s="70"/>
      <c r="I640" s="70"/>
      <c r="J640" s="70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  <c r="Z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  <c r="F641" s="70"/>
      <c r="G641" s="70"/>
      <c r="H641" s="70"/>
      <c r="I641" s="70"/>
      <c r="J641" s="70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  <c r="Y641" s="70"/>
      <c r="Z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  <c r="F642" s="70"/>
      <c r="G642" s="70"/>
      <c r="H642" s="70"/>
      <c r="I642" s="70"/>
      <c r="J642" s="70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  <c r="Y642" s="70"/>
      <c r="Z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  <c r="F643" s="70"/>
      <c r="G643" s="70"/>
      <c r="H643" s="70"/>
      <c r="I643" s="70"/>
      <c r="J643" s="70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  <c r="Y643" s="70"/>
      <c r="Z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  <c r="F644" s="70"/>
      <c r="G644" s="70"/>
      <c r="H644" s="70"/>
      <c r="I644" s="70"/>
      <c r="J644" s="70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  <c r="Y644" s="70"/>
      <c r="Z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  <c r="F645" s="70"/>
      <c r="G645" s="70"/>
      <c r="H645" s="70"/>
      <c r="I645" s="70"/>
      <c r="J645" s="70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  <c r="Y645" s="70"/>
      <c r="Z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  <c r="F646" s="70"/>
      <c r="G646" s="70"/>
      <c r="H646" s="70"/>
      <c r="I646" s="70"/>
      <c r="J646" s="70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  <c r="Y646" s="70"/>
      <c r="Z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  <c r="F647" s="70"/>
      <c r="G647" s="70"/>
      <c r="H647" s="70"/>
      <c r="I647" s="70"/>
      <c r="J647" s="70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  <c r="Y647" s="70"/>
      <c r="Z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  <c r="F648" s="70"/>
      <c r="G648" s="70"/>
      <c r="H648" s="70"/>
      <c r="I648" s="70"/>
      <c r="J648" s="70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  <c r="Y648" s="70"/>
      <c r="Z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  <c r="F649" s="70"/>
      <c r="G649" s="70"/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  <c r="Y649" s="70"/>
      <c r="Z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  <c r="F650" s="70"/>
      <c r="G650" s="70"/>
      <c r="H650" s="70"/>
      <c r="I650" s="70"/>
      <c r="J650" s="70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  <c r="Y650" s="70"/>
      <c r="Z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  <c r="F651" s="70"/>
      <c r="G651" s="70"/>
      <c r="H651" s="70"/>
      <c r="I651" s="70"/>
      <c r="J651" s="70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  <c r="Y651" s="70"/>
      <c r="Z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  <c r="Z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  <c r="Z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  <c r="Z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  <c r="F655" s="70"/>
      <c r="G655" s="70"/>
      <c r="H655" s="70"/>
      <c r="I655" s="70"/>
      <c r="J655" s="70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  <c r="Z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  <c r="Z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  <c r="Z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  <c r="Z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  <c r="Z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  <c r="F660" s="70"/>
      <c r="G660" s="70"/>
      <c r="H660" s="70"/>
      <c r="I660" s="70"/>
      <c r="J660" s="70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  <c r="Y660" s="70"/>
      <c r="Z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  <c r="F661" s="70"/>
      <c r="G661" s="70"/>
      <c r="H661" s="70"/>
      <c r="I661" s="70"/>
      <c r="J661" s="70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  <c r="Y661" s="70"/>
      <c r="Z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  <c r="F662" s="70"/>
      <c r="G662" s="70"/>
      <c r="H662" s="70"/>
      <c r="I662" s="70"/>
      <c r="J662" s="70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  <c r="Y662" s="70"/>
      <c r="Z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  <c r="F663" s="70"/>
      <c r="G663" s="70"/>
      <c r="H663" s="70"/>
      <c r="I663" s="70"/>
      <c r="J663" s="70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  <c r="Z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  <c r="F664" s="70"/>
      <c r="G664" s="70"/>
      <c r="H664" s="70"/>
      <c r="I664" s="70"/>
      <c r="J664" s="70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  <c r="Y664" s="70"/>
      <c r="Z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  <c r="F665" s="70"/>
      <c r="G665" s="70"/>
      <c r="H665" s="70"/>
      <c r="I665" s="70"/>
      <c r="J665" s="70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  <c r="Y665" s="70"/>
      <c r="Z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  <c r="F666" s="70"/>
      <c r="G666" s="70"/>
      <c r="H666" s="70"/>
      <c r="I666" s="70"/>
      <c r="J666" s="70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  <c r="Y666" s="70"/>
      <c r="Z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  <c r="F667" s="70"/>
      <c r="G667" s="70"/>
      <c r="H667" s="70"/>
      <c r="I667" s="70"/>
      <c r="J667" s="70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  <c r="Y667" s="70"/>
      <c r="Z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  <c r="F668" s="70"/>
      <c r="G668" s="70"/>
      <c r="H668" s="70"/>
      <c r="I668" s="70"/>
      <c r="J668" s="70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  <c r="Y668" s="70"/>
      <c r="Z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  <c r="F669" s="70"/>
      <c r="G669" s="70"/>
      <c r="H669" s="70"/>
      <c r="I669" s="70"/>
      <c r="J669" s="70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  <c r="Y669" s="70"/>
      <c r="Z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  <c r="F670" s="70"/>
      <c r="G670" s="70"/>
      <c r="H670" s="70"/>
      <c r="I670" s="70"/>
      <c r="J670" s="70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  <c r="Y670" s="70"/>
      <c r="Z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  <c r="F671" s="70"/>
      <c r="G671" s="70"/>
      <c r="H671" s="70"/>
      <c r="I671" s="70"/>
      <c r="J671" s="70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  <c r="Y671" s="70"/>
      <c r="Z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  <c r="F672" s="70"/>
      <c r="G672" s="70"/>
      <c r="H672" s="70"/>
      <c r="I672" s="70"/>
      <c r="J672" s="70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  <c r="Y672" s="70"/>
      <c r="Z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  <c r="F673" s="70"/>
      <c r="G673" s="70"/>
      <c r="H673" s="70"/>
      <c r="I673" s="70"/>
      <c r="J673" s="70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  <c r="Y673" s="70"/>
      <c r="Z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  <c r="F674" s="70"/>
      <c r="G674" s="70"/>
      <c r="H674" s="70"/>
      <c r="I674" s="70"/>
      <c r="J674" s="70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  <c r="Y674" s="70"/>
      <c r="Z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  <c r="F675" s="70"/>
      <c r="G675" s="70"/>
      <c r="H675" s="70"/>
      <c r="I675" s="70"/>
      <c r="J675" s="70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  <c r="Y675" s="70"/>
      <c r="Z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  <c r="F676" s="70"/>
      <c r="G676" s="70"/>
      <c r="H676" s="70"/>
      <c r="I676" s="70"/>
      <c r="J676" s="70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  <c r="Y676" s="70"/>
      <c r="Z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  <c r="F677" s="70"/>
      <c r="G677" s="70"/>
      <c r="H677" s="70"/>
      <c r="I677" s="70"/>
      <c r="J677" s="70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  <c r="Y677" s="70"/>
      <c r="Z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  <c r="F678" s="70"/>
      <c r="G678" s="70"/>
      <c r="H678" s="70"/>
      <c r="I678" s="70"/>
      <c r="J678" s="70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  <c r="Y678" s="70"/>
      <c r="Z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  <c r="F679" s="70"/>
      <c r="G679" s="70"/>
      <c r="H679" s="70"/>
      <c r="I679" s="70"/>
      <c r="J679" s="70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  <c r="Y679" s="70"/>
      <c r="Z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  <c r="F680" s="70"/>
      <c r="G680" s="70"/>
      <c r="H680" s="70"/>
      <c r="I680" s="70"/>
      <c r="J680" s="70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  <c r="Y680" s="70"/>
      <c r="Z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  <c r="F681" s="70"/>
      <c r="G681" s="70"/>
      <c r="H681" s="70"/>
      <c r="I681" s="70"/>
      <c r="J681" s="70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  <c r="Y681" s="70"/>
      <c r="Z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  <c r="F682" s="70"/>
      <c r="G682" s="70"/>
      <c r="H682" s="70"/>
      <c r="I682" s="70"/>
      <c r="J682" s="70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  <c r="Y682" s="70"/>
      <c r="Z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  <c r="F683" s="70"/>
      <c r="G683" s="70"/>
      <c r="H683" s="70"/>
      <c r="I683" s="70"/>
      <c r="J683" s="70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  <c r="Y683" s="70"/>
      <c r="Z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  <c r="F684" s="70"/>
      <c r="G684" s="70"/>
      <c r="H684" s="70"/>
      <c r="I684" s="70"/>
      <c r="J684" s="70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  <c r="Y684" s="70"/>
      <c r="Z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  <c r="F685" s="70"/>
      <c r="G685" s="70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  <c r="Z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  <c r="F686" s="70"/>
      <c r="G686" s="70"/>
      <c r="H686" s="70"/>
      <c r="I686" s="70"/>
      <c r="J686" s="70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  <c r="Y686" s="70"/>
      <c r="Z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  <c r="F687" s="70"/>
      <c r="G687" s="70"/>
      <c r="H687" s="70"/>
      <c r="I687" s="70"/>
      <c r="J687" s="70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  <c r="Y687" s="70"/>
      <c r="Z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  <c r="F688" s="70"/>
      <c r="G688" s="70"/>
      <c r="H688" s="70"/>
      <c r="I688" s="70"/>
      <c r="J688" s="70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  <c r="Y688" s="70"/>
      <c r="Z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  <c r="F689" s="70"/>
      <c r="G689" s="70"/>
      <c r="H689" s="70"/>
      <c r="I689" s="70"/>
      <c r="J689" s="70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  <c r="Y689" s="70"/>
      <c r="Z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  <c r="F690" s="70"/>
      <c r="G690" s="70"/>
      <c r="H690" s="70"/>
      <c r="I690" s="70"/>
      <c r="J690" s="70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  <c r="Y690" s="70"/>
      <c r="Z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  <c r="F691" s="70"/>
      <c r="G691" s="70"/>
      <c r="H691" s="70"/>
      <c r="I691" s="70"/>
      <c r="J691" s="70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  <c r="Y691" s="70"/>
      <c r="Z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  <c r="F692" s="70"/>
      <c r="G692" s="70"/>
      <c r="H692" s="70"/>
      <c r="I692" s="70"/>
      <c r="J692" s="70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  <c r="Y692" s="70"/>
      <c r="Z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  <c r="F693" s="70"/>
      <c r="G693" s="70"/>
      <c r="H693" s="70"/>
      <c r="I693" s="70"/>
      <c r="J693" s="70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  <c r="Y693" s="70"/>
      <c r="Z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  <c r="F694" s="70"/>
      <c r="G694" s="70"/>
      <c r="H694" s="70"/>
      <c r="I694" s="70"/>
      <c r="J694" s="70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  <c r="Y694" s="70"/>
      <c r="Z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  <c r="F695" s="70"/>
      <c r="G695" s="70"/>
      <c r="H695" s="70"/>
      <c r="I695" s="70"/>
      <c r="J695" s="70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  <c r="Y695" s="70"/>
      <c r="Z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  <c r="F696" s="70"/>
      <c r="G696" s="70"/>
      <c r="H696" s="70"/>
      <c r="I696" s="70"/>
      <c r="J696" s="70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  <c r="Y696" s="70"/>
      <c r="Z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  <c r="F697" s="70"/>
      <c r="G697" s="70"/>
      <c r="H697" s="70"/>
      <c r="I697" s="70"/>
      <c r="J697" s="70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  <c r="Y697" s="70"/>
      <c r="Z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  <c r="F698" s="70"/>
      <c r="G698" s="70"/>
      <c r="H698" s="70"/>
      <c r="I698" s="70"/>
      <c r="J698" s="70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  <c r="Y698" s="70"/>
      <c r="Z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  <c r="F699" s="70"/>
      <c r="G699" s="70"/>
      <c r="H699" s="70"/>
      <c r="I699" s="70"/>
      <c r="J699" s="70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  <c r="Y699" s="70"/>
      <c r="Z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  <c r="F700" s="70"/>
      <c r="G700" s="70"/>
      <c r="H700" s="70"/>
      <c r="I700" s="70"/>
      <c r="J700" s="70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  <c r="Y700" s="70"/>
      <c r="Z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  <c r="F701" s="70"/>
      <c r="G701" s="70"/>
      <c r="H701" s="70"/>
      <c r="I701" s="70"/>
      <c r="J701" s="70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  <c r="Y701" s="70"/>
      <c r="Z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  <c r="F702" s="70"/>
      <c r="G702" s="70"/>
      <c r="H702" s="70"/>
      <c r="I702" s="70"/>
      <c r="J702" s="70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  <c r="Y702" s="70"/>
      <c r="Z702" s="70"/>
    </row>
    <row r="703" customFormat="false" ht="12.75" hidden="false" customHeight="false" outlineLevel="0" collapsed="false">
      <c r="A703" s="70"/>
      <c r="B703" s="70"/>
      <c r="C703" s="70"/>
      <c r="D703" s="70"/>
      <c r="E703" s="70"/>
      <c r="F703" s="70"/>
      <c r="G703" s="70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  <c r="Y703" s="70"/>
      <c r="Z703" s="70"/>
    </row>
    <row r="704" customFormat="false" ht="12.75" hidden="false" customHeight="false" outlineLevel="0" collapsed="false">
      <c r="A704" s="70"/>
      <c r="B704" s="70"/>
      <c r="C704" s="70"/>
      <c r="D704" s="70"/>
      <c r="E704" s="70"/>
      <c r="F704" s="70"/>
      <c r="G704" s="70"/>
      <c r="H704" s="70"/>
      <c r="I704" s="70"/>
      <c r="J704" s="70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  <c r="Y704" s="70"/>
      <c r="Z704" s="70"/>
    </row>
    <row r="705" customFormat="false" ht="12.75" hidden="false" customHeight="false" outlineLevel="0" collapsed="false">
      <c r="A705" s="70"/>
      <c r="B705" s="70"/>
      <c r="C705" s="70"/>
      <c r="D705" s="70"/>
      <c r="E705" s="70"/>
      <c r="F705" s="70"/>
      <c r="G705" s="70"/>
      <c r="H705" s="70"/>
      <c r="I705" s="70"/>
      <c r="J705" s="70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  <c r="Y705" s="70"/>
      <c r="Z705" s="70"/>
    </row>
    <row r="706" customFormat="false" ht="12.75" hidden="false" customHeight="false" outlineLevel="0" collapsed="false">
      <c r="A706" s="70"/>
      <c r="B706" s="70"/>
      <c r="C706" s="70"/>
      <c r="D706" s="70"/>
      <c r="E706" s="70"/>
      <c r="F706" s="70"/>
      <c r="G706" s="70"/>
      <c r="H706" s="70"/>
      <c r="I706" s="70"/>
      <c r="J706" s="70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  <c r="Y706" s="70"/>
      <c r="Z706" s="70"/>
    </row>
    <row r="707" customFormat="false" ht="12.75" hidden="false" customHeight="false" outlineLevel="0" collapsed="false">
      <c r="A707" s="70"/>
      <c r="B707" s="70"/>
      <c r="C707" s="70"/>
      <c r="D707" s="70"/>
      <c r="E707" s="70"/>
      <c r="F707" s="70"/>
      <c r="G707" s="70"/>
      <c r="H707" s="70"/>
      <c r="I707" s="70"/>
      <c r="J707" s="70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  <c r="Z707" s="70"/>
    </row>
    <row r="708" customFormat="false" ht="12.75" hidden="false" customHeight="false" outlineLevel="0" collapsed="false">
      <c r="A708" s="70"/>
      <c r="B708" s="70"/>
      <c r="C708" s="70"/>
      <c r="D708" s="70"/>
      <c r="E708" s="70"/>
      <c r="F708" s="70"/>
      <c r="G708" s="70"/>
      <c r="H708" s="70"/>
      <c r="I708" s="70"/>
      <c r="J708" s="70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  <c r="Y708" s="70"/>
      <c r="Z708" s="70"/>
    </row>
    <row r="709" customFormat="false" ht="12.75" hidden="false" customHeight="false" outlineLevel="0" collapsed="false">
      <c r="A709" s="70"/>
      <c r="B709" s="70"/>
      <c r="C709" s="70"/>
      <c r="D709" s="70"/>
      <c r="E709" s="70"/>
      <c r="F709" s="70"/>
      <c r="G709" s="70"/>
      <c r="H709" s="70"/>
      <c r="I709" s="70"/>
      <c r="J709" s="70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  <c r="Y709" s="70"/>
      <c r="Z709" s="70"/>
    </row>
    <row r="710" customFormat="false" ht="12.75" hidden="false" customHeight="false" outlineLevel="0" collapsed="false">
      <c r="A710" s="70"/>
      <c r="B710" s="70"/>
      <c r="C710" s="70"/>
      <c r="D710" s="70"/>
      <c r="E710" s="70"/>
      <c r="F710" s="70"/>
      <c r="G710" s="70"/>
      <c r="H710" s="70"/>
      <c r="I710" s="70"/>
      <c r="J710" s="70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  <c r="Y710" s="70"/>
      <c r="Z710" s="70"/>
    </row>
    <row r="711" customFormat="false" ht="12.75" hidden="false" customHeight="false" outlineLevel="0" collapsed="false">
      <c r="A711" s="70"/>
      <c r="B711" s="70"/>
      <c r="C711" s="70"/>
      <c r="D711" s="70"/>
      <c r="E711" s="70"/>
      <c r="F711" s="70"/>
      <c r="G711" s="70"/>
      <c r="H711" s="70"/>
      <c r="I711" s="70"/>
      <c r="J711" s="70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  <c r="Y711" s="70"/>
      <c r="Z711" s="70"/>
    </row>
    <row r="712" customFormat="false" ht="12.75" hidden="false" customHeight="false" outlineLevel="0" collapsed="false">
      <c r="A712" s="70"/>
      <c r="B712" s="70"/>
      <c r="C712" s="70"/>
      <c r="D712" s="70"/>
      <c r="E712" s="70"/>
      <c r="F712" s="70"/>
      <c r="G712" s="70"/>
      <c r="H712" s="70"/>
      <c r="I712" s="70"/>
      <c r="J712" s="70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  <c r="Y712" s="70"/>
      <c r="Z712" s="70"/>
    </row>
    <row r="713" customFormat="false" ht="12.75" hidden="false" customHeight="false" outlineLevel="0" collapsed="false">
      <c r="A713" s="70"/>
      <c r="B713" s="70"/>
      <c r="C713" s="70"/>
      <c r="D713" s="70"/>
      <c r="E713" s="70"/>
      <c r="F713" s="70"/>
      <c r="G713" s="70"/>
      <c r="H713" s="70"/>
      <c r="I713" s="70"/>
      <c r="J713" s="70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  <c r="Y713" s="70"/>
      <c r="Z713" s="70"/>
    </row>
    <row r="714" customFormat="false" ht="12.75" hidden="false" customHeight="false" outlineLevel="0" collapsed="false">
      <c r="A714" s="70"/>
      <c r="B714" s="70"/>
      <c r="C714" s="70"/>
      <c r="D714" s="70"/>
      <c r="E714" s="70"/>
      <c r="F714" s="70"/>
      <c r="G714" s="70"/>
      <c r="H714" s="70"/>
      <c r="I714" s="70"/>
      <c r="J714" s="70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  <c r="Y714" s="70"/>
      <c r="Z714" s="70"/>
    </row>
    <row r="715" customFormat="false" ht="12.75" hidden="false" customHeight="false" outlineLevel="0" collapsed="false">
      <c r="A715" s="70"/>
      <c r="B715" s="70"/>
      <c r="C715" s="70"/>
      <c r="D715" s="70"/>
      <c r="E715" s="70"/>
      <c r="F715" s="70"/>
      <c r="G715" s="70"/>
      <c r="H715" s="70"/>
      <c r="I715" s="70"/>
      <c r="J715" s="70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  <c r="Y715" s="70"/>
      <c r="Z715" s="70"/>
    </row>
    <row r="716" customFormat="false" ht="12.75" hidden="false" customHeight="false" outlineLevel="0" collapsed="false">
      <c r="A716" s="70"/>
      <c r="B716" s="70"/>
      <c r="C716" s="70"/>
      <c r="D716" s="70"/>
      <c r="E716" s="70"/>
      <c r="F716" s="70"/>
      <c r="G716" s="70"/>
      <c r="H716" s="70"/>
      <c r="I716" s="70"/>
      <c r="J716" s="70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  <c r="Y716" s="70"/>
      <c r="Z716" s="70"/>
    </row>
    <row r="717" customFormat="false" ht="12.75" hidden="false" customHeight="false" outlineLevel="0" collapsed="false">
      <c r="A717" s="70"/>
      <c r="B717" s="70"/>
      <c r="C717" s="70"/>
      <c r="D717" s="70"/>
      <c r="E717" s="70"/>
      <c r="F717" s="70"/>
      <c r="G717" s="70"/>
      <c r="H717" s="70"/>
      <c r="I717" s="70"/>
      <c r="J717" s="70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  <c r="Y717" s="70"/>
      <c r="Z717" s="70"/>
    </row>
    <row r="718" customFormat="false" ht="12.75" hidden="false" customHeight="false" outlineLevel="0" collapsed="false">
      <c r="A718" s="70"/>
      <c r="B718" s="70"/>
      <c r="C718" s="70"/>
      <c r="D718" s="70"/>
      <c r="E718" s="70"/>
      <c r="F718" s="70"/>
      <c r="G718" s="70"/>
      <c r="H718" s="70"/>
      <c r="I718" s="70"/>
      <c r="J718" s="70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  <c r="Y718" s="70"/>
      <c r="Z718" s="70"/>
    </row>
    <row r="719" customFormat="false" ht="12.75" hidden="false" customHeight="false" outlineLevel="0" collapsed="false">
      <c r="A719" s="70"/>
      <c r="B719" s="70"/>
      <c r="C719" s="70"/>
      <c r="D719" s="70"/>
      <c r="E719" s="70"/>
      <c r="F719" s="70"/>
      <c r="G719" s="70"/>
      <c r="H719" s="70"/>
      <c r="I719" s="70"/>
      <c r="J719" s="70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  <c r="Y719" s="70"/>
      <c r="Z719" s="70"/>
    </row>
    <row r="720" customFormat="false" ht="12.75" hidden="false" customHeight="false" outlineLevel="0" collapsed="false">
      <c r="A720" s="70"/>
      <c r="B720" s="70"/>
      <c r="C720" s="70"/>
      <c r="D720" s="70"/>
      <c r="E720" s="70"/>
      <c r="F720" s="70"/>
      <c r="G720" s="70"/>
      <c r="H720" s="70"/>
      <c r="I720" s="70"/>
      <c r="J720" s="70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  <c r="Y720" s="70"/>
      <c r="Z720" s="70"/>
    </row>
    <row r="721" customFormat="false" ht="12.75" hidden="false" customHeight="false" outlineLevel="0" collapsed="false">
      <c r="A721" s="70"/>
      <c r="B721" s="70"/>
      <c r="C721" s="70"/>
      <c r="D721" s="70"/>
      <c r="E721" s="70"/>
      <c r="F721" s="70"/>
      <c r="G721" s="70"/>
      <c r="H721" s="70"/>
      <c r="I721" s="70"/>
      <c r="J721" s="70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  <c r="Y721" s="70"/>
      <c r="Z721" s="70"/>
    </row>
    <row r="722" customFormat="false" ht="12.75" hidden="false" customHeight="false" outlineLevel="0" collapsed="false">
      <c r="A722" s="70"/>
      <c r="B722" s="70"/>
      <c r="C722" s="70"/>
      <c r="D722" s="70"/>
      <c r="E722" s="70"/>
      <c r="F722" s="70"/>
      <c r="G722" s="70"/>
      <c r="H722" s="70"/>
      <c r="I722" s="70"/>
      <c r="J722" s="70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  <c r="Y722" s="70"/>
      <c r="Z722" s="70"/>
    </row>
    <row r="723" customFormat="false" ht="12.75" hidden="false" customHeight="false" outlineLevel="0" collapsed="false">
      <c r="A723" s="70"/>
      <c r="B723" s="70"/>
      <c r="C723" s="70"/>
      <c r="D723" s="70"/>
      <c r="E723" s="70"/>
      <c r="F723" s="70"/>
      <c r="G723" s="70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  <c r="Y723" s="70"/>
      <c r="Z723" s="70"/>
    </row>
    <row r="724" customFormat="false" ht="12.75" hidden="false" customHeight="false" outlineLevel="0" collapsed="false">
      <c r="A724" s="70"/>
      <c r="B724" s="70"/>
      <c r="C724" s="70"/>
      <c r="D724" s="70"/>
      <c r="E724" s="70"/>
      <c r="F724" s="70"/>
      <c r="G724" s="70"/>
      <c r="H724" s="70"/>
      <c r="I724" s="70"/>
      <c r="J724" s="70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  <c r="Y724" s="70"/>
      <c r="Z724" s="70"/>
    </row>
    <row r="725" customFormat="false" ht="12.75" hidden="false" customHeight="false" outlineLevel="0" collapsed="false">
      <c r="A725" s="70"/>
      <c r="B725" s="70"/>
      <c r="C725" s="70"/>
      <c r="D725" s="70"/>
      <c r="E725" s="70"/>
      <c r="F725" s="70"/>
      <c r="G725" s="70"/>
      <c r="H725" s="70"/>
      <c r="I725" s="70"/>
      <c r="J725" s="70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  <c r="Y725" s="70"/>
      <c r="Z725" s="70"/>
    </row>
    <row r="726" customFormat="false" ht="12.75" hidden="false" customHeight="false" outlineLevel="0" collapsed="false">
      <c r="A726" s="70"/>
      <c r="B726" s="70"/>
      <c r="C726" s="70"/>
      <c r="D726" s="70"/>
      <c r="E726" s="70"/>
      <c r="F726" s="70"/>
      <c r="G726" s="70"/>
      <c r="H726" s="70"/>
      <c r="I726" s="70"/>
      <c r="J726" s="70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  <c r="Y726" s="70"/>
      <c r="Z726" s="70"/>
    </row>
    <row r="727" customFormat="false" ht="12.75" hidden="false" customHeight="false" outlineLevel="0" collapsed="false">
      <c r="A727" s="70"/>
      <c r="B727" s="70"/>
      <c r="C727" s="70"/>
      <c r="D727" s="70"/>
      <c r="E727" s="70"/>
      <c r="F727" s="70"/>
      <c r="G727" s="70"/>
      <c r="H727" s="70"/>
      <c r="I727" s="70"/>
      <c r="J727" s="70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  <c r="Y727" s="70"/>
      <c r="Z727" s="70"/>
    </row>
    <row r="728" customFormat="false" ht="12.75" hidden="false" customHeight="false" outlineLevel="0" collapsed="false">
      <c r="A728" s="70"/>
      <c r="B728" s="70"/>
      <c r="C728" s="70"/>
      <c r="D728" s="70"/>
      <c r="E728" s="70"/>
      <c r="F728" s="70"/>
      <c r="G728" s="70"/>
      <c r="H728" s="70"/>
      <c r="I728" s="70"/>
      <c r="J728" s="70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  <c r="Y728" s="70"/>
      <c r="Z728" s="70"/>
    </row>
    <row r="729" customFormat="false" ht="12.75" hidden="false" customHeight="false" outlineLevel="0" collapsed="false">
      <c r="A729" s="70"/>
      <c r="B729" s="70"/>
      <c r="C729" s="70"/>
      <c r="D729" s="70"/>
      <c r="E729" s="70"/>
      <c r="F729" s="70"/>
      <c r="G729" s="70"/>
      <c r="H729" s="70"/>
      <c r="I729" s="70"/>
      <c r="J729" s="70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  <c r="Z729" s="70"/>
    </row>
    <row r="730" customFormat="false" ht="12.75" hidden="false" customHeight="false" outlineLevel="0" collapsed="false">
      <c r="A730" s="70"/>
      <c r="B730" s="70"/>
      <c r="C730" s="70"/>
      <c r="D730" s="70"/>
      <c r="E730" s="70"/>
      <c r="F730" s="70"/>
      <c r="G730" s="70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  <c r="Y730" s="70"/>
      <c r="Z730" s="70"/>
    </row>
    <row r="731" customFormat="false" ht="12.75" hidden="false" customHeight="false" outlineLevel="0" collapsed="false">
      <c r="A731" s="70"/>
      <c r="B731" s="70"/>
      <c r="C731" s="70"/>
      <c r="D731" s="70"/>
      <c r="E731" s="70"/>
      <c r="F731" s="70"/>
      <c r="G731" s="70"/>
      <c r="H731" s="70"/>
      <c r="I731" s="70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  <c r="Z731" s="70"/>
    </row>
    <row r="732" customFormat="false" ht="12.75" hidden="false" customHeight="false" outlineLevel="0" collapsed="false">
      <c r="A732" s="70"/>
      <c r="B732" s="70"/>
      <c r="C732" s="70"/>
      <c r="D732" s="70"/>
      <c r="E732" s="70"/>
      <c r="F732" s="70"/>
      <c r="G732" s="70"/>
      <c r="H732" s="70"/>
      <c r="I732" s="70"/>
      <c r="J732" s="70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  <c r="Y732" s="70"/>
      <c r="Z732" s="70"/>
    </row>
    <row r="733" customFormat="false" ht="12.75" hidden="false" customHeight="false" outlineLevel="0" collapsed="false">
      <c r="A733" s="70"/>
      <c r="B733" s="70"/>
      <c r="C733" s="70"/>
      <c r="D733" s="70"/>
      <c r="E733" s="70"/>
      <c r="F733" s="70"/>
      <c r="G733" s="70"/>
      <c r="H733" s="70"/>
      <c r="I733" s="70"/>
      <c r="J733" s="70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  <c r="Y733" s="70"/>
      <c r="Z733" s="70"/>
    </row>
    <row r="734" customFormat="false" ht="12.75" hidden="false" customHeight="false" outlineLevel="0" collapsed="false">
      <c r="A734" s="70"/>
      <c r="B734" s="70"/>
      <c r="C734" s="70"/>
      <c r="D734" s="70"/>
      <c r="E734" s="70"/>
      <c r="F734" s="70"/>
      <c r="G734" s="70"/>
      <c r="H734" s="70"/>
      <c r="I734" s="70"/>
      <c r="J734" s="70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  <c r="Y734" s="70"/>
      <c r="Z734" s="70"/>
    </row>
    <row r="735" customFormat="false" ht="12.75" hidden="false" customHeight="false" outlineLevel="0" collapsed="false">
      <c r="A735" s="70"/>
      <c r="B735" s="70"/>
      <c r="C735" s="70"/>
      <c r="D735" s="70"/>
      <c r="E735" s="70"/>
      <c r="F735" s="70"/>
      <c r="G735" s="70"/>
      <c r="H735" s="70"/>
      <c r="I735" s="70"/>
      <c r="J735" s="70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  <c r="Y735" s="70"/>
      <c r="Z735" s="70"/>
    </row>
    <row r="736" customFormat="false" ht="12.75" hidden="false" customHeight="false" outlineLevel="0" collapsed="false">
      <c r="A736" s="70"/>
      <c r="B736" s="70"/>
      <c r="C736" s="70"/>
      <c r="D736" s="70"/>
      <c r="E736" s="70"/>
      <c r="F736" s="70"/>
      <c r="G736" s="70"/>
      <c r="H736" s="70"/>
      <c r="I736" s="70"/>
      <c r="J736" s="70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  <c r="Y736" s="70"/>
      <c r="Z736" s="70"/>
    </row>
    <row r="737" customFormat="false" ht="12.75" hidden="false" customHeight="false" outlineLevel="0" collapsed="false">
      <c r="A737" s="70"/>
      <c r="B737" s="70"/>
      <c r="C737" s="70"/>
      <c r="D737" s="70"/>
      <c r="E737" s="70"/>
      <c r="F737" s="70"/>
      <c r="G737" s="70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  <c r="Y737" s="70"/>
      <c r="Z737" s="70"/>
    </row>
    <row r="738" customFormat="false" ht="12.75" hidden="false" customHeight="false" outlineLevel="0" collapsed="false">
      <c r="A738" s="70"/>
      <c r="B738" s="70"/>
      <c r="C738" s="70"/>
      <c r="D738" s="70"/>
      <c r="E738" s="70"/>
      <c r="F738" s="70"/>
      <c r="G738" s="70"/>
      <c r="H738" s="70"/>
      <c r="I738" s="70"/>
      <c r="J738" s="70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  <c r="Y738" s="70"/>
      <c r="Z738" s="70"/>
    </row>
    <row r="739" customFormat="false" ht="12.75" hidden="false" customHeight="false" outlineLevel="0" collapsed="false">
      <c r="A739" s="70"/>
      <c r="B739" s="70"/>
      <c r="C739" s="70"/>
      <c r="D739" s="70"/>
      <c r="E739" s="70"/>
      <c r="F739" s="70"/>
      <c r="G739" s="70"/>
      <c r="H739" s="70"/>
      <c r="I739" s="70"/>
      <c r="J739" s="70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  <c r="Y739" s="70"/>
      <c r="Z739" s="70"/>
    </row>
    <row r="740" customFormat="false" ht="12.75" hidden="false" customHeight="false" outlineLevel="0" collapsed="false">
      <c r="A740" s="70"/>
      <c r="B740" s="70"/>
      <c r="C740" s="70"/>
      <c r="D740" s="70"/>
      <c r="E740" s="70"/>
      <c r="F740" s="70"/>
      <c r="G740" s="70"/>
      <c r="H740" s="70"/>
      <c r="I740" s="70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  <c r="Z740" s="70"/>
    </row>
    <row r="741" customFormat="false" ht="12.75" hidden="false" customHeight="false" outlineLevel="0" collapsed="false">
      <c r="A741" s="70"/>
      <c r="B741" s="70"/>
      <c r="C741" s="70"/>
      <c r="D741" s="70"/>
      <c r="E741" s="70"/>
      <c r="F741" s="70"/>
      <c r="G741" s="70"/>
      <c r="H741" s="70"/>
      <c r="I741" s="70"/>
      <c r="J741" s="70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  <c r="Y741" s="70"/>
      <c r="Z741" s="70"/>
    </row>
    <row r="742" customFormat="false" ht="12.75" hidden="false" customHeight="false" outlineLevel="0" collapsed="false">
      <c r="A742" s="70"/>
      <c r="B742" s="70"/>
      <c r="C742" s="70"/>
      <c r="D742" s="70"/>
      <c r="E742" s="70"/>
      <c r="F742" s="70"/>
      <c r="G742" s="70"/>
      <c r="H742" s="70"/>
      <c r="I742" s="70"/>
      <c r="J742" s="70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  <c r="Y742" s="70"/>
      <c r="Z742" s="70"/>
    </row>
    <row r="743" customFormat="false" ht="12.75" hidden="false" customHeight="false" outlineLevel="0" collapsed="false">
      <c r="A743" s="70"/>
      <c r="B743" s="70"/>
      <c r="C743" s="70"/>
      <c r="D743" s="70"/>
      <c r="E743" s="70"/>
      <c r="F743" s="70"/>
      <c r="G743" s="70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  <c r="Y743" s="70"/>
      <c r="Z743" s="70"/>
    </row>
    <row r="744" customFormat="false" ht="12.75" hidden="false" customHeight="false" outlineLevel="0" collapsed="false">
      <c r="A744" s="70"/>
      <c r="B744" s="70"/>
      <c r="C744" s="70"/>
      <c r="D744" s="70"/>
      <c r="E744" s="70"/>
      <c r="F744" s="70"/>
      <c r="G744" s="70"/>
      <c r="H744" s="70"/>
      <c r="I744" s="70"/>
      <c r="J744" s="70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  <c r="Y744" s="70"/>
      <c r="Z744" s="70"/>
    </row>
    <row r="745" customFormat="false" ht="12.75" hidden="false" customHeight="false" outlineLevel="0" collapsed="false">
      <c r="A745" s="70"/>
      <c r="B745" s="70"/>
      <c r="C745" s="70"/>
      <c r="D745" s="70"/>
      <c r="E745" s="70"/>
      <c r="F745" s="70"/>
      <c r="G745" s="70"/>
      <c r="H745" s="70"/>
      <c r="I745" s="70"/>
      <c r="J745" s="70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  <c r="Y745" s="70"/>
      <c r="Z745" s="70"/>
    </row>
    <row r="746" customFormat="false" ht="12.75" hidden="false" customHeight="false" outlineLevel="0" collapsed="false">
      <c r="A746" s="70"/>
      <c r="B746" s="70"/>
      <c r="C746" s="70"/>
      <c r="D746" s="70"/>
      <c r="E746" s="70"/>
      <c r="F746" s="70"/>
      <c r="G746" s="70"/>
      <c r="H746" s="70"/>
      <c r="I746" s="70"/>
      <c r="J746" s="70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  <c r="Y746" s="70"/>
      <c r="Z746" s="70"/>
    </row>
    <row r="747" customFormat="false" ht="12.75" hidden="false" customHeight="false" outlineLevel="0" collapsed="false">
      <c r="A747" s="70"/>
      <c r="B747" s="70"/>
      <c r="C747" s="70"/>
      <c r="D747" s="70"/>
      <c r="E747" s="70"/>
      <c r="F747" s="70"/>
      <c r="G747" s="70"/>
      <c r="H747" s="70"/>
      <c r="I747" s="70"/>
      <c r="J747" s="70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  <c r="Y747" s="70"/>
      <c r="Z747" s="70"/>
    </row>
    <row r="748" customFormat="false" ht="12.75" hidden="false" customHeight="false" outlineLevel="0" collapsed="false">
      <c r="A748" s="70"/>
      <c r="B748" s="70"/>
      <c r="C748" s="70"/>
      <c r="D748" s="70"/>
      <c r="E748" s="70"/>
      <c r="F748" s="70"/>
      <c r="G748" s="70"/>
      <c r="H748" s="70"/>
      <c r="I748" s="70"/>
      <c r="J748" s="70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  <c r="Y748" s="70"/>
      <c r="Z748" s="70"/>
    </row>
    <row r="749" customFormat="false" ht="12.75" hidden="false" customHeight="false" outlineLevel="0" collapsed="false">
      <c r="A749" s="70"/>
      <c r="B749" s="70"/>
      <c r="C749" s="70"/>
      <c r="D749" s="70"/>
      <c r="E749" s="70"/>
      <c r="F749" s="70"/>
      <c r="G749" s="70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  <c r="Y749" s="70"/>
      <c r="Z749" s="70"/>
    </row>
    <row r="750" customFormat="false" ht="12.75" hidden="false" customHeight="false" outlineLevel="0" collapsed="false">
      <c r="A750" s="70"/>
      <c r="B750" s="70"/>
      <c r="C750" s="70"/>
      <c r="D750" s="70"/>
      <c r="E750" s="70"/>
      <c r="F750" s="70"/>
      <c r="G750" s="70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  <c r="Y750" s="70"/>
      <c r="Z750" s="70"/>
    </row>
    <row r="751" customFormat="false" ht="12.75" hidden="false" customHeight="false" outlineLevel="0" collapsed="false">
      <c r="A751" s="70"/>
      <c r="B751" s="70"/>
      <c r="C751" s="70"/>
      <c r="D751" s="70"/>
      <c r="E751" s="70"/>
      <c r="F751" s="70"/>
      <c r="G751" s="70"/>
      <c r="H751" s="70"/>
      <c r="I751" s="70"/>
      <c r="J751" s="70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  <c r="Z751" s="70"/>
    </row>
    <row r="752" customFormat="false" ht="12.75" hidden="false" customHeight="false" outlineLevel="0" collapsed="false">
      <c r="A752" s="70"/>
      <c r="B752" s="70"/>
      <c r="C752" s="70"/>
      <c r="D752" s="70"/>
      <c r="E752" s="70"/>
      <c r="F752" s="70"/>
      <c r="G752" s="70"/>
      <c r="H752" s="70"/>
      <c r="I752" s="70"/>
      <c r="J752" s="70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  <c r="Y752" s="70"/>
      <c r="Z752" s="70"/>
    </row>
    <row r="753" customFormat="false" ht="12.75" hidden="false" customHeight="false" outlineLevel="0" collapsed="false">
      <c r="A753" s="70"/>
      <c r="B753" s="70"/>
      <c r="C753" s="70"/>
      <c r="D753" s="70"/>
      <c r="E753" s="70"/>
      <c r="F753" s="70"/>
      <c r="G753" s="70"/>
      <c r="H753" s="70"/>
      <c r="I753" s="70"/>
      <c r="J753" s="70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  <c r="Y753" s="70"/>
      <c r="Z753" s="70"/>
    </row>
    <row r="754" customFormat="false" ht="12.75" hidden="false" customHeight="false" outlineLevel="0" collapsed="false">
      <c r="A754" s="70"/>
      <c r="B754" s="70"/>
      <c r="C754" s="70"/>
      <c r="D754" s="70"/>
      <c r="E754" s="70"/>
      <c r="F754" s="70"/>
      <c r="G754" s="70"/>
      <c r="H754" s="70"/>
      <c r="I754" s="70"/>
      <c r="J754" s="70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  <c r="Y754" s="70"/>
      <c r="Z754" s="70"/>
    </row>
    <row r="755" customFormat="false" ht="12.75" hidden="false" customHeight="false" outlineLevel="0" collapsed="false">
      <c r="A755" s="70"/>
      <c r="B755" s="70"/>
      <c r="C755" s="70"/>
      <c r="D755" s="70"/>
      <c r="E755" s="70"/>
      <c r="F755" s="70"/>
      <c r="G755" s="70"/>
      <c r="H755" s="70"/>
      <c r="I755" s="70"/>
      <c r="J755" s="70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  <c r="Y755" s="70"/>
      <c r="Z755" s="70"/>
    </row>
    <row r="756" customFormat="false" ht="12.75" hidden="false" customHeight="false" outlineLevel="0" collapsed="false">
      <c r="A756" s="70"/>
      <c r="B756" s="70"/>
      <c r="C756" s="70"/>
      <c r="D756" s="70"/>
      <c r="E756" s="70"/>
      <c r="F756" s="70"/>
      <c r="G756" s="70"/>
      <c r="H756" s="70"/>
      <c r="I756" s="70"/>
      <c r="J756" s="70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  <c r="Y756" s="70"/>
      <c r="Z756" s="70"/>
    </row>
    <row r="757" customFormat="false" ht="12.75" hidden="false" customHeight="false" outlineLevel="0" collapsed="false">
      <c r="A757" s="70"/>
      <c r="B757" s="70"/>
      <c r="C757" s="70"/>
      <c r="D757" s="70"/>
      <c r="E757" s="70"/>
      <c r="F757" s="70"/>
      <c r="G757" s="70"/>
      <c r="H757" s="70"/>
      <c r="I757" s="70"/>
      <c r="J757" s="70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  <c r="Y757" s="70"/>
      <c r="Z757" s="70"/>
    </row>
    <row r="758" customFormat="false" ht="12.75" hidden="false" customHeight="false" outlineLevel="0" collapsed="false">
      <c r="A758" s="70"/>
      <c r="B758" s="70"/>
      <c r="C758" s="70"/>
      <c r="D758" s="70"/>
      <c r="E758" s="70"/>
      <c r="F758" s="70"/>
      <c r="G758" s="70"/>
      <c r="H758" s="70"/>
      <c r="I758" s="70"/>
      <c r="J758" s="70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  <c r="Y758" s="70"/>
      <c r="Z758" s="70"/>
    </row>
    <row r="759" customFormat="false" ht="12.75" hidden="false" customHeight="false" outlineLevel="0" collapsed="false">
      <c r="A759" s="70"/>
      <c r="B759" s="70"/>
      <c r="C759" s="70"/>
      <c r="D759" s="70"/>
      <c r="E759" s="70"/>
      <c r="F759" s="70"/>
      <c r="G759" s="70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  <c r="Y759" s="70"/>
      <c r="Z759" s="70"/>
    </row>
    <row r="760" customFormat="false" ht="12.75" hidden="false" customHeight="false" outlineLevel="0" collapsed="false">
      <c r="A760" s="70"/>
      <c r="B760" s="70"/>
      <c r="C760" s="70"/>
      <c r="D760" s="70"/>
      <c r="E760" s="70"/>
      <c r="F760" s="70"/>
      <c r="G760" s="70"/>
      <c r="H760" s="70"/>
      <c r="I760" s="70"/>
      <c r="J760" s="70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  <c r="Y760" s="70"/>
      <c r="Z760" s="70"/>
    </row>
    <row r="761" customFormat="false" ht="12.75" hidden="false" customHeight="false" outlineLevel="0" collapsed="false">
      <c r="A761" s="70"/>
      <c r="B761" s="70"/>
      <c r="C761" s="70"/>
      <c r="D761" s="70"/>
      <c r="E761" s="70"/>
      <c r="F761" s="70"/>
      <c r="G761" s="70"/>
      <c r="H761" s="70"/>
      <c r="I761" s="70"/>
      <c r="J761" s="70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  <c r="Y761" s="70"/>
      <c r="Z761" s="70"/>
    </row>
    <row r="762" customFormat="false" ht="12.75" hidden="false" customHeight="false" outlineLevel="0" collapsed="false">
      <c r="A762" s="70"/>
      <c r="B762" s="70"/>
      <c r="C762" s="70"/>
      <c r="D762" s="70"/>
      <c r="E762" s="70"/>
      <c r="F762" s="70"/>
      <c r="G762" s="70"/>
      <c r="H762" s="70"/>
      <c r="I762" s="70"/>
      <c r="J762" s="70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  <c r="Y762" s="70"/>
      <c r="Z762" s="70"/>
    </row>
    <row r="763" customFormat="false" ht="12.75" hidden="false" customHeight="false" outlineLevel="0" collapsed="false">
      <c r="A763" s="70"/>
      <c r="B763" s="70"/>
      <c r="C763" s="70"/>
      <c r="D763" s="70"/>
      <c r="E763" s="70"/>
      <c r="F763" s="70"/>
      <c r="G763" s="70"/>
      <c r="H763" s="70"/>
      <c r="I763" s="70"/>
      <c r="J763" s="70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  <c r="Y763" s="70"/>
      <c r="Z763" s="70"/>
    </row>
    <row r="764" customFormat="false" ht="12.75" hidden="false" customHeight="false" outlineLevel="0" collapsed="false">
      <c r="A764" s="70"/>
      <c r="B764" s="70"/>
      <c r="C764" s="70"/>
      <c r="D764" s="70"/>
      <c r="E764" s="70"/>
      <c r="F764" s="70"/>
      <c r="G764" s="70"/>
      <c r="H764" s="70"/>
      <c r="I764" s="70"/>
      <c r="J764" s="70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  <c r="Y764" s="70"/>
      <c r="Z764" s="70"/>
    </row>
    <row r="765" customFormat="false" ht="12.75" hidden="false" customHeight="false" outlineLevel="0" collapsed="false">
      <c r="A765" s="70"/>
      <c r="B765" s="70"/>
      <c r="C765" s="70"/>
      <c r="D765" s="70"/>
      <c r="E765" s="70"/>
      <c r="F765" s="70"/>
      <c r="G765" s="70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  <c r="Y765" s="70"/>
      <c r="Z765" s="70"/>
    </row>
    <row r="766" customFormat="false" ht="12.75" hidden="false" customHeight="false" outlineLevel="0" collapsed="false">
      <c r="A766" s="70"/>
      <c r="B766" s="70"/>
      <c r="C766" s="70"/>
      <c r="D766" s="70"/>
      <c r="E766" s="70"/>
      <c r="F766" s="70"/>
      <c r="G766" s="70"/>
      <c r="H766" s="70"/>
      <c r="I766" s="70"/>
      <c r="J766" s="70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  <c r="Y766" s="70"/>
      <c r="Z766" s="70"/>
    </row>
    <row r="767" customFormat="false" ht="12.75" hidden="false" customHeight="false" outlineLevel="0" collapsed="false">
      <c r="A767" s="70"/>
      <c r="B767" s="70"/>
      <c r="C767" s="70"/>
      <c r="D767" s="70"/>
      <c r="E767" s="70"/>
      <c r="F767" s="70"/>
      <c r="G767" s="70"/>
      <c r="H767" s="70"/>
      <c r="I767" s="70"/>
      <c r="J767" s="70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  <c r="Y767" s="70"/>
      <c r="Z767" s="70"/>
    </row>
    <row r="768" customFormat="false" ht="12.75" hidden="false" customHeight="false" outlineLevel="0" collapsed="false">
      <c r="A768" s="70"/>
      <c r="B768" s="70"/>
      <c r="C768" s="70"/>
      <c r="D768" s="70"/>
      <c r="E768" s="70"/>
      <c r="F768" s="70"/>
      <c r="G768" s="70"/>
      <c r="H768" s="70"/>
      <c r="I768" s="70"/>
      <c r="J768" s="70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  <c r="Y768" s="70"/>
      <c r="Z768" s="70"/>
    </row>
    <row r="769" customFormat="false" ht="12.75" hidden="false" customHeight="false" outlineLevel="0" collapsed="false">
      <c r="A769" s="70"/>
      <c r="B769" s="70"/>
      <c r="C769" s="70"/>
      <c r="D769" s="70"/>
      <c r="E769" s="70"/>
      <c r="F769" s="70"/>
      <c r="G769" s="70"/>
      <c r="H769" s="70"/>
      <c r="I769" s="70"/>
      <c r="J769" s="70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  <c r="Y769" s="70"/>
      <c r="Z769" s="70"/>
    </row>
    <row r="770" customFormat="false" ht="12.75" hidden="false" customHeight="false" outlineLevel="0" collapsed="false">
      <c r="A770" s="70"/>
      <c r="B770" s="70"/>
      <c r="C770" s="70"/>
      <c r="D770" s="70"/>
      <c r="E770" s="70"/>
      <c r="F770" s="70"/>
      <c r="G770" s="70"/>
      <c r="H770" s="70"/>
      <c r="I770" s="70"/>
      <c r="J770" s="70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  <c r="Y770" s="70"/>
      <c r="Z770" s="70"/>
    </row>
    <row r="771" customFormat="false" ht="12.75" hidden="false" customHeight="false" outlineLevel="0" collapsed="false">
      <c r="A771" s="70"/>
      <c r="B771" s="70"/>
      <c r="C771" s="70"/>
      <c r="D771" s="70"/>
      <c r="E771" s="70"/>
      <c r="F771" s="70"/>
      <c r="G771" s="70"/>
      <c r="H771" s="70"/>
      <c r="I771" s="70"/>
      <c r="J771" s="70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  <c r="Y771" s="70"/>
      <c r="Z771" s="70"/>
    </row>
    <row r="772" customFormat="false" ht="12.75" hidden="false" customHeight="false" outlineLevel="0" collapsed="false">
      <c r="A772" s="70"/>
      <c r="B772" s="70"/>
      <c r="C772" s="70"/>
      <c r="D772" s="70"/>
      <c r="E772" s="70"/>
      <c r="F772" s="70"/>
      <c r="G772" s="70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  <c r="Y772" s="70"/>
      <c r="Z772" s="70"/>
    </row>
    <row r="773" customFormat="false" ht="12.75" hidden="false" customHeight="false" outlineLevel="0" collapsed="false">
      <c r="A773" s="70"/>
      <c r="B773" s="70"/>
      <c r="C773" s="70"/>
      <c r="D773" s="70"/>
      <c r="E773" s="70"/>
      <c r="F773" s="70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  <c r="Z773" s="70"/>
    </row>
    <row r="774" customFormat="false" ht="12.75" hidden="false" customHeight="false" outlineLevel="0" collapsed="false">
      <c r="A774" s="70"/>
      <c r="B774" s="70"/>
      <c r="C774" s="70"/>
      <c r="D774" s="70"/>
      <c r="E774" s="70"/>
      <c r="F774" s="70"/>
      <c r="G774" s="70"/>
      <c r="H774" s="70"/>
      <c r="I774" s="70"/>
      <c r="J774" s="70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  <c r="Y774" s="70"/>
      <c r="Z774" s="70"/>
    </row>
    <row r="775" customFormat="false" ht="12.75" hidden="false" customHeight="false" outlineLevel="0" collapsed="false">
      <c r="A775" s="70"/>
      <c r="B775" s="70"/>
      <c r="C775" s="70"/>
      <c r="D775" s="70"/>
      <c r="E775" s="70"/>
      <c r="F775" s="70"/>
      <c r="G775" s="70"/>
      <c r="H775" s="70"/>
      <c r="I775" s="70"/>
      <c r="J775" s="70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  <c r="Y775" s="70"/>
      <c r="Z775" s="70"/>
    </row>
    <row r="776" customFormat="false" ht="12.75" hidden="false" customHeight="false" outlineLevel="0" collapsed="false">
      <c r="A776" s="70"/>
      <c r="B776" s="70"/>
      <c r="C776" s="70"/>
      <c r="D776" s="70"/>
      <c r="E776" s="70"/>
      <c r="F776" s="70"/>
      <c r="G776" s="70"/>
      <c r="H776" s="70"/>
      <c r="I776" s="70"/>
      <c r="J776" s="70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  <c r="Y776" s="70"/>
      <c r="Z776" s="70"/>
    </row>
    <row r="777" customFormat="false" ht="12.75" hidden="false" customHeight="false" outlineLevel="0" collapsed="false">
      <c r="A777" s="70"/>
      <c r="B777" s="70"/>
      <c r="C777" s="70"/>
      <c r="D777" s="70"/>
      <c r="E777" s="70"/>
      <c r="F777" s="70"/>
      <c r="G777" s="70"/>
      <c r="H777" s="70"/>
      <c r="I777" s="70"/>
      <c r="J777" s="70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  <c r="Y777" s="70"/>
      <c r="Z777" s="70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43" fitToWidth="1" fitToHeight="1" pageOrder="downThenOver" orientation="landscape" blackAndWhite="false" draft="false" cellComments="none" horizontalDpi="300" verticalDpi="300" copies="1"/>
  <headerFooter differentFirst="false" differentOddEven="false">
    <oddHeader>&amp;LEnron Generation Company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BD8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21" activeCellId="0" sqref="I21"/>
    </sheetView>
  </sheetViews>
  <sheetFormatPr defaultColWidth="15.13671875" defaultRowHeight="12.75" customHeight="true" zeroHeight="false" outlineLevelRow="0" outlineLevelCol="0"/>
  <sheetData>
    <row r="2" customFormat="false" ht="20.25" hidden="false" customHeight="false" outlineLevel="0" collapsed="false">
      <c r="A2" s="2" t="s">
        <v>492</v>
      </c>
      <c r="B2" s="77"/>
      <c r="C2" s="77"/>
      <c r="D2" s="77"/>
      <c r="E2" s="78"/>
      <c r="F2" s="78"/>
      <c r="G2" s="78"/>
      <c r="H2" s="7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2" t="s">
        <v>493</v>
      </c>
      <c r="V2" s="77"/>
      <c r="W2" s="77"/>
      <c r="X2" s="78"/>
      <c r="Y2" s="78"/>
      <c r="Z2" s="78"/>
      <c r="AA2" s="78"/>
      <c r="AB2" s="78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BB2" s="1"/>
      <c r="BC2" s="1"/>
      <c r="BD2" s="1"/>
    </row>
    <row r="3" customFormat="false" ht="15.75" hidden="false" customHeight="false" outlineLevel="0" collapsed="false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BB3" s="1"/>
      <c r="BC3" s="1"/>
      <c r="BD3" s="1"/>
    </row>
    <row r="4" customFormat="false" ht="15.75" hidden="false" customHeight="fals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28"/>
      <c r="O4" s="28"/>
      <c r="P4" s="28"/>
      <c r="Q4" s="28"/>
      <c r="R4" s="28"/>
      <c r="S4" s="28"/>
      <c r="T4" s="4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BB4" s="1"/>
      <c r="BC4" s="1"/>
      <c r="BD4" s="1"/>
    </row>
    <row r="5" customFormat="false" ht="16.5" hidden="false" customHeight="false" outlineLevel="0" collapsed="false">
      <c r="A5" s="743" t="s">
        <v>494</v>
      </c>
      <c r="B5" s="744"/>
      <c r="C5" s="744"/>
      <c r="D5" s="744"/>
      <c r="E5" s="744"/>
      <c r="F5" s="744"/>
      <c r="G5" s="745"/>
      <c r="H5" s="745"/>
      <c r="I5" s="745"/>
      <c r="J5" s="745"/>
      <c r="K5" s="745"/>
      <c r="L5" s="745"/>
      <c r="M5" s="745"/>
      <c r="N5" s="745"/>
      <c r="O5" s="745"/>
      <c r="P5" s="745"/>
      <c r="Q5" s="745"/>
      <c r="R5" s="745"/>
      <c r="S5" s="4"/>
      <c r="T5" s="4"/>
      <c r="U5" s="743"/>
      <c r="V5" s="744"/>
      <c r="W5" s="744"/>
      <c r="X5" s="744"/>
      <c r="Y5" s="744"/>
      <c r="Z5" s="744"/>
      <c r="AA5" s="745"/>
      <c r="AB5" s="745"/>
      <c r="AC5" s="745"/>
      <c r="AD5" s="745"/>
      <c r="AE5" s="745"/>
      <c r="AF5" s="745"/>
      <c r="AG5" s="745"/>
      <c r="AH5" s="745"/>
      <c r="AI5" s="745"/>
      <c r="AJ5" s="745"/>
      <c r="AK5" s="745"/>
      <c r="AL5" s="745"/>
      <c r="AM5" s="4"/>
      <c r="AN5" s="4"/>
      <c r="AO5" s="4"/>
      <c r="AP5" s="4"/>
      <c r="AQ5" s="4"/>
      <c r="AR5" s="4"/>
      <c r="AS5" s="4"/>
      <c r="AT5" s="4"/>
      <c r="AU5" s="345"/>
      <c r="AV5" s="345"/>
      <c r="BB5" s="1"/>
      <c r="BC5" s="1"/>
      <c r="BD5" s="1"/>
    </row>
    <row r="6" customFormat="false" ht="16.5" hidden="false" customHeight="false" outlineLevel="0" collapsed="false">
      <c r="A6" s="746" t="s">
        <v>495</v>
      </c>
      <c r="B6" s="747" t="s">
        <v>496</v>
      </c>
      <c r="C6" s="747"/>
      <c r="D6" s="747"/>
      <c r="E6" s="747"/>
      <c r="G6" s="748" t="s">
        <v>497</v>
      </c>
      <c r="H6" s="748"/>
      <c r="I6" s="748"/>
      <c r="J6" s="748"/>
      <c r="K6" s="748"/>
      <c r="L6" s="748"/>
      <c r="N6" s="749" t="s">
        <v>498</v>
      </c>
      <c r="O6" s="749"/>
      <c r="P6" s="749"/>
      <c r="Q6" s="749"/>
      <c r="R6" s="749"/>
      <c r="S6" s="749"/>
      <c r="U6" s="746" t="s">
        <v>495</v>
      </c>
      <c r="V6" s="747" t="s">
        <v>499</v>
      </c>
      <c r="W6" s="747"/>
      <c r="X6" s="747"/>
      <c r="Y6" s="747"/>
      <c r="AA6" s="748" t="s">
        <v>500</v>
      </c>
      <c r="AB6" s="748"/>
      <c r="AC6" s="748"/>
      <c r="AD6" s="748"/>
      <c r="AE6" s="748"/>
      <c r="AF6" s="748"/>
      <c r="AH6" s="749" t="s">
        <v>501</v>
      </c>
      <c r="AI6" s="749"/>
      <c r="AJ6" s="749"/>
      <c r="AK6" s="749"/>
      <c r="AL6" s="749"/>
      <c r="AM6" s="749"/>
      <c r="AP6" s="4"/>
      <c r="AQ6" s="4"/>
      <c r="AR6" s="4"/>
      <c r="AS6" s="4"/>
      <c r="AT6" s="4"/>
      <c r="AU6" s="345"/>
      <c r="AV6" s="345"/>
      <c r="BB6" s="1"/>
      <c r="BC6" s="1"/>
      <c r="BD6" s="1"/>
    </row>
    <row r="7" customFormat="false" ht="16.5" hidden="false" customHeight="false" outlineLevel="0" collapsed="false">
      <c r="A7" s="750"/>
      <c r="B7" s="751" t="s">
        <v>502</v>
      </c>
      <c r="C7" s="42" t="s">
        <v>503</v>
      </c>
      <c r="D7" s="42" t="s">
        <v>504</v>
      </c>
      <c r="E7" s="40" t="s">
        <v>505</v>
      </c>
      <c r="G7" s="752" t="s">
        <v>128</v>
      </c>
      <c r="H7" s="753" t="s">
        <v>129</v>
      </c>
      <c r="I7" s="753" t="s">
        <v>130</v>
      </c>
      <c r="J7" s="753" t="s">
        <v>131</v>
      </c>
      <c r="K7" s="753" t="s">
        <v>132</v>
      </c>
      <c r="L7" s="754" t="s">
        <v>133</v>
      </c>
      <c r="N7" s="751" t="s">
        <v>128</v>
      </c>
      <c r="O7" s="42" t="s">
        <v>129</v>
      </c>
      <c r="P7" s="42" t="s">
        <v>130</v>
      </c>
      <c r="Q7" s="42" t="s">
        <v>131</v>
      </c>
      <c r="R7" s="42" t="s">
        <v>132</v>
      </c>
      <c r="S7" s="40" t="s">
        <v>133</v>
      </c>
      <c r="U7" s="750"/>
      <c r="V7" s="751" t="s">
        <v>502</v>
      </c>
      <c r="W7" s="42" t="s">
        <v>503</v>
      </c>
      <c r="X7" s="42" t="s">
        <v>504</v>
      </c>
      <c r="Y7" s="40" t="s">
        <v>505</v>
      </c>
      <c r="AA7" s="755" t="s">
        <v>128</v>
      </c>
      <c r="AB7" s="756" t="s">
        <v>129</v>
      </c>
      <c r="AC7" s="756" t="s">
        <v>130</v>
      </c>
      <c r="AD7" s="756" t="s">
        <v>131</v>
      </c>
      <c r="AE7" s="756" t="s">
        <v>132</v>
      </c>
      <c r="AF7" s="757" t="s">
        <v>133</v>
      </c>
      <c r="AH7" s="751" t="s">
        <v>128</v>
      </c>
      <c r="AI7" s="42" t="s">
        <v>129</v>
      </c>
      <c r="AJ7" s="42" t="s">
        <v>130</v>
      </c>
      <c r="AK7" s="42" t="s">
        <v>131</v>
      </c>
      <c r="AL7" s="42" t="s">
        <v>132</v>
      </c>
      <c r="AM7" s="40" t="s">
        <v>133</v>
      </c>
      <c r="AP7" s="4"/>
      <c r="AQ7" s="4"/>
      <c r="AR7" s="4"/>
      <c r="AS7" s="4"/>
      <c r="AT7" s="4"/>
      <c r="AU7" s="345"/>
      <c r="AV7" s="345"/>
      <c r="BB7" s="1"/>
      <c r="BC7" s="1"/>
      <c r="BD7" s="1"/>
    </row>
    <row r="8" customFormat="false" ht="15.75" hidden="false" customHeight="false" outlineLevel="0" collapsed="false">
      <c r="A8" s="758"/>
      <c r="B8" s="22"/>
      <c r="C8" s="23"/>
      <c r="D8" s="23"/>
      <c r="E8" s="24"/>
      <c r="G8" s="759" t="s">
        <v>140</v>
      </c>
      <c r="H8" s="759"/>
      <c r="I8" s="759"/>
      <c r="J8" s="759"/>
      <c r="K8" s="759"/>
      <c r="L8" s="759"/>
      <c r="N8" s="22"/>
      <c r="O8" s="23"/>
      <c r="P8" s="23"/>
      <c r="Q8" s="23"/>
      <c r="R8" s="23"/>
      <c r="S8" s="24"/>
      <c r="U8" s="758"/>
      <c r="V8" s="22"/>
      <c r="W8" s="23"/>
      <c r="X8" s="23"/>
      <c r="Y8" s="24"/>
      <c r="AA8" s="759" t="s">
        <v>140</v>
      </c>
      <c r="AB8" s="759"/>
      <c r="AC8" s="759"/>
      <c r="AD8" s="759"/>
      <c r="AE8" s="759"/>
      <c r="AF8" s="759"/>
      <c r="AH8" s="22"/>
      <c r="AI8" s="23"/>
      <c r="AJ8" s="23"/>
      <c r="AK8" s="23"/>
      <c r="AL8" s="23"/>
      <c r="AM8" s="24"/>
      <c r="AP8" s="4"/>
      <c r="AQ8" s="4"/>
      <c r="AR8" s="4"/>
      <c r="AS8" s="4"/>
      <c r="AT8" s="4"/>
      <c r="AU8" s="345"/>
      <c r="AV8" s="345"/>
      <c r="BB8" s="1"/>
      <c r="BC8" s="1"/>
      <c r="BD8" s="1"/>
    </row>
    <row r="9" customFormat="false" ht="16.5" hidden="false" customHeight="false" outlineLevel="0" collapsed="false">
      <c r="A9" s="22"/>
      <c r="B9" s="22"/>
      <c r="C9" s="23"/>
      <c r="D9" s="23"/>
      <c r="E9" s="24"/>
      <c r="G9" s="760" t="n">
        <v>4</v>
      </c>
      <c r="H9" s="761" t="n">
        <v>6</v>
      </c>
      <c r="I9" s="761" t="n">
        <v>6</v>
      </c>
      <c r="J9" s="761" t="n">
        <v>3</v>
      </c>
      <c r="K9" s="761" t="n">
        <v>4</v>
      </c>
      <c r="L9" s="762" t="n">
        <v>8</v>
      </c>
      <c r="N9" s="22"/>
      <c r="O9" s="23"/>
      <c r="P9" s="23"/>
      <c r="Q9" s="23"/>
      <c r="R9" s="23"/>
      <c r="S9" s="24"/>
      <c r="U9" s="22"/>
      <c r="V9" s="22"/>
      <c r="W9" s="23"/>
      <c r="X9" s="23"/>
      <c r="Y9" s="24"/>
      <c r="AA9" s="760" t="n">
        <v>4</v>
      </c>
      <c r="AB9" s="761" t="n">
        <v>6</v>
      </c>
      <c r="AC9" s="761" t="n">
        <v>6</v>
      </c>
      <c r="AD9" s="761" t="n">
        <v>3</v>
      </c>
      <c r="AE9" s="761" t="n">
        <v>4</v>
      </c>
      <c r="AF9" s="762" t="n">
        <v>8</v>
      </c>
      <c r="AH9" s="22"/>
      <c r="AI9" s="23"/>
      <c r="AJ9" s="23"/>
      <c r="AK9" s="23"/>
      <c r="AL9" s="23"/>
      <c r="AM9" s="24"/>
      <c r="AP9" s="4"/>
      <c r="AQ9" s="4"/>
      <c r="AR9" s="4"/>
      <c r="AS9" s="4"/>
      <c r="AT9" s="4"/>
      <c r="AU9" s="345"/>
      <c r="AV9" s="345"/>
      <c r="BB9" s="1"/>
      <c r="BC9" s="1"/>
      <c r="BD9" s="1"/>
    </row>
    <row r="10" customFormat="false" ht="15.75" hidden="false" customHeight="false" outlineLevel="0" collapsed="false">
      <c r="A10" s="763" t="n">
        <v>0</v>
      </c>
      <c r="B10" s="764" t="n">
        <v>0</v>
      </c>
      <c r="C10" s="765" t="n">
        <v>0</v>
      </c>
      <c r="D10" s="765" t="n">
        <v>0</v>
      </c>
      <c r="E10" s="766" t="n">
        <v>0</v>
      </c>
      <c r="G10" s="764" t="n">
        <f aca="false">(2*B10+2*D10)/4</f>
        <v>0</v>
      </c>
      <c r="H10" s="765" t="n">
        <f aca="false">C10</f>
        <v>0</v>
      </c>
      <c r="I10" s="765" t="n">
        <f aca="false">C10</f>
        <v>0</v>
      </c>
      <c r="J10" s="765" t="n">
        <f aca="false">E10</f>
        <v>0</v>
      </c>
      <c r="K10" s="765" t="n">
        <f aca="false">D10</f>
        <v>0</v>
      </c>
      <c r="L10" s="766" t="n">
        <f aca="false">C10</f>
        <v>0</v>
      </c>
      <c r="N10" s="22" t="n">
        <f aca="false">G10*$A10*G$9/1000</f>
        <v>0</v>
      </c>
      <c r="O10" s="23" t="n">
        <f aca="false">H10*$A10*H$9/1000</f>
        <v>0</v>
      </c>
      <c r="P10" s="23" t="n">
        <f aca="false">I10*$A10*I$9/1000</f>
        <v>0</v>
      </c>
      <c r="Q10" s="23" t="n">
        <f aca="false">J10*$A10*J$9/1000</f>
        <v>0</v>
      </c>
      <c r="R10" s="23" t="n">
        <f aca="false">K10*$A10*K$9/1000</f>
        <v>0</v>
      </c>
      <c r="S10" s="24" t="n">
        <f aca="false">L10*$A10*L$9/1000</f>
        <v>0</v>
      </c>
      <c r="U10" s="763" t="n">
        <v>0</v>
      </c>
      <c r="V10" s="764" t="n">
        <v>0</v>
      </c>
      <c r="W10" s="765" t="n">
        <v>0</v>
      </c>
      <c r="X10" s="765" t="n">
        <v>0</v>
      </c>
      <c r="Y10" s="766" t="n">
        <v>0</v>
      </c>
      <c r="AA10" s="764" t="n">
        <f aca="false">(2*V10+2*X10)/4</f>
        <v>0</v>
      </c>
      <c r="AB10" s="765" t="n">
        <f aca="false">W10</f>
        <v>0</v>
      </c>
      <c r="AC10" s="765" t="n">
        <f aca="false">W10</f>
        <v>0</v>
      </c>
      <c r="AD10" s="765" t="n">
        <f aca="false">Y10</f>
        <v>0</v>
      </c>
      <c r="AE10" s="765" t="n">
        <f aca="false">X10</f>
        <v>0</v>
      </c>
      <c r="AF10" s="766" t="n">
        <f aca="false">W10</f>
        <v>0</v>
      </c>
      <c r="AH10" s="22" t="n">
        <f aca="false">AA10*$A10*AA$9/1000</f>
        <v>0</v>
      </c>
      <c r="AI10" s="23" t="n">
        <f aca="false">AB10*$A10*AB$9/1000</f>
        <v>0</v>
      </c>
      <c r="AJ10" s="23" t="n">
        <f aca="false">AC10*$A10*AC$9/1000</f>
        <v>0</v>
      </c>
      <c r="AK10" s="23" t="n">
        <f aca="false">AD10*$A10*AD$9/1000</f>
        <v>0</v>
      </c>
      <c r="AL10" s="23" t="n">
        <f aca="false">AE10*$A10*AE$9/1000</f>
        <v>0</v>
      </c>
      <c r="AM10" s="24" t="n">
        <f aca="false">AF10*$A10*AF$9/1000</f>
        <v>0</v>
      </c>
      <c r="AP10" s="4"/>
      <c r="AQ10" s="4"/>
      <c r="AR10" s="4"/>
      <c r="AS10" s="4"/>
      <c r="AT10" s="4"/>
      <c r="AU10" s="345"/>
      <c r="AV10" s="345"/>
      <c r="BB10" s="1"/>
      <c r="BC10" s="1"/>
      <c r="BD10" s="1"/>
    </row>
    <row r="11" customFormat="false" ht="15.75" hidden="false" customHeight="false" outlineLevel="0" collapsed="false">
      <c r="A11" s="763" t="n">
        <v>10</v>
      </c>
      <c r="B11" s="764" t="n">
        <v>0</v>
      </c>
      <c r="C11" s="765" t="n">
        <v>0</v>
      </c>
      <c r="D11" s="765" t="n">
        <v>0</v>
      </c>
      <c r="E11" s="766" t="n">
        <v>0</v>
      </c>
      <c r="G11" s="764" t="n">
        <f aca="false">(2*B11+2*D11)/4</f>
        <v>0</v>
      </c>
      <c r="H11" s="765" t="n">
        <f aca="false">C11</f>
        <v>0</v>
      </c>
      <c r="I11" s="765" t="n">
        <f aca="false">C11</f>
        <v>0</v>
      </c>
      <c r="J11" s="765" t="n">
        <f aca="false">E11</f>
        <v>0</v>
      </c>
      <c r="K11" s="765" t="n">
        <f aca="false">D11</f>
        <v>0</v>
      </c>
      <c r="L11" s="766" t="n">
        <f aca="false">C11</f>
        <v>0</v>
      </c>
      <c r="N11" s="764" t="n">
        <f aca="false">G11*$A11*G$9/1000</f>
        <v>0</v>
      </c>
      <c r="O11" s="765" t="n">
        <f aca="false">H11*$A11*H$9/1000</f>
        <v>0</v>
      </c>
      <c r="P11" s="765" t="n">
        <f aca="false">I11*$A11*I$9/1000</f>
        <v>0</v>
      </c>
      <c r="Q11" s="765" t="n">
        <f aca="false">J11*$A11*J$9/1000</f>
        <v>0</v>
      </c>
      <c r="R11" s="765" t="n">
        <f aca="false">K11*$A11*K$9/1000</f>
        <v>0</v>
      </c>
      <c r="S11" s="766" t="n">
        <f aca="false">L11*$A11*L$9/1000</f>
        <v>0</v>
      </c>
      <c r="U11" s="763" t="n">
        <v>10</v>
      </c>
      <c r="V11" s="764" t="n">
        <v>0</v>
      </c>
      <c r="W11" s="765" t="n">
        <v>0</v>
      </c>
      <c r="X11" s="765" t="n">
        <v>0</v>
      </c>
      <c r="Y11" s="766" t="n">
        <v>0</v>
      </c>
      <c r="AA11" s="764" t="n">
        <f aca="false">(2*V11+2*X11)/4</f>
        <v>0</v>
      </c>
      <c r="AB11" s="765" t="n">
        <f aca="false">W11</f>
        <v>0</v>
      </c>
      <c r="AC11" s="765" t="n">
        <f aca="false">W11</f>
        <v>0</v>
      </c>
      <c r="AD11" s="765" t="n">
        <f aca="false">Y11</f>
        <v>0</v>
      </c>
      <c r="AE11" s="765" t="n">
        <f aca="false">X11</f>
        <v>0</v>
      </c>
      <c r="AF11" s="766" t="n">
        <f aca="false">W11</f>
        <v>0</v>
      </c>
      <c r="AH11" s="764" t="n">
        <f aca="false">AA11*$A11*AA$9/1000</f>
        <v>0</v>
      </c>
      <c r="AI11" s="765" t="n">
        <f aca="false">AB11*$A11*AB$9/1000</f>
        <v>0</v>
      </c>
      <c r="AJ11" s="765" t="n">
        <f aca="false">AC11*$A11*AC$9/1000</f>
        <v>0</v>
      </c>
      <c r="AK11" s="765" t="n">
        <f aca="false">AD11*$A11*AD$9/1000</f>
        <v>0</v>
      </c>
      <c r="AL11" s="765" t="n">
        <f aca="false">AE11*$A11*AE$9/1000</f>
        <v>0</v>
      </c>
      <c r="AM11" s="766" t="n">
        <f aca="false">AF11*$A11*AF$9/1000</f>
        <v>0</v>
      </c>
      <c r="AP11" s="4"/>
      <c r="AQ11" s="4"/>
      <c r="AR11" s="4"/>
      <c r="AS11" s="4"/>
      <c r="AT11" s="4"/>
      <c r="AU11" s="345"/>
      <c r="AV11" s="345"/>
      <c r="BB11" s="1"/>
      <c r="BC11" s="1"/>
      <c r="BD11" s="1"/>
    </row>
    <row r="12" customFormat="false" ht="15.75" hidden="false" customHeight="false" outlineLevel="0" collapsed="false">
      <c r="A12" s="763" t="n">
        <f aca="false">A11+10</f>
        <v>20</v>
      </c>
      <c r="B12" s="764" t="n">
        <v>704</v>
      </c>
      <c r="C12" s="765" t="n">
        <v>457</v>
      </c>
      <c r="D12" s="765" t="n">
        <v>1164</v>
      </c>
      <c r="E12" s="766" t="n">
        <v>1374</v>
      </c>
      <c r="G12" s="764" t="n">
        <f aca="false">(2*B12+2*D12)/4</f>
        <v>934</v>
      </c>
      <c r="H12" s="765" t="n">
        <f aca="false">C12</f>
        <v>457</v>
      </c>
      <c r="I12" s="765" t="n">
        <f aca="false">C12</f>
        <v>457</v>
      </c>
      <c r="J12" s="765" t="n">
        <f aca="false">E12</f>
        <v>1374</v>
      </c>
      <c r="K12" s="765" t="n">
        <f aca="false">D12</f>
        <v>1164</v>
      </c>
      <c r="L12" s="766" t="n">
        <f aca="false">C12</f>
        <v>457</v>
      </c>
      <c r="N12" s="764" t="n">
        <f aca="false">G12*$A12*G$9/1000</f>
        <v>74.72</v>
      </c>
      <c r="O12" s="765" t="n">
        <f aca="false">H12*$A12*H$9/1000</f>
        <v>54.84</v>
      </c>
      <c r="P12" s="765" t="n">
        <f aca="false">I12*$A12*I$9/1000</f>
        <v>54.84</v>
      </c>
      <c r="Q12" s="765" t="n">
        <f aca="false">J12*$A12*J$9/1000</f>
        <v>82.44</v>
      </c>
      <c r="R12" s="765" t="n">
        <f aca="false">K12*$A12*K$9/1000</f>
        <v>93.12</v>
      </c>
      <c r="S12" s="766" t="n">
        <f aca="false">L12*$A12*L$9/1000</f>
        <v>73.12</v>
      </c>
      <c r="U12" s="763" t="n">
        <f aca="false">U11+10</f>
        <v>20</v>
      </c>
      <c r="V12" s="764" t="n">
        <v>704</v>
      </c>
      <c r="W12" s="765" t="n">
        <v>457</v>
      </c>
      <c r="X12" s="765" t="n">
        <v>1164</v>
      </c>
      <c r="Y12" s="766" t="n">
        <v>1374</v>
      </c>
      <c r="AA12" s="764" t="n">
        <f aca="false">(2*V12+2*X12)/4</f>
        <v>934</v>
      </c>
      <c r="AB12" s="765" t="n">
        <f aca="false">W12</f>
        <v>457</v>
      </c>
      <c r="AC12" s="765" t="n">
        <f aca="false">W12</f>
        <v>457</v>
      </c>
      <c r="AD12" s="765" t="n">
        <f aca="false">Y12</f>
        <v>1374</v>
      </c>
      <c r="AE12" s="765" t="n">
        <f aca="false">X12</f>
        <v>1164</v>
      </c>
      <c r="AF12" s="766" t="n">
        <f aca="false">W12</f>
        <v>457</v>
      </c>
      <c r="AH12" s="764" t="n">
        <f aca="false">AA12*$A12*AA$9/1000</f>
        <v>74.72</v>
      </c>
      <c r="AI12" s="765" t="n">
        <f aca="false">AB12*$A12*AB$9/1000</f>
        <v>54.84</v>
      </c>
      <c r="AJ12" s="765" t="n">
        <f aca="false">AC12*$A12*AC$9/1000</f>
        <v>54.84</v>
      </c>
      <c r="AK12" s="765" t="n">
        <f aca="false">AD12*$A12*AD$9/1000</f>
        <v>82.44</v>
      </c>
      <c r="AL12" s="765" t="n">
        <f aca="false">AE12*$A12*AE$9/1000</f>
        <v>93.12</v>
      </c>
      <c r="AM12" s="766" t="n">
        <f aca="false">AF12*$A12*AF$9/1000</f>
        <v>73.12</v>
      </c>
      <c r="AP12" s="4"/>
      <c r="AQ12" s="4"/>
      <c r="AR12" s="4"/>
      <c r="AS12" s="4"/>
      <c r="AT12" s="4"/>
      <c r="AU12" s="345"/>
      <c r="AV12" s="345"/>
      <c r="BB12" s="1"/>
      <c r="BC12" s="1"/>
      <c r="BD12" s="1"/>
    </row>
    <row r="13" customFormat="false" ht="15.75" hidden="false" customHeight="false" outlineLevel="0" collapsed="false">
      <c r="A13" s="763" t="n">
        <f aca="false">A12+10</f>
        <v>30</v>
      </c>
      <c r="B13" s="764" t="n">
        <v>704</v>
      </c>
      <c r="C13" s="765" t="n">
        <v>457</v>
      </c>
      <c r="D13" s="765" t="n">
        <v>1164</v>
      </c>
      <c r="E13" s="766" t="n">
        <v>1374</v>
      </c>
      <c r="G13" s="764" t="n">
        <f aca="false">(2*B13+2*D13)/4</f>
        <v>934</v>
      </c>
      <c r="H13" s="765" t="n">
        <f aca="false">C13</f>
        <v>457</v>
      </c>
      <c r="I13" s="765" t="n">
        <f aca="false">C13</f>
        <v>457</v>
      </c>
      <c r="J13" s="765" t="n">
        <f aca="false">E13</f>
        <v>1374</v>
      </c>
      <c r="K13" s="765" t="n">
        <f aca="false">D13</f>
        <v>1164</v>
      </c>
      <c r="L13" s="766" t="n">
        <f aca="false">C13</f>
        <v>457</v>
      </c>
      <c r="N13" s="764" t="n">
        <f aca="false">G13*$A13*G$9/1000</f>
        <v>112.08</v>
      </c>
      <c r="O13" s="765" t="n">
        <f aca="false">H13*$A13*H$9/1000</f>
        <v>82.26</v>
      </c>
      <c r="P13" s="765" t="n">
        <f aca="false">I13*$A13*I$9/1000</f>
        <v>82.26</v>
      </c>
      <c r="Q13" s="765" t="n">
        <f aca="false">J13*$A13*J$9/1000</f>
        <v>123.66</v>
      </c>
      <c r="R13" s="765" t="n">
        <f aca="false">K13*$A13*K$9/1000</f>
        <v>139.68</v>
      </c>
      <c r="S13" s="766" t="n">
        <f aca="false">L13*$A13*L$9/1000</f>
        <v>109.68</v>
      </c>
      <c r="U13" s="763" t="n">
        <f aca="false">U12+10</f>
        <v>30</v>
      </c>
      <c r="V13" s="764" t="n">
        <v>704</v>
      </c>
      <c r="W13" s="765" t="n">
        <v>457</v>
      </c>
      <c r="X13" s="765" t="n">
        <v>1164</v>
      </c>
      <c r="Y13" s="766" t="n">
        <v>1374</v>
      </c>
      <c r="AA13" s="764" t="n">
        <f aca="false">(2*V13+2*X13)/4</f>
        <v>934</v>
      </c>
      <c r="AB13" s="765" t="n">
        <f aca="false">W13</f>
        <v>457</v>
      </c>
      <c r="AC13" s="765" t="n">
        <f aca="false">W13</f>
        <v>457</v>
      </c>
      <c r="AD13" s="765" t="n">
        <f aca="false">Y13</f>
        <v>1374</v>
      </c>
      <c r="AE13" s="765" t="n">
        <f aca="false">X13</f>
        <v>1164</v>
      </c>
      <c r="AF13" s="766" t="n">
        <f aca="false">W13</f>
        <v>457</v>
      </c>
      <c r="AH13" s="764" t="n">
        <f aca="false">AA13*$A13*AA$9/1000</f>
        <v>112.08</v>
      </c>
      <c r="AI13" s="765" t="n">
        <f aca="false">AB13*$A13*AB$9/1000</f>
        <v>82.26</v>
      </c>
      <c r="AJ13" s="765" t="n">
        <f aca="false">AC13*$A13*AC$9/1000</f>
        <v>82.26</v>
      </c>
      <c r="AK13" s="765" t="n">
        <f aca="false">AD13*$A13*AD$9/1000</f>
        <v>123.66</v>
      </c>
      <c r="AL13" s="765" t="n">
        <f aca="false">AE13*$A13*AE$9/1000</f>
        <v>139.68</v>
      </c>
      <c r="AM13" s="766" t="n">
        <f aca="false">AF13*$A13*AF$9/1000</f>
        <v>109.68</v>
      </c>
      <c r="AP13" s="4"/>
      <c r="AQ13" s="4"/>
      <c r="AR13" s="4"/>
      <c r="AS13" s="4"/>
      <c r="AT13" s="4"/>
      <c r="AU13" s="345"/>
      <c r="AV13" s="345"/>
      <c r="BB13" s="1"/>
      <c r="BC13" s="1"/>
      <c r="BD13" s="1"/>
    </row>
    <row r="14" customFormat="false" ht="15.75" hidden="false" customHeight="false" outlineLevel="0" collapsed="false">
      <c r="A14" s="763" t="n">
        <f aca="false">A13+10</f>
        <v>40</v>
      </c>
      <c r="B14" s="764" t="n">
        <v>1407</v>
      </c>
      <c r="C14" s="765" t="n">
        <v>457</v>
      </c>
      <c r="D14" s="765" t="n">
        <v>2140</v>
      </c>
      <c r="E14" s="766" t="n">
        <v>3334</v>
      </c>
      <c r="G14" s="764" t="n">
        <f aca="false">(2*B14+2*D14)/4</f>
        <v>1773.5</v>
      </c>
      <c r="H14" s="765" t="n">
        <f aca="false">C14</f>
        <v>457</v>
      </c>
      <c r="I14" s="765" t="n">
        <f aca="false">C14</f>
        <v>457</v>
      </c>
      <c r="J14" s="765" t="n">
        <f aca="false">E14</f>
        <v>3334</v>
      </c>
      <c r="K14" s="765" t="n">
        <f aca="false">D14</f>
        <v>2140</v>
      </c>
      <c r="L14" s="766" t="n">
        <f aca="false">C14</f>
        <v>457</v>
      </c>
      <c r="N14" s="764" t="n">
        <f aca="false">G14*$A14*G$9/1000</f>
        <v>283.76</v>
      </c>
      <c r="O14" s="765" t="n">
        <f aca="false">H14*$A14*H$9/1000</f>
        <v>109.68</v>
      </c>
      <c r="P14" s="765" t="n">
        <f aca="false">I14*$A14*I$9/1000</f>
        <v>109.68</v>
      </c>
      <c r="Q14" s="765" t="n">
        <f aca="false">J14*$A14*J$9/1000</f>
        <v>400.08</v>
      </c>
      <c r="R14" s="765" t="n">
        <f aca="false">K14*$A14*K$9/1000</f>
        <v>342.4</v>
      </c>
      <c r="S14" s="766" t="n">
        <f aca="false">L14*$A14*L$9/1000</f>
        <v>146.24</v>
      </c>
      <c r="U14" s="763" t="n">
        <f aca="false">U13+10</f>
        <v>40</v>
      </c>
      <c r="V14" s="764" t="n">
        <v>1407</v>
      </c>
      <c r="W14" s="765" t="n">
        <v>457</v>
      </c>
      <c r="X14" s="765" t="n">
        <v>2140</v>
      </c>
      <c r="Y14" s="766" t="n">
        <v>3334</v>
      </c>
      <c r="AA14" s="764" t="n">
        <f aca="false">(2*V14+2*X14)/4</f>
        <v>1773.5</v>
      </c>
      <c r="AB14" s="765" t="n">
        <f aca="false">W14</f>
        <v>457</v>
      </c>
      <c r="AC14" s="765" t="n">
        <f aca="false">W14</f>
        <v>457</v>
      </c>
      <c r="AD14" s="765" t="n">
        <f aca="false">Y14</f>
        <v>3334</v>
      </c>
      <c r="AE14" s="765" t="n">
        <f aca="false">X14</f>
        <v>2140</v>
      </c>
      <c r="AF14" s="766" t="n">
        <f aca="false">W14</f>
        <v>457</v>
      </c>
      <c r="AH14" s="764" t="n">
        <f aca="false">AA14*$A14*AA$9/1000</f>
        <v>283.76</v>
      </c>
      <c r="AI14" s="765" t="n">
        <f aca="false">AB14*$A14*AB$9/1000</f>
        <v>109.68</v>
      </c>
      <c r="AJ14" s="765" t="n">
        <f aca="false">AC14*$A14*AC$9/1000</f>
        <v>109.68</v>
      </c>
      <c r="AK14" s="765" t="n">
        <f aca="false">AD14*$A14*AD$9/1000</f>
        <v>400.08</v>
      </c>
      <c r="AL14" s="765" t="n">
        <f aca="false">AE14*$A14*AE$9/1000</f>
        <v>342.4</v>
      </c>
      <c r="AM14" s="766" t="n">
        <f aca="false">AF14*$A14*AF$9/1000</f>
        <v>146.24</v>
      </c>
      <c r="AP14" s="4"/>
      <c r="AQ14" s="4"/>
      <c r="AR14" s="4"/>
      <c r="AS14" s="4"/>
      <c r="AT14" s="4"/>
      <c r="AU14" s="345"/>
      <c r="AV14" s="345"/>
      <c r="BB14" s="1"/>
      <c r="BC14" s="1"/>
      <c r="BD14" s="1"/>
    </row>
    <row r="15" customFormat="false" ht="15.75" hidden="false" customHeight="false" outlineLevel="0" collapsed="false">
      <c r="A15" s="763" t="n">
        <f aca="false">A14+10</f>
        <v>50</v>
      </c>
      <c r="B15" s="764" t="n">
        <v>1407</v>
      </c>
      <c r="C15" s="765" t="n">
        <v>457</v>
      </c>
      <c r="D15" s="765" t="n">
        <v>2140</v>
      </c>
      <c r="E15" s="766" t="n">
        <v>3334</v>
      </c>
      <c r="G15" s="764" t="n">
        <f aca="false">(2*B15+2*D15)/4</f>
        <v>1773.5</v>
      </c>
      <c r="H15" s="765" t="n">
        <f aca="false">C15</f>
        <v>457</v>
      </c>
      <c r="I15" s="765" t="n">
        <f aca="false">C15</f>
        <v>457</v>
      </c>
      <c r="J15" s="765" t="n">
        <f aca="false">E15</f>
        <v>3334</v>
      </c>
      <c r="K15" s="765" t="n">
        <f aca="false">D15</f>
        <v>2140</v>
      </c>
      <c r="L15" s="766" t="n">
        <f aca="false">C15</f>
        <v>457</v>
      </c>
      <c r="N15" s="764" t="n">
        <f aca="false">G15*$A15*G$9/1000</f>
        <v>354.7</v>
      </c>
      <c r="O15" s="765" t="n">
        <f aca="false">H15*$A15*H$9/1000</f>
        <v>137.1</v>
      </c>
      <c r="P15" s="765" t="n">
        <f aca="false">I15*$A15*I$9/1000</f>
        <v>137.1</v>
      </c>
      <c r="Q15" s="765" t="n">
        <f aca="false">J15*$A15*J$9/1000</f>
        <v>500.1</v>
      </c>
      <c r="R15" s="765" t="n">
        <f aca="false">K15*$A15*K$9/1000</f>
        <v>428</v>
      </c>
      <c r="S15" s="766" t="n">
        <f aca="false">L15*$A15*L$9/1000</f>
        <v>182.8</v>
      </c>
      <c r="U15" s="763" t="n">
        <f aca="false">U14+10</f>
        <v>50</v>
      </c>
      <c r="V15" s="764" t="n">
        <v>1407</v>
      </c>
      <c r="W15" s="765" t="n">
        <v>457</v>
      </c>
      <c r="X15" s="765" t="n">
        <v>2140</v>
      </c>
      <c r="Y15" s="766" t="n">
        <v>3334</v>
      </c>
      <c r="AA15" s="764" t="n">
        <f aca="false">(2*V15+2*X15)/4</f>
        <v>1773.5</v>
      </c>
      <c r="AB15" s="765" t="n">
        <f aca="false">W15</f>
        <v>457</v>
      </c>
      <c r="AC15" s="765" t="n">
        <f aca="false">W15</f>
        <v>457</v>
      </c>
      <c r="AD15" s="765" t="n">
        <f aca="false">Y15</f>
        <v>3334</v>
      </c>
      <c r="AE15" s="765" t="n">
        <f aca="false">X15</f>
        <v>2140</v>
      </c>
      <c r="AF15" s="766" t="n">
        <f aca="false">W15</f>
        <v>457</v>
      </c>
      <c r="AH15" s="764" t="n">
        <f aca="false">AA15*$A15*AA$9/1000</f>
        <v>354.7</v>
      </c>
      <c r="AI15" s="765" t="n">
        <f aca="false">AB15*$A15*AB$9/1000</f>
        <v>137.1</v>
      </c>
      <c r="AJ15" s="765" t="n">
        <f aca="false">AC15*$A15*AC$9/1000</f>
        <v>137.1</v>
      </c>
      <c r="AK15" s="765" t="n">
        <f aca="false">AD15*$A15*AD$9/1000</f>
        <v>500.1</v>
      </c>
      <c r="AL15" s="765" t="n">
        <f aca="false">AE15*$A15*AE$9/1000</f>
        <v>428</v>
      </c>
      <c r="AM15" s="766" t="n">
        <f aca="false">AF15*$A15*AF$9/1000</f>
        <v>182.8</v>
      </c>
      <c r="AP15" s="4"/>
      <c r="AQ15" s="4"/>
      <c r="AR15" s="4"/>
      <c r="AS15" s="4"/>
      <c r="AT15" s="4"/>
      <c r="AU15" s="345"/>
      <c r="AV15" s="345"/>
      <c r="BB15" s="1"/>
      <c r="BC15" s="1"/>
      <c r="BD15" s="1"/>
    </row>
    <row r="16" customFormat="false" ht="15.75" hidden="false" customHeight="false" outlineLevel="0" collapsed="false">
      <c r="A16" s="763" t="n">
        <f aca="false">A15+10</f>
        <v>60</v>
      </c>
      <c r="B16" s="764" t="n">
        <v>1407</v>
      </c>
      <c r="C16" s="765" t="n">
        <v>1243</v>
      </c>
      <c r="D16" s="765" t="n">
        <v>2140</v>
      </c>
      <c r="E16" s="766" t="n">
        <v>3334</v>
      </c>
      <c r="G16" s="764" t="n">
        <f aca="false">(2*B16+2*D16)/4</f>
        <v>1773.5</v>
      </c>
      <c r="H16" s="765" t="n">
        <f aca="false">C16</f>
        <v>1243</v>
      </c>
      <c r="I16" s="765" t="n">
        <f aca="false">C16</f>
        <v>1243</v>
      </c>
      <c r="J16" s="765" t="n">
        <f aca="false">E16</f>
        <v>3334</v>
      </c>
      <c r="K16" s="765" t="n">
        <f aca="false">D16</f>
        <v>2140</v>
      </c>
      <c r="L16" s="766" t="n">
        <f aca="false">C16</f>
        <v>1243</v>
      </c>
      <c r="N16" s="764" t="n">
        <f aca="false">G16*$A16*G$9/1000</f>
        <v>425.64</v>
      </c>
      <c r="O16" s="765" t="n">
        <f aca="false">H16*$A16*H$9/1000</f>
        <v>447.48</v>
      </c>
      <c r="P16" s="765" t="n">
        <f aca="false">I16*$A16*I$9/1000</f>
        <v>447.48</v>
      </c>
      <c r="Q16" s="765" t="n">
        <f aca="false">J16*$A16*J$9/1000</f>
        <v>600.12</v>
      </c>
      <c r="R16" s="765" t="n">
        <f aca="false">K16*$A16*K$9/1000</f>
        <v>513.6</v>
      </c>
      <c r="S16" s="766" t="n">
        <f aca="false">L16*$A16*L$9/1000</f>
        <v>596.64</v>
      </c>
      <c r="U16" s="763" t="n">
        <f aca="false">U15+10</f>
        <v>60</v>
      </c>
      <c r="V16" s="764" t="n">
        <v>1407</v>
      </c>
      <c r="W16" s="765" t="n">
        <v>1243</v>
      </c>
      <c r="X16" s="765" t="n">
        <v>2140</v>
      </c>
      <c r="Y16" s="766" t="n">
        <v>3334</v>
      </c>
      <c r="AA16" s="764" t="n">
        <f aca="false">(2*V16+2*X16)/4</f>
        <v>1773.5</v>
      </c>
      <c r="AB16" s="765" t="n">
        <f aca="false">W16</f>
        <v>1243</v>
      </c>
      <c r="AC16" s="765" t="n">
        <f aca="false">W16</f>
        <v>1243</v>
      </c>
      <c r="AD16" s="765" t="n">
        <f aca="false">Y16</f>
        <v>3334</v>
      </c>
      <c r="AE16" s="765" t="n">
        <f aca="false">X16</f>
        <v>2140</v>
      </c>
      <c r="AF16" s="766" t="n">
        <f aca="false">W16</f>
        <v>1243</v>
      </c>
      <c r="AH16" s="764" t="n">
        <f aca="false">AA16*$A16*AA$9/1000</f>
        <v>425.64</v>
      </c>
      <c r="AI16" s="765" t="n">
        <f aca="false">AB16*$A16*AB$9/1000</f>
        <v>447.48</v>
      </c>
      <c r="AJ16" s="765" t="n">
        <f aca="false">AC16*$A16*AC$9/1000</f>
        <v>447.48</v>
      </c>
      <c r="AK16" s="765" t="n">
        <f aca="false">AD16*$A16*AD$9/1000</f>
        <v>600.12</v>
      </c>
      <c r="AL16" s="765" t="n">
        <f aca="false">AE16*$A16*AE$9/1000</f>
        <v>513.6</v>
      </c>
      <c r="AM16" s="766" t="n">
        <f aca="false">AF16*$A16*AF$9/1000</f>
        <v>596.64</v>
      </c>
      <c r="AP16" s="4"/>
      <c r="AQ16" s="4"/>
      <c r="AR16" s="4"/>
      <c r="AS16" s="4"/>
      <c r="AT16" s="4"/>
      <c r="AU16" s="345"/>
      <c r="AV16" s="345"/>
      <c r="BB16" s="1"/>
      <c r="BC16" s="1"/>
      <c r="BD16" s="1"/>
    </row>
    <row r="17" customFormat="false" ht="15.75" hidden="false" customHeight="false" outlineLevel="0" collapsed="false">
      <c r="A17" s="763" t="n">
        <f aca="false">A16+10</f>
        <v>70</v>
      </c>
      <c r="B17" s="764" t="n">
        <v>1407</v>
      </c>
      <c r="C17" s="765" t="n">
        <v>1243</v>
      </c>
      <c r="D17" s="765" t="n">
        <v>2140</v>
      </c>
      <c r="E17" s="766" t="n">
        <v>3334</v>
      </c>
      <c r="G17" s="764" t="n">
        <f aca="false">(2*B17+2*D17)/4</f>
        <v>1773.5</v>
      </c>
      <c r="H17" s="765" t="n">
        <f aca="false">C17</f>
        <v>1243</v>
      </c>
      <c r="I17" s="765" t="n">
        <f aca="false">C17</f>
        <v>1243</v>
      </c>
      <c r="J17" s="765" t="n">
        <f aca="false">E17</f>
        <v>3334</v>
      </c>
      <c r="K17" s="765" t="n">
        <f aca="false">D17</f>
        <v>2140</v>
      </c>
      <c r="L17" s="766" t="n">
        <f aca="false">C17</f>
        <v>1243</v>
      </c>
      <c r="N17" s="764" t="n">
        <f aca="false">G17*$A17*G$9/1000</f>
        <v>496.58</v>
      </c>
      <c r="O17" s="765" t="n">
        <f aca="false">H17*$A17*H$9/1000</f>
        <v>522.06</v>
      </c>
      <c r="P17" s="765" t="n">
        <f aca="false">I17*$A17*I$9/1000</f>
        <v>522.06</v>
      </c>
      <c r="Q17" s="765" t="n">
        <f aca="false">J17*$A17*J$9/1000</f>
        <v>700.14</v>
      </c>
      <c r="R17" s="765" t="n">
        <f aca="false">K17*$A17*K$9/1000</f>
        <v>599.2</v>
      </c>
      <c r="S17" s="766" t="n">
        <f aca="false">L17*$A17*L$9/1000</f>
        <v>696.08</v>
      </c>
      <c r="U17" s="763" t="n">
        <f aca="false">U16+10</f>
        <v>70</v>
      </c>
      <c r="V17" s="764" t="n">
        <v>1407</v>
      </c>
      <c r="W17" s="765" t="n">
        <v>1243</v>
      </c>
      <c r="X17" s="765" t="n">
        <v>2140</v>
      </c>
      <c r="Y17" s="766" t="n">
        <v>3334</v>
      </c>
      <c r="AA17" s="764" t="n">
        <f aca="false">(2*V17+2*X17)/4</f>
        <v>1773.5</v>
      </c>
      <c r="AB17" s="765" t="n">
        <f aca="false">W17</f>
        <v>1243</v>
      </c>
      <c r="AC17" s="765" t="n">
        <f aca="false">W17</f>
        <v>1243</v>
      </c>
      <c r="AD17" s="765" t="n">
        <f aca="false">Y17</f>
        <v>3334</v>
      </c>
      <c r="AE17" s="765" t="n">
        <f aca="false">X17</f>
        <v>2140</v>
      </c>
      <c r="AF17" s="766" t="n">
        <f aca="false">W17</f>
        <v>1243</v>
      </c>
      <c r="AH17" s="764" t="n">
        <f aca="false">AA17*$A17*AA$9/1000</f>
        <v>496.58</v>
      </c>
      <c r="AI17" s="765" t="n">
        <f aca="false">AB17*$A17*AB$9/1000</f>
        <v>522.06</v>
      </c>
      <c r="AJ17" s="765" t="n">
        <f aca="false">AC17*$A17*AC$9/1000</f>
        <v>522.06</v>
      </c>
      <c r="AK17" s="765" t="n">
        <f aca="false">AD17*$A17*AD$9/1000</f>
        <v>700.14</v>
      </c>
      <c r="AL17" s="765" t="n">
        <f aca="false">AE17*$A17*AE$9/1000</f>
        <v>599.2</v>
      </c>
      <c r="AM17" s="766" t="n">
        <f aca="false">AF17*$A17*AF$9/1000</f>
        <v>696.08</v>
      </c>
      <c r="AP17" s="4"/>
      <c r="AQ17" s="4"/>
      <c r="AR17" s="4"/>
      <c r="AS17" s="4"/>
      <c r="AT17" s="4"/>
      <c r="AU17" s="345"/>
      <c r="AV17" s="345"/>
      <c r="BB17" s="1"/>
      <c r="BC17" s="1"/>
      <c r="BD17" s="1"/>
    </row>
    <row r="18" customFormat="false" ht="15.75" hidden="false" customHeight="false" outlineLevel="0" collapsed="false">
      <c r="A18" s="763" t="n">
        <f aca="false">A17+10</f>
        <v>80</v>
      </c>
      <c r="B18" s="764" t="n">
        <v>3479</v>
      </c>
      <c r="C18" s="765" t="n">
        <v>1243</v>
      </c>
      <c r="D18" s="765" t="n">
        <v>4330</v>
      </c>
      <c r="E18" s="766" t="n">
        <v>5634</v>
      </c>
      <c r="G18" s="764" t="n">
        <f aca="false">(2*B18+2*D18)/4</f>
        <v>3904.5</v>
      </c>
      <c r="H18" s="765" t="n">
        <f aca="false">C18</f>
        <v>1243</v>
      </c>
      <c r="I18" s="765" t="n">
        <f aca="false">C18</f>
        <v>1243</v>
      </c>
      <c r="J18" s="765" t="n">
        <f aca="false">E18</f>
        <v>5634</v>
      </c>
      <c r="K18" s="765" t="n">
        <f aca="false">D18</f>
        <v>4330</v>
      </c>
      <c r="L18" s="766" t="n">
        <f aca="false">C18</f>
        <v>1243</v>
      </c>
      <c r="N18" s="764" t="n">
        <f aca="false">G18*$A18*G$9/1000</f>
        <v>1249.44</v>
      </c>
      <c r="O18" s="765" t="n">
        <f aca="false">H18*$A18*H$9/1000</f>
        <v>596.64</v>
      </c>
      <c r="P18" s="765" t="n">
        <f aca="false">I18*$A18*I$9/1000</f>
        <v>596.64</v>
      </c>
      <c r="Q18" s="765" t="n">
        <f aca="false">J18*$A18*J$9/1000</f>
        <v>1352.16</v>
      </c>
      <c r="R18" s="765" t="n">
        <f aca="false">K18*$A18*K$9/1000</f>
        <v>1385.6</v>
      </c>
      <c r="S18" s="766" t="n">
        <f aca="false">L18*$A18*L$9/1000</f>
        <v>795.52</v>
      </c>
      <c r="U18" s="763" t="n">
        <f aca="false">U17+10</f>
        <v>80</v>
      </c>
      <c r="V18" s="764" t="n">
        <v>3479</v>
      </c>
      <c r="W18" s="765" t="n">
        <v>1243</v>
      </c>
      <c r="X18" s="765" t="n">
        <v>4330</v>
      </c>
      <c r="Y18" s="766" t="n">
        <v>5634</v>
      </c>
      <c r="AA18" s="764" t="n">
        <f aca="false">(2*V18+2*X18)/4</f>
        <v>3904.5</v>
      </c>
      <c r="AB18" s="765" t="n">
        <f aca="false">W18</f>
        <v>1243</v>
      </c>
      <c r="AC18" s="765" t="n">
        <f aca="false">W18</f>
        <v>1243</v>
      </c>
      <c r="AD18" s="765" t="n">
        <f aca="false">Y18</f>
        <v>5634</v>
      </c>
      <c r="AE18" s="765" t="n">
        <f aca="false">X18</f>
        <v>4330</v>
      </c>
      <c r="AF18" s="766" t="n">
        <f aca="false">W18</f>
        <v>1243</v>
      </c>
      <c r="AH18" s="764" t="n">
        <f aca="false">AA18*$A18*AA$9/1000</f>
        <v>1249.44</v>
      </c>
      <c r="AI18" s="765" t="n">
        <f aca="false">AB18*$A18*AB$9/1000</f>
        <v>596.64</v>
      </c>
      <c r="AJ18" s="765" t="n">
        <f aca="false">AC18*$A18*AC$9/1000</f>
        <v>596.64</v>
      </c>
      <c r="AK18" s="765" t="n">
        <f aca="false">AD18*$A18*AD$9/1000</f>
        <v>1352.16</v>
      </c>
      <c r="AL18" s="765" t="n">
        <f aca="false">AE18*$A18*AE$9/1000</f>
        <v>1385.6</v>
      </c>
      <c r="AM18" s="766" t="n">
        <f aca="false">AF18*$A18*AF$9/1000</f>
        <v>795.52</v>
      </c>
      <c r="AP18" s="4"/>
      <c r="AQ18" s="4"/>
      <c r="AR18" s="4"/>
      <c r="AS18" s="4"/>
      <c r="AT18" s="4"/>
      <c r="AU18" s="345"/>
      <c r="AV18" s="345"/>
      <c r="BB18" s="1"/>
      <c r="BC18" s="1"/>
      <c r="BD18" s="1"/>
    </row>
    <row r="19" customFormat="false" ht="15.75" hidden="false" customHeight="false" outlineLevel="0" collapsed="false">
      <c r="A19" s="763" t="n">
        <f aca="false">A18+10</f>
        <v>90</v>
      </c>
      <c r="B19" s="764" t="n">
        <v>3479</v>
      </c>
      <c r="C19" s="765" t="n">
        <v>1243</v>
      </c>
      <c r="D19" s="765" t="n">
        <v>4330</v>
      </c>
      <c r="E19" s="766" t="n">
        <v>5634</v>
      </c>
      <c r="G19" s="764" t="n">
        <f aca="false">(2*B19+2*D19)/4</f>
        <v>3904.5</v>
      </c>
      <c r="H19" s="765" t="n">
        <f aca="false">C19</f>
        <v>1243</v>
      </c>
      <c r="I19" s="765" t="n">
        <f aca="false">C19</f>
        <v>1243</v>
      </c>
      <c r="J19" s="765" t="n">
        <f aca="false">E19</f>
        <v>5634</v>
      </c>
      <c r="K19" s="765" t="n">
        <f aca="false">D19</f>
        <v>4330</v>
      </c>
      <c r="L19" s="766" t="n">
        <f aca="false">C19</f>
        <v>1243</v>
      </c>
      <c r="N19" s="764" t="n">
        <f aca="false">G19*$A19*G$9/1000</f>
        <v>1405.62</v>
      </c>
      <c r="O19" s="765" t="n">
        <f aca="false">H19*$A19*H$9/1000</f>
        <v>671.22</v>
      </c>
      <c r="P19" s="765" t="n">
        <f aca="false">I19*$A19*I$9/1000</f>
        <v>671.22</v>
      </c>
      <c r="Q19" s="765" t="n">
        <f aca="false">J19*$A19*J$9/1000</f>
        <v>1521.18</v>
      </c>
      <c r="R19" s="765" t="n">
        <f aca="false">K19*$A19*K$9/1000</f>
        <v>1558.8</v>
      </c>
      <c r="S19" s="766" t="n">
        <f aca="false">L19*$A19*L$9/1000</f>
        <v>894.96</v>
      </c>
      <c r="U19" s="763" t="n">
        <f aca="false">U18+10</f>
        <v>90</v>
      </c>
      <c r="V19" s="764" t="n">
        <v>3479</v>
      </c>
      <c r="W19" s="765" t="n">
        <v>1243</v>
      </c>
      <c r="X19" s="765" t="n">
        <v>4330</v>
      </c>
      <c r="Y19" s="766" t="n">
        <v>5634</v>
      </c>
      <c r="AA19" s="764" t="n">
        <f aca="false">(2*V19+2*X19)/4</f>
        <v>3904.5</v>
      </c>
      <c r="AB19" s="765" t="n">
        <f aca="false">W19</f>
        <v>1243</v>
      </c>
      <c r="AC19" s="765" t="n">
        <f aca="false">W19</f>
        <v>1243</v>
      </c>
      <c r="AD19" s="765" t="n">
        <f aca="false">Y19</f>
        <v>5634</v>
      </c>
      <c r="AE19" s="765" t="n">
        <f aca="false">X19</f>
        <v>4330</v>
      </c>
      <c r="AF19" s="766" t="n">
        <f aca="false">W19</f>
        <v>1243</v>
      </c>
      <c r="AH19" s="764" t="n">
        <f aca="false">AA19*$A19*AA$9/1000</f>
        <v>1405.62</v>
      </c>
      <c r="AI19" s="765" t="n">
        <f aca="false">AB19*$A19*AB$9/1000</f>
        <v>671.22</v>
      </c>
      <c r="AJ19" s="765" t="n">
        <f aca="false">AC19*$A19*AC$9/1000</f>
        <v>671.22</v>
      </c>
      <c r="AK19" s="765" t="n">
        <f aca="false">AD19*$A19*AD$9/1000</f>
        <v>1521.18</v>
      </c>
      <c r="AL19" s="765" t="n">
        <f aca="false">AE19*$A19*AE$9/1000</f>
        <v>1558.8</v>
      </c>
      <c r="AM19" s="766" t="n">
        <f aca="false">AF19*$A19*AF$9/1000</f>
        <v>894.96</v>
      </c>
      <c r="AP19" s="4"/>
      <c r="AQ19" s="4"/>
      <c r="AR19" s="4"/>
      <c r="AS19" s="4"/>
      <c r="AT19" s="4"/>
      <c r="AU19" s="345"/>
      <c r="AV19" s="345"/>
      <c r="BB19" s="1"/>
      <c r="BC19" s="1"/>
      <c r="BD19" s="1"/>
    </row>
    <row r="20" customFormat="false" ht="15.75" hidden="false" customHeight="false" outlineLevel="0" collapsed="false">
      <c r="A20" s="763" t="n">
        <f aca="false">A19+10</f>
        <v>100</v>
      </c>
      <c r="B20" s="764" t="n">
        <v>3479</v>
      </c>
      <c r="C20" s="765" t="n">
        <v>1243</v>
      </c>
      <c r="D20" s="765" t="n">
        <v>4330</v>
      </c>
      <c r="E20" s="766" t="n">
        <v>5634</v>
      </c>
      <c r="G20" s="764" t="n">
        <f aca="false">(2*B20+2*D20)/4</f>
        <v>3904.5</v>
      </c>
      <c r="H20" s="765" t="n">
        <f aca="false">C20</f>
        <v>1243</v>
      </c>
      <c r="I20" s="765" t="n">
        <f aca="false">C20</f>
        <v>1243</v>
      </c>
      <c r="J20" s="765" t="n">
        <f aca="false">E20</f>
        <v>5634</v>
      </c>
      <c r="K20" s="765" t="n">
        <f aca="false">D20</f>
        <v>4330</v>
      </c>
      <c r="L20" s="766" t="n">
        <f aca="false">C20</f>
        <v>1243</v>
      </c>
      <c r="N20" s="764" t="n">
        <f aca="false">G20*$A20*G$9/1000</f>
        <v>1561.8</v>
      </c>
      <c r="O20" s="765" t="n">
        <f aca="false">H20*$A20*H$9/1000</f>
        <v>745.8</v>
      </c>
      <c r="P20" s="765" t="n">
        <f aca="false">I20*$A20*I$9/1000</f>
        <v>745.8</v>
      </c>
      <c r="Q20" s="765" t="n">
        <f aca="false">J20*$A20*J$9/1000</f>
        <v>1690.2</v>
      </c>
      <c r="R20" s="765" t="n">
        <f aca="false">K20*$A20*K$9/1000</f>
        <v>1732</v>
      </c>
      <c r="S20" s="766" t="n">
        <f aca="false">L20*$A20*L$9/1000</f>
        <v>994.4</v>
      </c>
      <c r="U20" s="763" t="n">
        <f aca="false">U19+10</f>
        <v>100</v>
      </c>
      <c r="V20" s="764" t="n">
        <v>3479</v>
      </c>
      <c r="W20" s="765" t="n">
        <v>1243</v>
      </c>
      <c r="X20" s="765" t="n">
        <v>4330</v>
      </c>
      <c r="Y20" s="766" t="n">
        <v>5634</v>
      </c>
      <c r="AA20" s="764" t="n">
        <f aca="false">(2*V20+2*X20)/4</f>
        <v>3904.5</v>
      </c>
      <c r="AB20" s="765" t="n">
        <f aca="false">W20</f>
        <v>1243</v>
      </c>
      <c r="AC20" s="765" t="n">
        <f aca="false">W20</f>
        <v>1243</v>
      </c>
      <c r="AD20" s="765" t="n">
        <f aca="false">Y20</f>
        <v>5634</v>
      </c>
      <c r="AE20" s="765" t="n">
        <f aca="false">X20</f>
        <v>4330</v>
      </c>
      <c r="AF20" s="766" t="n">
        <f aca="false">W20</f>
        <v>1243</v>
      </c>
      <c r="AH20" s="764" t="n">
        <f aca="false">AA20*$A20*AA$9/1000</f>
        <v>1561.8</v>
      </c>
      <c r="AI20" s="765" t="n">
        <f aca="false">AB20*$A20*AB$9/1000</f>
        <v>745.8</v>
      </c>
      <c r="AJ20" s="765" t="n">
        <f aca="false">AC20*$A20*AC$9/1000</f>
        <v>745.8</v>
      </c>
      <c r="AK20" s="765" t="n">
        <f aca="false">AD20*$A20*AD$9/1000</f>
        <v>1690.2</v>
      </c>
      <c r="AL20" s="765" t="n">
        <f aca="false">AE20*$A20*AE$9/1000</f>
        <v>1732</v>
      </c>
      <c r="AM20" s="766" t="n">
        <f aca="false">AF20*$A20*AF$9/1000</f>
        <v>994.4</v>
      </c>
      <c r="AP20" s="4"/>
      <c r="AQ20" s="4"/>
      <c r="AR20" s="4"/>
      <c r="AS20" s="4"/>
      <c r="AT20" s="4"/>
      <c r="AU20" s="345"/>
      <c r="AV20" s="345"/>
      <c r="BB20" s="1"/>
      <c r="BC20" s="1"/>
      <c r="BD20" s="1"/>
    </row>
    <row r="21" customFormat="false" ht="15.75" hidden="false" customHeight="false" outlineLevel="0" collapsed="false">
      <c r="A21" s="763" t="n">
        <f aca="false">A20+10</f>
        <v>110</v>
      </c>
      <c r="B21" s="764" t="n">
        <v>3479</v>
      </c>
      <c r="C21" s="765" t="n">
        <v>1243</v>
      </c>
      <c r="D21" s="765" t="n">
        <v>4330</v>
      </c>
      <c r="E21" s="766" t="n">
        <v>5634</v>
      </c>
      <c r="G21" s="764" t="n">
        <f aca="false">(2*B21+2*D21)/4</f>
        <v>3904.5</v>
      </c>
      <c r="H21" s="765" t="n">
        <f aca="false">C21</f>
        <v>1243</v>
      </c>
      <c r="I21" s="765" t="n">
        <f aca="false">C21</f>
        <v>1243</v>
      </c>
      <c r="J21" s="765" t="n">
        <f aca="false">E21</f>
        <v>5634</v>
      </c>
      <c r="K21" s="765" t="n">
        <f aca="false">D21</f>
        <v>4330</v>
      </c>
      <c r="L21" s="766" t="n">
        <f aca="false">C21</f>
        <v>1243</v>
      </c>
      <c r="N21" s="764" t="n">
        <f aca="false">G21*$A21*G$9/1000</f>
        <v>1717.98</v>
      </c>
      <c r="O21" s="765" t="n">
        <f aca="false">H21*$A21*H$9/1000</f>
        <v>820.38</v>
      </c>
      <c r="P21" s="765" t="n">
        <f aca="false">I21*$A21*I$9/1000</f>
        <v>820.38</v>
      </c>
      <c r="Q21" s="765" t="n">
        <f aca="false">J21*$A21*J$9/1000</f>
        <v>1859.22</v>
      </c>
      <c r="R21" s="765" t="n">
        <f aca="false">K21*$A21*K$9/1000</f>
        <v>1905.2</v>
      </c>
      <c r="S21" s="766" t="n">
        <f aca="false">L21*$A21*L$9/1000</f>
        <v>1093.84</v>
      </c>
      <c r="U21" s="763" t="n">
        <f aca="false">U20+10</f>
        <v>110</v>
      </c>
      <c r="V21" s="764" t="n">
        <v>3479</v>
      </c>
      <c r="W21" s="765" t="n">
        <v>1243</v>
      </c>
      <c r="X21" s="765" t="n">
        <v>4330</v>
      </c>
      <c r="Y21" s="766" t="n">
        <v>5634</v>
      </c>
      <c r="AA21" s="764" t="n">
        <f aca="false">(2*V21+2*X21)/4</f>
        <v>3904.5</v>
      </c>
      <c r="AB21" s="765" t="n">
        <f aca="false">W21</f>
        <v>1243</v>
      </c>
      <c r="AC21" s="765" t="n">
        <f aca="false">W21</f>
        <v>1243</v>
      </c>
      <c r="AD21" s="765" t="n">
        <f aca="false">Y21</f>
        <v>5634</v>
      </c>
      <c r="AE21" s="765" t="n">
        <f aca="false">X21</f>
        <v>4330</v>
      </c>
      <c r="AF21" s="766" t="n">
        <f aca="false">W21</f>
        <v>1243</v>
      </c>
      <c r="AH21" s="764" t="n">
        <f aca="false">AA21*$A21*AA$9/1000</f>
        <v>1717.98</v>
      </c>
      <c r="AI21" s="765" t="n">
        <f aca="false">AB21*$A21*AB$9/1000</f>
        <v>820.38</v>
      </c>
      <c r="AJ21" s="765" t="n">
        <f aca="false">AC21*$A21*AC$9/1000</f>
        <v>820.38</v>
      </c>
      <c r="AK21" s="765" t="n">
        <f aca="false">AD21*$A21*AD$9/1000</f>
        <v>1859.22</v>
      </c>
      <c r="AL21" s="765" t="n">
        <f aca="false">AE21*$A21*AE$9/1000</f>
        <v>1905.2</v>
      </c>
      <c r="AM21" s="766" t="n">
        <f aca="false">AF21*$A21*AF$9/1000</f>
        <v>1093.84</v>
      </c>
      <c r="AP21" s="4"/>
      <c r="AQ21" s="4"/>
      <c r="AR21" s="4"/>
      <c r="AS21" s="4"/>
      <c r="AT21" s="4"/>
      <c r="AU21" s="345"/>
      <c r="AV21" s="345"/>
      <c r="BB21" s="1"/>
      <c r="BC21" s="1"/>
      <c r="BD21" s="1"/>
    </row>
    <row r="22" customFormat="false" ht="15.75" hidden="false" customHeight="false" outlineLevel="0" collapsed="false">
      <c r="A22" s="767" t="n">
        <f aca="false">A21+10</f>
        <v>120</v>
      </c>
      <c r="B22" s="768" t="n">
        <v>3892</v>
      </c>
      <c r="C22" s="262" t="n">
        <v>1874</v>
      </c>
      <c r="D22" s="262" t="n">
        <v>4330</v>
      </c>
      <c r="E22" s="263" t="n">
        <v>6379</v>
      </c>
      <c r="G22" s="768" t="n">
        <f aca="false">(2*B22+2*D22)/4</f>
        <v>4111</v>
      </c>
      <c r="H22" s="262" t="n">
        <f aca="false">C22</f>
        <v>1874</v>
      </c>
      <c r="I22" s="262" t="n">
        <f aca="false">C22</f>
        <v>1874</v>
      </c>
      <c r="J22" s="262" t="n">
        <f aca="false">E22</f>
        <v>6379</v>
      </c>
      <c r="K22" s="262" t="n">
        <f aca="false">D22</f>
        <v>4330</v>
      </c>
      <c r="L22" s="263" t="n">
        <f aca="false">C22</f>
        <v>1874</v>
      </c>
      <c r="N22" s="769" t="n">
        <f aca="false">G22*$A22*G$9/1000</f>
        <v>1973.28</v>
      </c>
      <c r="O22" s="770" t="n">
        <f aca="false">H22*$A22*H$9/1000</f>
        <v>1349.28</v>
      </c>
      <c r="P22" s="770" t="n">
        <f aca="false">I22*$A22*I$9/1000</f>
        <v>1349.28</v>
      </c>
      <c r="Q22" s="770" t="n">
        <f aca="false">J22*$A22*J$9/1000</f>
        <v>2296.44</v>
      </c>
      <c r="R22" s="770" t="n">
        <f aca="false">K22*$A22*K$9/1000</f>
        <v>2078.4</v>
      </c>
      <c r="S22" s="771" t="n">
        <f aca="false">L22*$A22*L$9/1000</f>
        <v>1799.04</v>
      </c>
      <c r="U22" s="767" t="n">
        <f aca="false">U21+10</f>
        <v>120</v>
      </c>
      <c r="V22" s="768" t="n">
        <v>3892</v>
      </c>
      <c r="W22" s="262" t="n">
        <v>1874</v>
      </c>
      <c r="X22" s="262" t="n">
        <v>4330</v>
      </c>
      <c r="Y22" s="263" t="n">
        <v>6379</v>
      </c>
      <c r="AA22" s="768" t="n">
        <f aca="false">(2*V22+2*X22)/4</f>
        <v>4111</v>
      </c>
      <c r="AB22" s="262" t="n">
        <f aca="false">W22</f>
        <v>1874</v>
      </c>
      <c r="AC22" s="262" t="n">
        <f aca="false">W22</f>
        <v>1874</v>
      </c>
      <c r="AD22" s="262" t="n">
        <f aca="false">Y22</f>
        <v>6379</v>
      </c>
      <c r="AE22" s="262" t="n">
        <f aca="false">X22</f>
        <v>4330</v>
      </c>
      <c r="AF22" s="263" t="n">
        <f aca="false">W22</f>
        <v>1874</v>
      </c>
      <c r="AH22" s="769" t="n">
        <f aca="false">AA22*$A22*AA$9/1000</f>
        <v>1973.28</v>
      </c>
      <c r="AI22" s="770" t="n">
        <f aca="false">AB22*$A22*AB$9/1000</f>
        <v>1349.28</v>
      </c>
      <c r="AJ22" s="770" t="n">
        <f aca="false">AC22*$A22*AC$9/1000</f>
        <v>1349.28</v>
      </c>
      <c r="AK22" s="770" t="n">
        <f aca="false">AD22*$A22*AD$9/1000</f>
        <v>2296.44</v>
      </c>
      <c r="AL22" s="770" t="n">
        <f aca="false">AE22*$A22*AE$9/1000</f>
        <v>2078.4</v>
      </c>
      <c r="AM22" s="771" t="n">
        <f aca="false">AF22*$A22*AF$9/1000</f>
        <v>1799.04</v>
      </c>
      <c r="AP22" s="4"/>
      <c r="AQ22" s="4"/>
      <c r="AR22" s="4"/>
      <c r="AS22" s="4"/>
      <c r="AT22" s="4"/>
      <c r="AU22" s="345"/>
      <c r="AV22" s="345"/>
      <c r="BB22" s="1"/>
      <c r="BC22" s="1"/>
      <c r="BD22" s="1"/>
    </row>
    <row r="23" customFormat="false" ht="15.75" hidden="false" customHeight="false" outlineLevel="0" collapsed="false">
      <c r="A23" s="767" t="n">
        <f aca="false">A22+10</f>
        <v>130</v>
      </c>
      <c r="B23" s="768" t="n">
        <v>3892</v>
      </c>
      <c r="C23" s="262" t="n">
        <v>1874</v>
      </c>
      <c r="D23" s="262" t="n">
        <v>4330</v>
      </c>
      <c r="E23" s="263" t="n">
        <v>6379</v>
      </c>
      <c r="G23" s="768" t="n">
        <f aca="false">(2*B23+2*D23)/4</f>
        <v>4111</v>
      </c>
      <c r="H23" s="262" t="n">
        <f aca="false">C23</f>
        <v>1874</v>
      </c>
      <c r="I23" s="262" t="n">
        <f aca="false">C23</f>
        <v>1874</v>
      </c>
      <c r="J23" s="262" t="n">
        <f aca="false">E23</f>
        <v>6379</v>
      </c>
      <c r="K23" s="262" t="n">
        <f aca="false">D23</f>
        <v>4330</v>
      </c>
      <c r="L23" s="263" t="n">
        <f aca="false">C23</f>
        <v>1874</v>
      </c>
      <c r="N23" s="764" t="n">
        <f aca="false">G23*$A23*G$9/1000</f>
        <v>2137.72</v>
      </c>
      <c r="O23" s="765" t="n">
        <f aca="false">H23*$A23*H$9/1000</f>
        <v>1461.72</v>
      </c>
      <c r="P23" s="765" t="n">
        <f aca="false">I23*$A23*I$9/1000</f>
        <v>1461.72</v>
      </c>
      <c r="Q23" s="765" t="n">
        <f aca="false">J23*$A23*J$9/1000</f>
        <v>2487.81</v>
      </c>
      <c r="R23" s="765" t="n">
        <f aca="false">K23*$A23*K$9/1000</f>
        <v>2251.6</v>
      </c>
      <c r="S23" s="766" t="n">
        <f aca="false">L23*$A23*L$9/1000</f>
        <v>1948.96</v>
      </c>
      <c r="U23" s="767" t="n">
        <f aca="false">U22+10</f>
        <v>130</v>
      </c>
      <c r="V23" s="768" t="n">
        <v>3892</v>
      </c>
      <c r="W23" s="262" t="n">
        <v>1874</v>
      </c>
      <c r="X23" s="262" t="n">
        <v>4330</v>
      </c>
      <c r="Y23" s="263" t="n">
        <v>6379</v>
      </c>
      <c r="AA23" s="768" t="n">
        <f aca="false">(2*V23+2*X23)/4</f>
        <v>4111</v>
      </c>
      <c r="AB23" s="262" t="n">
        <f aca="false">W23</f>
        <v>1874</v>
      </c>
      <c r="AC23" s="262" t="n">
        <f aca="false">W23</f>
        <v>1874</v>
      </c>
      <c r="AD23" s="262" t="n">
        <f aca="false">Y23</f>
        <v>6379</v>
      </c>
      <c r="AE23" s="262" t="n">
        <f aca="false">X23</f>
        <v>4330</v>
      </c>
      <c r="AF23" s="263" t="n">
        <f aca="false">W23</f>
        <v>1874</v>
      </c>
      <c r="AH23" s="768" t="n">
        <f aca="false">AA23*$A23*AA$9/1000</f>
        <v>2137.72</v>
      </c>
      <c r="AI23" s="262" t="n">
        <f aca="false">AB23*$A23*AB$9/1000</f>
        <v>1461.72</v>
      </c>
      <c r="AJ23" s="262" t="n">
        <f aca="false">AC23*$A23*AC$9/1000</f>
        <v>1461.72</v>
      </c>
      <c r="AK23" s="262" t="n">
        <f aca="false">AD23*$A23*AD$9/1000</f>
        <v>2487.81</v>
      </c>
      <c r="AL23" s="262" t="n">
        <f aca="false">AE23*$A23*AE$9/1000</f>
        <v>2251.6</v>
      </c>
      <c r="AM23" s="263" t="n">
        <f aca="false">AF23*$A23*AF$9/1000</f>
        <v>1948.96</v>
      </c>
      <c r="AP23" s="4"/>
      <c r="AQ23" s="4"/>
      <c r="AR23" s="4"/>
      <c r="AS23" s="4"/>
      <c r="AT23" s="4"/>
      <c r="AU23" s="345"/>
      <c r="AV23" s="345"/>
      <c r="BB23" s="1"/>
      <c r="BC23" s="1"/>
      <c r="BD23" s="1"/>
    </row>
    <row r="24" customFormat="false" ht="15.75" hidden="false" customHeight="false" outlineLevel="0" collapsed="false">
      <c r="A24" s="767" t="n">
        <f aca="false">A23+10</f>
        <v>140</v>
      </c>
      <c r="B24" s="768" t="n">
        <v>3892</v>
      </c>
      <c r="C24" s="262" t="n">
        <v>1874</v>
      </c>
      <c r="D24" s="262" t="n">
        <v>4330</v>
      </c>
      <c r="E24" s="263" t="n">
        <v>6379</v>
      </c>
      <c r="G24" s="768" t="n">
        <f aca="false">(2*B24+2*D24)/4</f>
        <v>4111</v>
      </c>
      <c r="H24" s="262" t="n">
        <f aca="false">C24</f>
        <v>1874</v>
      </c>
      <c r="I24" s="262" t="n">
        <f aca="false">C24</f>
        <v>1874</v>
      </c>
      <c r="J24" s="262" t="n">
        <f aca="false">E24</f>
        <v>6379</v>
      </c>
      <c r="K24" s="262" t="n">
        <f aca="false">D24</f>
        <v>4330</v>
      </c>
      <c r="L24" s="263" t="n">
        <f aca="false">C24</f>
        <v>1874</v>
      </c>
      <c r="N24" s="768" t="n">
        <f aca="false">G24*$A24*G$9/1000</f>
        <v>2302.16</v>
      </c>
      <c r="O24" s="262" t="n">
        <f aca="false">H24*$A24*H$9/1000</f>
        <v>1574.16</v>
      </c>
      <c r="P24" s="262" t="n">
        <f aca="false">I24*$A24*I$9/1000</f>
        <v>1574.16</v>
      </c>
      <c r="Q24" s="262" t="n">
        <f aca="false">J24*$A24*J$9/1000</f>
        <v>2679.18</v>
      </c>
      <c r="R24" s="262" t="n">
        <f aca="false">K24*$A24*K$9/1000</f>
        <v>2424.8</v>
      </c>
      <c r="S24" s="263" t="n">
        <f aca="false">L24*$A24*L$9/1000</f>
        <v>2098.88</v>
      </c>
      <c r="U24" s="767" t="n">
        <f aca="false">U23+10</f>
        <v>140</v>
      </c>
      <c r="V24" s="768" t="n">
        <v>3892</v>
      </c>
      <c r="W24" s="262" t="n">
        <v>1874</v>
      </c>
      <c r="X24" s="262" t="n">
        <v>4330</v>
      </c>
      <c r="Y24" s="263" t="n">
        <v>6379</v>
      </c>
      <c r="AA24" s="768" t="n">
        <f aca="false">(2*V24+2*X24)/4</f>
        <v>4111</v>
      </c>
      <c r="AB24" s="262" t="n">
        <f aca="false">W24</f>
        <v>1874</v>
      </c>
      <c r="AC24" s="262" t="n">
        <f aca="false">W24</f>
        <v>1874</v>
      </c>
      <c r="AD24" s="262" t="n">
        <f aca="false">Y24</f>
        <v>6379</v>
      </c>
      <c r="AE24" s="262" t="n">
        <f aca="false">X24</f>
        <v>4330</v>
      </c>
      <c r="AF24" s="263" t="n">
        <f aca="false">W24</f>
        <v>1874</v>
      </c>
      <c r="AH24" s="768" t="n">
        <f aca="false">AA24*$A24*AA$9/1000</f>
        <v>2302.16</v>
      </c>
      <c r="AI24" s="262" t="n">
        <f aca="false">AB24*$A24*AB$9/1000</f>
        <v>1574.16</v>
      </c>
      <c r="AJ24" s="262" t="n">
        <f aca="false">AC24*$A24*AC$9/1000</f>
        <v>1574.16</v>
      </c>
      <c r="AK24" s="262" t="n">
        <f aca="false">AD24*$A24*AD$9/1000</f>
        <v>2679.18</v>
      </c>
      <c r="AL24" s="262" t="n">
        <f aca="false">AE24*$A24*AE$9/1000</f>
        <v>2424.8</v>
      </c>
      <c r="AM24" s="263" t="n">
        <f aca="false">AF24*$A24*AF$9/1000</f>
        <v>2098.88</v>
      </c>
      <c r="AP24" s="4"/>
      <c r="AQ24" s="4"/>
      <c r="AR24" s="4"/>
      <c r="AS24" s="4"/>
      <c r="AT24" s="4"/>
      <c r="AU24" s="345"/>
      <c r="AV24" s="345"/>
      <c r="BB24" s="1"/>
      <c r="BC24" s="1"/>
      <c r="BD24" s="1"/>
    </row>
    <row r="25" customFormat="false" ht="15.75" hidden="false" customHeight="false" outlineLevel="0" collapsed="false">
      <c r="A25" s="767" t="n">
        <f aca="false">A24+10</f>
        <v>150</v>
      </c>
      <c r="B25" s="768" t="n">
        <v>3892</v>
      </c>
      <c r="C25" s="262" t="n">
        <v>1874</v>
      </c>
      <c r="D25" s="262" t="n">
        <v>4330</v>
      </c>
      <c r="E25" s="263" t="n">
        <v>6379</v>
      </c>
      <c r="G25" s="768" t="n">
        <f aca="false">(2*B25+2*D25)/4</f>
        <v>4111</v>
      </c>
      <c r="H25" s="262" t="n">
        <f aca="false">C25</f>
        <v>1874</v>
      </c>
      <c r="I25" s="262" t="n">
        <f aca="false">C25</f>
        <v>1874</v>
      </c>
      <c r="J25" s="262" t="n">
        <f aca="false">E25</f>
        <v>6379</v>
      </c>
      <c r="K25" s="262" t="n">
        <f aca="false">D25</f>
        <v>4330</v>
      </c>
      <c r="L25" s="263" t="n">
        <f aca="false">C25</f>
        <v>1874</v>
      </c>
      <c r="N25" s="768" t="n">
        <f aca="false">G25*$A25*G$9/1000</f>
        <v>2466.6</v>
      </c>
      <c r="O25" s="262" t="n">
        <f aca="false">H25*$A25*H$9/1000</f>
        <v>1686.6</v>
      </c>
      <c r="P25" s="262" t="n">
        <f aca="false">I25*$A25*I$9/1000</f>
        <v>1686.6</v>
      </c>
      <c r="Q25" s="262" t="n">
        <f aca="false">J25*$A25*J$9/1000</f>
        <v>2870.55</v>
      </c>
      <c r="R25" s="262" t="n">
        <f aca="false">K25*$A25*K$9/1000</f>
        <v>2598</v>
      </c>
      <c r="S25" s="263" t="n">
        <f aca="false">L25*$A25*L$9/1000</f>
        <v>2248.8</v>
      </c>
      <c r="U25" s="767" t="n">
        <f aca="false">U24+10</f>
        <v>150</v>
      </c>
      <c r="V25" s="768" t="n">
        <v>3892</v>
      </c>
      <c r="W25" s="262" t="n">
        <v>1874</v>
      </c>
      <c r="X25" s="262" t="n">
        <v>4330</v>
      </c>
      <c r="Y25" s="263" t="n">
        <v>6379</v>
      </c>
      <c r="AA25" s="768" t="n">
        <f aca="false">(2*V25+2*X25)/4</f>
        <v>4111</v>
      </c>
      <c r="AB25" s="262" t="n">
        <f aca="false">W25</f>
        <v>1874</v>
      </c>
      <c r="AC25" s="262" t="n">
        <f aca="false">W25</f>
        <v>1874</v>
      </c>
      <c r="AD25" s="262" t="n">
        <f aca="false">Y25</f>
        <v>6379</v>
      </c>
      <c r="AE25" s="262" t="n">
        <f aca="false">X25</f>
        <v>4330</v>
      </c>
      <c r="AF25" s="263" t="n">
        <f aca="false">W25</f>
        <v>1874</v>
      </c>
      <c r="AH25" s="768" t="n">
        <f aca="false">AA25*$A25*AA$9/1000</f>
        <v>2466.6</v>
      </c>
      <c r="AI25" s="262" t="n">
        <f aca="false">AB25*$A25*AB$9/1000</f>
        <v>1686.6</v>
      </c>
      <c r="AJ25" s="262" t="n">
        <f aca="false">AC25*$A25*AC$9/1000</f>
        <v>1686.6</v>
      </c>
      <c r="AK25" s="262" t="n">
        <f aca="false">AD25*$A25*AD$9/1000</f>
        <v>2870.55</v>
      </c>
      <c r="AL25" s="262" t="n">
        <f aca="false">AE25*$A25*AE$9/1000</f>
        <v>2598</v>
      </c>
      <c r="AM25" s="263" t="n">
        <f aca="false">AF25*$A25*AF$9/1000</f>
        <v>2248.8</v>
      </c>
      <c r="AP25" s="4"/>
      <c r="AQ25" s="4"/>
      <c r="AR25" s="4"/>
      <c r="AS25" s="4"/>
      <c r="AT25" s="4"/>
      <c r="AU25" s="345"/>
      <c r="AV25" s="345"/>
      <c r="BB25" s="1"/>
      <c r="BC25" s="1"/>
      <c r="BD25" s="1"/>
    </row>
    <row r="26" customFormat="false" ht="15.75" hidden="false" customHeight="false" outlineLevel="0" collapsed="false">
      <c r="A26" s="767" t="n">
        <f aca="false">A25+10</f>
        <v>160</v>
      </c>
      <c r="B26" s="768" t="n">
        <v>5022</v>
      </c>
      <c r="C26" s="262" t="n">
        <v>1874</v>
      </c>
      <c r="D26" s="262" t="n">
        <v>6112</v>
      </c>
      <c r="E26" s="263" t="n">
        <v>7118</v>
      </c>
      <c r="G26" s="768" t="n">
        <f aca="false">(2*B26+2*D26)/4</f>
        <v>5567</v>
      </c>
      <c r="H26" s="262" t="n">
        <f aca="false">C26</f>
        <v>1874</v>
      </c>
      <c r="I26" s="262" t="n">
        <f aca="false">C26</f>
        <v>1874</v>
      </c>
      <c r="J26" s="262" t="n">
        <f aca="false">E26</f>
        <v>7118</v>
      </c>
      <c r="K26" s="262" t="n">
        <f aca="false">D26</f>
        <v>6112</v>
      </c>
      <c r="L26" s="263" t="n">
        <f aca="false">C26</f>
        <v>1874</v>
      </c>
      <c r="N26" s="768" t="n">
        <f aca="false">G26*$A26*G$9/1000</f>
        <v>3562.88</v>
      </c>
      <c r="O26" s="262" t="n">
        <f aca="false">H26*$A26*H$9/1000</f>
        <v>1799.04</v>
      </c>
      <c r="P26" s="262" t="n">
        <f aca="false">I26*$A26*I$9/1000</f>
        <v>1799.04</v>
      </c>
      <c r="Q26" s="262" t="n">
        <f aca="false">J26*$A26*J$9/1000</f>
        <v>3416.64</v>
      </c>
      <c r="R26" s="262" t="n">
        <f aca="false">K26*$A26*K$9/1000</f>
        <v>3911.68</v>
      </c>
      <c r="S26" s="263" t="n">
        <f aca="false">L26*$A26*L$9/1000</f>
        <v>2398.72</v>
      </c>
      <c r="U26" s="767" t="n">
        <f aca="false">U25+10</f>
        <v>160</v>
      </c>
      <c r="V26" s="768" t="n">
        <v>5022</v>
      </c>
      <c r="W26" s="262" t="n">
        <v>1874</v>
      </c>
      <c r="X26" s="262" t="n">
        <v>6112</v>
      </c>
      <c r="Y26" s="263" t="n">
        <v>7118</v>
      </c>
      <c r="AA26" s="768" t="n">
        <f aca="false">(2*V26+2*X26)/4</f>
        <v>5567</v>
      </c>
      <c r="AB26" s="262" t="n">
        <f aca="false">W26</f>
        <v>1874</v>
      </c>
      <c r="AC26" s="262" t="n">
        <f aca="false">W26</f>
        <v>1874</v>
      </c>
      <c r="AD26" s="262" t="n">
        <f aca="false">Y26</f>
        <v>7118</v>
      </c>
      <c r="AE26" s="262" t="n">
        <f aca="false">X26</f>
        <v>6112</v>
      </c>
      <c r="AF26" s="263" t="n">
        <f aca="false">W26</f>
        <v>1874</v>
      </c>
      <c r="AH26" s="768" t="n">
        <f aca="false">AA26*$A26*AA$9/1000</f>
        <v>3562.88</v>
      </c>
      <c r="AI26" s="262" t="n">
        <f aca="false">AB26*$A26*AB$9/1000</f>
        <v>1799.04</v>
      </c>
      <c r="AJ26" s="262" t="n">
        <f aca="false">AC26*$A26*AC$9/1000</f>
        <v>1799.04</v>
      </c>
      <c r="AK26" s="262" t="n">
        <f aca="false">AD26*$A26*AD$9/1000</f>
        <v>3416.64</v>
      </c>
      <c r="AL26" s="262" t="n">
        <f aca="false">AE26*$A26*AE$9/1000</f>
        <v>3911.68</v>
      </c>
      <c r="AM26" s="263" t="n">
        <f aca="false">AF26*$A26*AF$9/1000</f>
        <v>2398.72</v>
      </c>
      <c r="AP26" s="4"/>
      <c r="AQ26" s="4"/>
      <c r="AR26" s="4"/>
      <c r="AS26" s="4"/>
      <c r="AT26" s="4"/>
      <c r="AU26" s="345"/>
      <c r="AV26" s="345"/>
      <c r="BB26" s="1"/>
      <c r="BC26" s="1"/>
      <c r="BD26" s="1"/>
    </row>
    <row r="27" customFormat="false" ht="15.75" hidden="false" customHeight="false" outlineLevel="0" collapsed="false">
      <c r="A27" s="767" t="n">
        <f aca="false">A26+10</f>
        <v>170</v>
      </c>
      <c r="B27" s="768" t="n">
        <v>5022</v>
      </c>
      <c r="C27" s="262" t="n">
        <v>1874</v>
      </c>
      <c r="D27" s="262" t="n">
        <v>6112</v>
      </c>
      <c r="E27" s="263" t="n">
        <v>7118</v>
      </c>
      <c r="G27" s="768" t="n">
        <f aca="false">(2*B27+2*D27)/4</f>
        <v>5567</v>
      </c>
      <c r="H27" s="262" t="n">
        <f aca="false">C27</f>
        <v>1874</v>
      </c>
      <c r="I27" s="262" t="n">
        <f aca="false">C27</f>
        <v>1874</v>
      </c>
      <c r="J27" s="262" t="n">
        <f aca="false">E27</f>
        <v>7118</v>
      </c>
      <c r="K27" s="262" t="n">
        <f aca="false">D27</f>
        <v>6112</v>
      </c>
      <c r="L27" s="263" t="n">
        <f aca="false">C27</f>
        <v>1874</v>
      </c>
      <c r="N27" s="768" t="n">
        <f aca="false">G27*$A27*G$9/1000</f>
        <v>3785.56</v>
      </c>
      <c r="O27" s="262" t="n">
        <f aca="false">H27*$A27*H$9/1000</f>
        <v>1911.48</v>
      </c>
      <c r="P27" s="262" t="n">
        <f aca="false">I27*$A27*I$9/1000</f>
        <v>1911.48</v>
      </c>
      <c r="Q27" s="262" t="n">
        <f aca="false">J27*$A27*J$9/1000</f>
        <v>3630.18</v>
      </c>
      <c r="R27" s="262" t="n">
        <f aca="false">K27*$A27*K$9/1000</f>
        <v>4156.16</v>
      </c>
      <c r="S27" s="263" t="n">
        <f aca="false">L27*$A27*L$9/1000</f>
        <v>2548.64</v>
      </c>
      <c r="U27" s="767" t="n">
        <f aca="false">U26+10</f>
        <v>170</v>
      </c>
      <c r="V27" s="768" t="n">
        <v>5022</v>
      </c>
      <c r="W27" s="262" t="n">
        <v>1874</v>
      </c>
      <c r="X27" s="262" t="n">
        <v>6112</v>
      </c>
      <c r="Y27" s="263" t="n">
        <v>7118</v>
      </c>
      <c r="AA27" s="768" t="n">
        <f aca="false">(2*V27+2*X27)/4</f>
        <v>5567</v>
      </c>
      <c r="AB27" s="262" t="n">
        <f aca="false">W27</f>
        <v>1874</v>
      </c>
      <c r="AC27" s="262" t="n">
        <f aca="false">W27</f>
        <v>1874</v>
      </c>
      <c r="AD27" s="262" t="n">
        <f aca="false">Y27</f>
        <v>7118</v>
      </c>
      <c r="AE27" s="262" t="n">
        <f aca="false">X27</f>
        <v>6112</v>
      </c>
      <c r="AF27" s="263" t="n">
        <f aca="false">W27</f>
        <v>1874</v>
      </c>
      <c r="AH27" s="768" t="n">
        <f aca="false">AA27*$A27*AA$9/1000</f>
        <v>3785.56</v>
      </c>
      <c r="AI27" s="262" t="n">
        <f aca="false">AB27*$A27*AB$9/1000</f>
        <v>1911.48</v>
      </c>
      <c r="AJ27" s="262" t="n">
        <f aca="false">AC27*$A27*AC$9/1000</f>
        <v>1911.48</v>
      </c>
      <c r="AK27" s="262" t="n">
        <f aca="false">AD27*$A27*AD$9/1000</f>
        <v>3630.18</v>
      </c>
      <c r="AL27" s="262" t="n">
        <f aca="false">AE27*$A27*AE$9/1000</f>
        <v>4156.16</v>
      </c>
      <c r="AM27" s="263" t="n">
        <f aca="false">AF27*$A27*AF$9/1000</f>
        <v>2548.64</v>
      </c>
      <c r="AP27" s="4"/>
      <c r="AQ27" s="4"/>
      <c r="AR27" s="4"/>
      <c r="AS27" s="4"/>
      <c r="AT27" s="4"/>
      <c r="AU27" s="345"/>
      <c r="AV27" s="345"/>
      <c r="BB27" s="1"/>
      <c r="BC27" s="1"/>
      <c r="BD27" s="1"/>
    </row>
    <row r="28" customFormat="false" ht="15.75" hidden="false" customHeight="false" outlineLevel="0" collapsed="false">
      <c r="A28" s="767" t="n">
        <f aca="false">A27+10</f>
        <v>180</v>
      </c>
      <c r="B28" s="768" t="n">
        <v>5022</v>
      </c>
      <c r="C28" s="262" t="n">
        <v>2580</v>
      </c>
      <c r="D28" s="262" t="n">
        <v>6112</v>
      </c>
      <c r="E28" s="263" t="n">
        <v>7118</v>
      </c>
      <c r="G28" s="768" t="n">
        <f aca="false">(2*B28+2*D28)/4</f>
        <v>5567</v>
      </c>
      <c r="H28" s="262" t="n">
        <f aca="false">C28</f>
        <v>2580</v>
      </c>
      <c r="I28" s="262" t="n">
        <f aca="false">C28</f>
        <v>2580</v>
      </c>
      <c r="J28" s="262" t="n">
        <f aca="false">E28</f>
        <v>7118</v>
      </c>
      <c r="K28" s="262" t="n">
        <f aca="false">D28</f>
        <v>6112</v>
      </c>
      <c r="L28" s="263" t="n">
        <f aca="false">C28</f>
        <v>2580</v>
      </c>
      <c r="N28" s="768" t="n">
        <f aca="false">G28*$A28*G$9/1000</f>
        <v>4008.24</v>
      </c>
      <c r="O28" s="262" t="n">
        <f aca="false">H28*$A28*H$9/1000</f>
        <v>2786.4</v>
      </c>
      <c r="P28" s="262" t="n">
        <f aca="false">I28*$A28*I$9/1000</f>
        <v>2786.4</v>
      </c>
      <c r="Q28" s="262" t="n">
        <f aca="false">J28*$A28*J$9/1000</f>
        <v>3843.72</v>
      </c>
      <c r="R28" s="262" t="n">
        <f aca="false">K28*$A28*K$9/1000</f>
        <v>4400.64</v>
      </c>
      <c r="S28" s="263" t="n">
        <f aca="false">L28*$A28*L$9/1000</f>
        <v>3715.2</v>
      </c>
      <c r="U28" s="767" t="n">
        <f aca="false">U27+10</f>
        <v>180</v>
      </c>
      <c r="V28" s="768" t="n">
        <v>5022</v>
      </c>
      <c r="W28" s="262" t="n">
        <v>2580</v>
      </c>
      <c r="X28" s="262" t="n">
        <v>6112</v>
      </c>
      <c r="Y28" s="263" t="n">
        <v>7118</v>
      </c>
      <c r="AA28" s="768" t="n">
        <f aca="false">(2*V28+2*X28)/4</f>
        <v>5567</v>
      </c>
      <c r="AB28" s="262" t="n">
        <f aca="false">W28</f>
        <v>2580</v>
      </c>
      <c r="AC28" s="262" t="n">
        <f aca="false">W28</f>
        <v>2580</v>
      </c>
      <c r="AD28" s="262" t="n">
        <f aca="false">Y28</f>
        <v>7118</v>
      </c>
      <c r="AE28" s="262" t="n">
        <f aca="false">X28</f>
        <v>6112</v>
      </c>
      <c r="AF28" s="263" t="n">
        <f aca="false">W28</f>
        <v>2580</v>
      </c>
      <c r="AH28" s="768" t="n">
        <f aca="false">AA28*$A28*AA$9/1000</f>
        <v>4008.24</v>
      </c>
      <c r="AI28" s="262" t="n">
        <f aca="false">AB28*$A28*AB$9/1000</f>
        <v>2786.4</v>
      </c>
      <c r="AJ28" s="262" t="n">
        <f aca="false">AC28*$A28*AC$9/1000</f>
        <v>2786.4</v>
      </c>
      <c r="AK28" s="262" t="n">
        <f aca="false">AD28*$A28*AD$9/1000</f>
        <v>3843.72</v>
      </c>
      <c r="AL28" s="262" t="n">
        <f aca="false">AE28*$A28*AE$9/1000</f>
        <v>4400.64</v>
      </c>
      <c r="AM28" s="263" t="n">
        <f aca="false">AF28*$A28*AF$9/1000</f>
        <v>3715.2</v>
      </c>
      <c r="AP28" s="4"/>
      <c r="AQ28" s="4"/>
      <c r="AR28" s="4"/>
      <c r="AS28" s="4"/>
      <c r="AT28" s="4"/>
      <c r="AU28" s="345"/>
      <c r="AV28" s="345"/>
      <c r="BB28" s="1"/>
      <c r="BC28" s="1"/>
      <c r="BD28" s="1"/>
    </row>
    <row r="29" customFormat="false" ht="15.75" hidden="false" customHeight="false" outlineLevel="0" collapsed="false">
      <c r="A29" s="767" t="n">
        <f aca="false">A28+10</f>
        <v>190</v>
      </c>
      <c r="B29" s="768" t="n">
        <v>5022</v>
      </c>
      <c r="C29" s="262" t="n">
        <v>2580</v>
      </c>
      <c r="D29" s="262" t="n">
        <v>6112</v>
      </c>
      <c r="E29" s="263" t="n">
        <v>7118</v>
      </c>
      <c r="G29" s="768" t="n">
        <f aca="false">(2*B29+2*D29)/4</f>
        <v>5567</v>
      </c>
      <c r="H29" s="262" t="n">
        <f aca="false">C29</f>
        <v>2580</v>
      </c>
      <c r="I29" s="262" t="n">
        <f aca="false">C29</f>
        <v>2580</v>
      </c>
      <c r="J29" s="262" t="n">
        <f aca="false">E29</f>
        <v>7118</v>
      </c>
      <c r="K29" s="262" t="n">
        <f aca="false">D29</f>
        <v>6112</v>
      </c>
      <c r="L29" s="263" t="n">
        <f aca="false">C29</f>
        <v>2580</v>
      </c>
      <c r="N29" s="768" t="n">
        <f aca="false">G29*$A29*G$9/1000</f>
        <v>4230.92</v>
      </c>
      <c r="O29" s="262" t="n">
        <f aca="false">H29*$A29*H$9/1000</f>
        <v>2941.2</v>
      </c>
      <c r="P29" s="262" t="n">
        <f aca="false">I29*$A29*I$9/1000</f>
        <v>2941.2</v>
      </c>
      <c r="Q29" s="262" t="n">
        <f aca="false">J29*$A29*J$9/1000</f>
        <v>4057.26</v>
      </c>
      <c r="R29" s="262" t="n">
        <f aca="false">K29*$A29*K$9/1000</f>
        <v>4645.12</v>
      </c>
      <c r="S29" s="263" t="n">
        <f aca="false">L29*$A29*L$9/1000</f>
        <v>3921.6</v>
      </c>
      <c r="U29" s="767" t="n">
        <f aca="false">U28+10</f>
        <v>190</v>
      </c>
      <c r="V29" s="768" t="n">
        <v>5022</v>
      </c>
      <c r="W29" s="262" t="n">
        <v>2580</v>
      </c>
      <c r="X29" s="262" t="n">
        <v>6112</v>
      </c>
      <c r="Y29" s="263" t="n">
        <v>7118</v>
      </c>
      <c r="AA29" s="768" t="n">
        <f aca="false">(2*V29+2*X29)/4</f>
        <v>5567</v>
      </c>
      <c r="AB29" s="262" t="n">
        <f aca="false">W29</f>
        <v>2580</v>
      </c>
      <c r="AC29" s="262" t="n">
        <f aca="false">W29</f>
        <v>2580</v>
      </c>
      <c r="AD29" s="262" t="n">
        <f aca="false">Y29</f>
        <v>7118</v>
      </c>
      <c r="AE29" s="262" t="n">
        <f aca="false">X29</f>
        <v>6112</v>
      </c>
      <c r="AF29" s="263" t="n">
        <f aca="false">W29</f>
        <v>2580</v>
      </c>
      <c r="AH29" s="768" t="n">
        <f aca="false">AA29*$A29*AA$9/1000</f>
        <v>4230.92</v>
      </c>
      <c r="AI29" s="262" t="n">
        <f aca="false">AB29*$A29*AB$9/1000</f>
        <v>2941.2</v>
      </c>
      <c r="AJ29" s="262" t="n">
        <f aca="false">AC29*$A29*AC$9/1000</f>
        <v>2941.2</v>
      </c>
      <c r="AK29" s="262" t="n">
        <f aca="false">AD29*$A29*AD$9/1000</f>
        <v>4057.26</v>
      </c>
      <c r="AL29" s="262" t="n">
        <f aca="false">AE29*$A29*AE$9/1000</f>
        <v>4645.12</v>
      </c>
      <c r="AM29" s="263" t="n">
        <f aca="false">AF29*$A29*AF$9/1000</f>
        <v>3921.6</v>
      </c>
      <c r="AP29" s="4"/>
      <c r="AQ29" s="4"/>
      <c r="AR29" s="4"/>
      <c r="AS29" s="4"/>
      <c r="AT29" s="4"/>
      <c r="AU29" s="345"/>
      <c r="AV29" s="345"/>
      <c r="BB29" s="1"/>
      <c r="BC29" s="1"/>
      <c r="BD29" s="1"/>
    </row>
    <row r="30" customFormat="false" ht="15.75" hidden="false" customHeight="false" outlineLevel="0" collapsed="false">
      <c r="A30" s="767" t="n">
        <f aca="false">A29+10</f>
        <v>200</v>
      </c>
      <c r="B30" s="768" t="n">
        <v>5022</v>
      </c>
      <c r="C30" s="262" t="n">
        <v>2580</v>
      </c>
      <c r="D30" s="262" t="n">
        <v>6112</v>
      </c>
      <c r="E30" s="263" t="n">
        <v>7118</v>
      </c>
      <c r="G30" s="768" t="n">
        <f aca="false">(2*B30+2*D30)/4</f>
        <v>5567</v>
      </c>
      <c r="H30" s="262" t="n">
        <f aca="false">C30</f>
        <v>2580</v>
      </c>
      <c r="I30" s="262" t="n">
        <f aca="false">C30</f>
        <v>2580</v>
      </c>
      <c r="J30" s="262" t="n">
        <f aca="false">E30</f>
        <v>7118</v>
      </c>
      <c r="K30" s="262" t="n">
        <f aca="false">D30</f>
        <v>6112</v>
      </c>
      <c r="L30" s="263" t="n">
        <f aca="false">C30</f>
        <v>2580</v>
      </c>
      <c r="N30" s="768" t="n">
        <f aca="false">G30*$A30*G$9/1000</f>
        <v>4453.6</v>
      </c>
      <c r="O30" s="262" t="n">
        <f aca="false">H30*$A30*H$9/1000</f>
        <v>3096</v>
      </c>
      <c r="P30" s="262" t="n">
        <f aca="false">I30*$A30*I$9/1000</f>
        <v>3096</v>
      </c>
      <c r="Q30" s="262" t="n">
        <f aca="false">J30*$A30*J$9/1000</f>
        <v>4270.8</v>
      </c>
      <c r="R30" s="262" t="n">
        <f aca="false">K30*$A30*K$9/1000</f>
        <v>4889.6</v>
      </c>
      <c r="S30" s="263" t="n">
        <f aca="false">L30*$A30*L$9/1000</f>
        <v>4128</v>
      </c>
      <c r="U30" s="767" t="n">
        <f aca="false">U29+10</f>
        <v>200</v>
      </c>
      <c r="V30" s="768" t="n">
        <v>5022</v>
      </c>
      <c r="W30" s="262" t="n">
        <v>2580</v>
      </c>
      <c r="X30" s="262" t="n">
        <v>6112</v>
      </c>
      <c r="Y30" s="263" t="n">
        <v>7118</v>
      </c>
      <c r="AA30" s="768" t="n">
        <f aca="false">(2*V30+2*X30)/4</f>
        <v>5567</v>
      </c>
      <c r="AB30" s="262" t="n">
        <f aca="false">W30</f>
        <v>2580</v>
      </c>
      <c r="AC30" s="262" t="n">
        <f aca="false">W30</f>
        <v>2580</v>
      </c>
      <c r="AD30" s="262" t="n">
        <f aca="false">Y30</f>
        <v>7118</v>
      </c>
      <c r="AE30" s="262" t="n">
        <f aca="false">X30</f>
        <v>6112</v>
      </c>
      <c r="AF30" s="263" t="n">
        <f aca="false">W30</f>
        <v>2580</v>
      </c>
      <c r="AH30" s="768" t="n">
        <f aca="false">AA30*$A30*AA$9/1000</f>
        <v>4453.6</v>
      </c>
      <c r="AI30" s="262" t="n">
        <f aca="false">AB30*$A30*AB$9/1000</f>
        <v>3096</v>
      </c>
      <c r="AJ30" s="262" t="n">
        <f aca="false">AC30*$A30*AC$9/1000</f>
        <v>3096</v>
      </c>
      <c r="AK30" s="262" t="n">
        <f aca="false">AD30*$A30*AD$9/1000</f>
        <v>4270.8</v>
      </c>
      <c r="AL30" s="262" t="n">
        <f aca="false">AE30*$A30*AE$9/1000</f>
        <v>4889.6</v>
      </c>
      <c r="AM30" s="263" t="n">
        <f aca="false">AF30*$A30*AF$9/1000</f>
        <v>4128</v>
      </c>
      <c r="AP30" s="4"/>
      <c r="AQ30" s="4"/>
      <c r="AR30" s="4"/>
      <c r="AS30" s="4"/>
      <c r="AT30" s="4"/>
      <c r="AU30" s="345"/>
      <c r="AV30" s="345"/>
      <c r="BB30" s="1"/>
      <c r="BC30" s="1"/>
      <c r="BD30" s="1"/>
    </row>
    <row r="31" customFormat="false" ht="15.75" hidden="false" customHeight="false" outlineLevel="0" collapsed="false">
      <c r="A31" s="767" t="n">
        <f aca="false">A30+10</f>
        <v>210</v>
      </c>
      <c r="B31" s="768" t="n">
        <v>5022</v>
      </c>
      <c r="C31" s="262" t="n">
        <v>2580</v>
      </c>
      <c r="D31" s="262" t="n">
        <v>6112</v>
      </c>
      <c r="E31" s="263" t="n">
        <v>7118</v>
      </c>
      <c r="G31" s="768" t="n">
        <f aca="false">(2*B31+2*D31)/4</f>
        <v>5567</v>
      </c>
      <c r="H31" s="262" t="n">
        <f aca="false">C31</f>
        <v>2580</v>
      </c>
      <c r="I31" s="262" t="n">
        <f aca="false">C31</f>
        <v>2580</v>
      </c>
      <c r="J31" s="262" t="n">
        <f aca="false">E31</f>
        <v>7118</v>
      </c>
      <c r="K31" s="262" t="n">
        <f aca="false">D31</f>
        <v>6112</v>
      </c>
      <c r="L31" s="263" t="n">
        <f aca="false">C31</f>
        <v>2580</v>
      </c>
      <c r="N31" s="768" t="n">
        <f aca="false">G31*$A31*G$9/1000</f>
        <v>4676.28</v>
      </c>
      <c r="O31" s="262" t="n">
        <f aca="false">H31*$A31*H$9/1000</f>
        <v>3250.8</v>
      </c>
      <c r="P31" s="262" t="n">
        <f aca="false">I31*$A31*I$9/1000</f>
        <v>3250.8</v>
      </c>
      <c r="Q31" s="262" t="n">
        <f aca="false">J31*$A31*J$9/1000</f>
        <v>4484.34</v>
      </c>
      <c r="R31" s="262" t="n">
        <f aca="false">K31*$A31*K$9/1000</f>
        <v>5134.08</v>
      </c>
      <c r="S31" s="263" t="n">
        <f aca="false">L31*$A31*L$9/1000</f>
        <v>4334.4</v>
      </c>
      <c r="U31" s="767" t="n">
        <f aca="false">U30+10</f>
        <v>210</v>
      </c>
      <c r="V31" s="768" t="n">
        <v>5022</v>
      </c>
      <c r="W31" s="262" t="n">
        <v>2580</v>
      </c>
      <c r="X31" s="262" t="n">
        <v>6112</v>
      </c>
      <c r="Y31" s="263" t="n">
        <v>7118</v>
      </c>
      <c r="AA31" s="768" t="n">
        <f aca="false">(2*V31+2*X31)/4</f>
        <v>5567</v>
      </c>
      <c r="AB31" s="262" t="n">
        <f aca="false">W31</f>
        <v>2580</v>
      </c>
      <c r="AC31" s="262" t="n">
        <f aca="false">W31</f>
        <v>2580</v>
      </c>
      <c r="AD31" s="262" t="n">
        <f aca="false">Y31</f>
        <v>7118</v>
      </c>
      <c r="AE31" s="262" t="n">
        <f aca="false">X31</f>
        <v>6112</v>
      </c>
      <c r="AF31" s="263" t="n">
        <f aca="false">W31</f>
        <v>2580</v>
      </c>
      <c r="AH31" s="768" t="n">
        <f aca="false">AA31*$A31*AA$9/1000</f>
        <v>4676.28</v>
      </c>
      <c r="AI31" s="262" t="n">
        <f aca="false">AB31*$A31*AB$9/1000</f>
        <v>3250.8</v>
      </c>
      <c r="AJ31" s="262" t="n">
        <f aca="false">AC31*$A31*AC$9/1000</f>
        <v>3250.8</v>
      </c>
      <c r="AK31" s="262" t="n">
        <f aca="false">AD31*$A31*AD$9/1000</f>
        <v>4484.34</v>
      </c>
      <c r="AL31" s="262" t="n">
        <f aca="false">AE31*$A31*AE$9/1000</f>
        <v>5134.08</v>
      </c>
      <c r="AM31" s="263" t="n">
        <f aca="false">AF31*$A31*AF$9/1000</f>
        <v>4334.4</v>
      </c>
      <c r="AP31" s="4"/>
      <c r="AQ31" s="4"/>
      <c r="AR31" s="4"/>
      <c r="AS31" s="4"/>
      <c r="AT31" s="4"/>
      <c r="AU31" s="345"/>
      <c r="AV31" s="345"/>
      <c r="BB31" s="1"/>
      <c r="BC31" s="1"/>
      <c r="BD31" s="1"/>
    </row>
    <row r="32" customFormat="false" ht="15.75" hidden="false" customHeight="false" outlineLevel="0" collapsed="false">
      <c r="A32" s="767" t="n">
        <f aca="false">A31+10</f>
        <v>220</v>
      </c>
      <c r="B32" s="768" t="n">
        <v>5022</v>
      </c>
      <c r="C32" s="262" t="n">
        <v>2580</v>
      </c>
      <c r="D32" s="262" t="n">
        <v>6112</v>
      </c>
      <c r="E32" s="263" t="n">
        <v>7118</v>
      </c>
      <c r="G32" s="768" t="n">
        <f aca="false">(2*B32+2*D32)/4</f>
        <v>5567</v>
      </c>
      <c r="H32" s="262" t="n">
        <f aca="false">C32</f>
        <v>2580</v>
      </c>
      <c r="I32" s="262" t="n">
        <f aca="false">C32</f>
        <v>2580</v>
      </c>
      <c r="J32" s="262" t="n">
        <f aca="false">E32</f>
        <v>7118</v>
      </c>
      <c r="K32" s="262" t="n">
        <f aca="false">D32</f>
        <v>6112</v>
      </c>
      <c r="L32" s="263" t="n">
        <f aca="false">C32</f>
        <v>2580</v>
      </c>
      <c r="N32" s="768" t="n">
        <f aca="false">G32*$A32*G$9/1000</f>
        <v>4898.96</v>
      </c>
      <c r="O32" s="262" t="n">
        <f aca="false">H32*$A32*H$9/1000</f>
        <v>3405.6</v>
      </c>
      <c r="P32" s="262" t="n">
        <f aca="false">I32*$A32*I$9/1000</f>
        <v>3405.6</v>
      </c>
      <c r="Q32" s="262" t="n">
        <f aca="false">J32*$A32*J$9/1000</f>
        <v>4697.88</v>
      </c>
      <c r="R32" s="262" t="n">
        <f aca="false">K32*$A32*K$9/1000</f>
        <v>5378.56</v>
      </c>
      <c r="S32" s="263" t="n">
        <f aca="false">L32*$A32*L$9/1000</f>
        <v>4540.8</v>
      </c>
      <c r="U32" s="767" t="n">
        <f aca="false">U31+10</f>
        <v>220</v>
      </c>
      <c r="V32" s="768" t="n">
        <v>5022</v>
      </c>
      <c r="W32" s="262" t="n">
        <v>2580</v>
      </c>
      <c r="X32" s="262" t="n">
        <v>6112</v>
      </c>
      <c r="Y32" s="263" t="n">
        <v>7118</v>
      </c>
      <c r="AA32" s="768" t="n">
        <f aca="false">(2*V32+2*X32)/4</f>
        <v>5567</v>
      </c>
      <c r="AB32" s="262" t="n">
        <f aca="false">W32</f>
        <v>2580</v>
      </c>
      <c r="AC32" s="262" t="n">
        <f aca="false">W32</f>
        <v>2580</v>
      </c>
      <c r="AD32" s="262" t="n">
        <f aca="false">Y32</f>
        <v>7118</v>
      </c>
      <c r="AE32" s="262" t="n">
        <f aca="false">X32</f>
        <v>6112</v>
      </c>
      <c r="AF32" s="263" t="n">
        <f aca="false">W32</f>
        <v>2580</v>
      </c>
      <c r="AH32" s="768" t="n">
        <f aca="false">AA32*$A32*AA$9/1000</f>
        <v>4898.96</v>
      </c>
      <c r="AI32" s="262" t="n">
        <f aca="false">AB32*$A32*AB$9/1000</f>
        <v>3405.6</v>
      </c>
      <c r="AJ32" s="262" t="n">
        <f aca="false">AC32*$A32*AC$9/1000</f>
        <v>3405.6</v>
      </c>
      <c r="AK32" s="262" t="n">
        <f aca="false">AD32*$A32*AD$9/1000</f>
        <v>4697.88</v>
      </c>
      <c r="AL32" s="262" t="n">
        <f aca="false">AE32*$A32*AE$9/1000</f>
        <v>5378.56</v>
      </c>
      <c r="AM32" s="263" t="n">
        <f aca="false">AF32*$A32*AF$9/1000</f>
        <v>4540.8</v>
      </c>
      <c r="AP32" s="4"/>
      <c r="AQ32" s="4"/>
      <c r="AR32" s="4"/>
      <c r="AS32" s="4"/>
      <c r="AT32" s="4"/>
      <c r="AU32" s="345"/>
      <c r="AV32" s="345"/>
      <c r="BB32" s="1"/>
      <c r="BC32" s="1"/>
      <c r="BD32" s="1"/>
    </row>
    <row r="33" customFormat="false" ht="15.75" hidden="false" customHeight="false" outlineLevel="0" collapsed="false">
      <c r="A33" s="767" t="n">
        <f aca="false">A32+10</f>
        <v>230</v>
      </c>
      <c r="B33" s="768" t="n">
        <v>5022</v>
      </c>
      <c r="C33" s="262" t="n">
        <v>2580</v>
      </c>
      <c r="D33" s="262" t="n">
        <v>6112</v>
      </c>
      <c r="E33" s="263" t="n">
        <v>7118</v>
      </c>
      <c r="G33" s="768" t="n">
        <f aca="false">(2*B33+2*D33)/4</f>
        <v>5567</v>
      </c>
      <c r="H33" s="262" t="n">
        <f aca="false">C33</f>
        <v>2580</v>
      </c>
      <c r="I33" s="262" t="n">
        <f aca="false">C33</f>
        <v>2580</v>
      </c>
      <c r="J33" s="262" t="n">
        <f aca="false">E33</f>
        <v>7118</v>
      </c>
      <c r="K33" s="262" t="n">
        <f aca="false">D33</f>
        <v>6112</v>
      </c>
      <c r="L33" s="263" t="n">
        <f aca="false">C33</f>
        <v>2580</v>
      </c>
      <c r="N33" s="768" t="n">
        <f aca="false">G33*$A33*G$9/1000</f>
        <v>5121.64</v>
      </c>
      <c r="O33" s="262" t="n">
        <f aca="false">H33*$A33*H$9/1000</f>
        <v>3560.4</v>
      </c>
      <c r="P33" s="262" t="n">
        <f aca="false">I33*$A33*I$9/1000</f>
        <v>3560.4</v>
      </c>
      <c r="Q33" s="262" t="n">
        <f aca="false">J33*$A33*J$9/1000</f>
        <v>4911.42</v>
      </c>
      <c r="R33" s="262" t="n">
        <f aca="false">K33*$A33*K$9/1000</f>
        <v>5623.04</v>
      </c>
      <c r="S33" s="263" t="n">
        <f aca="false">L33*$A33*L$9/1000</f>
        <v>4747.2</v>
      </c>
      <c r="U33" s="767" t="n">
        <f aca="false">U32+10</f>
        <v>230</v>
      </c>
      <c r="V33" s="768" t="n">
        <v>5022</v>
      </c>
      <c r="W33" s="262" t="n">
        <v>2580</v>
      </c>
      <c r="X33" s="262" t="n">
        <v>6112</v>
      </c>
      <c r="Y33" s="263" t="n">
        <v>7118</v>
      </c>
      <c r="AA33" s="768" t="n">
        <f aca="false">(2*V33+2*X33)/4</f>
        <v>5567</v>
      </c>
      <c r="AB33" s="262" t="n">
        <f aca="false">W33</f>
        <v>2580</v>
      </c>
      <c r="AC33" s="262" t="n">
        <f aca="false">W33</f>
        <v>2580</v>
      </c>
      <c r="AD33" s="262" t="n">
        <f aca="false">Y33</f>
        <v>7118</v>
      </c>
      <c r="AE33" s="262" t="n">
        <f aca="false">X33</f>
        <v>6112</v>
      </c>
      <c r="AF33" s="263" t="n">
        <f aca="false">W33</f>
        <v>2580</v>
      </c>
      <c r="AH33" s="768" t="n">
        <f aca="false">AA33*$A33*AA$9/1000</f>
        <v>5121.64</v>
      </c>
      <c r="AI33" s="262" t="n">
        <f aca="false">AB33*$A33*AB$9/1000</f>
        <v>3560.4</v>
      </c>
      <c r="AJ33" s="262" t="n">
        <f aca="false">AC33*$A33*AC$9/1000</f>
        <v>3560.4</v>
      </c>
      <c r="AK33" s="262" t="n">
        <f aca="false">AD33*$A33*AD$9/1000</f>
        <v>4911.42</v>
      </c>
      <c r="AL33" s="262" t="n">
        <f aca="false">AE33*$A33*AE$9/1000</f>
        <v>5623.04</v>
      </c>
      <c r="AM33" s="263" t="n">
        <f aca="false">AF33*$A33*AF$9/1000</f>
        <v>4747.2</v>
      </c>
      <c r="AP33" s="4"/>
      <c r="AQ33" s="4"/>
      <c r="AR33" s="4"/>
      <c r="AS33" s="4"/>
      <c r="AT33" s="4"/>
      <c r="AU33" s="345"/>
      <c r="AV33" s="345"/>
      <c r="BB33" s="1"/>
      <c r="BC33" s="1"/>
      <c r="BD33" s="1"/>
    </row>
    <row r="34" customFormat="false" ht="15.75" hidden="false" customHeight="false" outlineLevel="0" collapsed="false">
      <c r="A34" s="767" t="n">
        <f aca="false">A33+10</f>
        <v>240</v>
      </c>
      <c r="B34" s="768" t="n">
        <v>5265</v>
      </c>
      <c r="C34" s="262" t="n">
        <v>3137</v>
      </c>
      <c r="D34" s="262" t="n">
        <v>6393</v>
      </c>
      <c r="E34" s="263" t="n">
        <v>9120</v>
      </c>
      <c r="G34" s="768" t="n">
        <f aca="false">(2*B34+2*D34)/4</f>
        <v>5829</v>
      </c>
      <c r="H34" s="262" t="n">
        <f aca="false">C34</f>
        <v>3137</v>
      </c>
      <c r="I34" s="262" t="n">
        <f aca="false">C34</f>
        <v>3137</v>
      </c>
      <c r="J34" s="262" t="n">
        <f aca="false">E34</f>
        <v>9120</v>
      </c>
      <c r="K34" s="262" t="n">
        <f aca="false">D34</f>
        <v>6393</v>
      </c>
      <c r="L34" s="263" t="n">
        <f aca="false">C34</f>
        <v>3137</v>
      </c>
      <c r="N34" s="768" t="n">
        <f aca="false">G34*$A34*G$9/1000</f>
        <v>5595.84</v>
      </c>
      <c r="O34" s="262" t="n">
        <f aca="false">H34*$A34*H$9/1000</f>
        <v>4517.28</v>
      </c>
      <c r="P34" s="262" t="n">
        <f aca="false">I34*$A34*I$9/1000</f>
        <v>4517.28</v>
      </c>
      <c r="Q34" s="262" t="n">
        <f aca="false">J34*$A34*J$9/1000</f>
        <v>6566.4</v>
      </c>
      <c r="R34" s="262" t="n">
        <f aca="false">K34*$A34*K$9/1000</f>
        <v>6137.28</v>
      </c>
      <c r="S34" s="263" t="n">
        <f aca="false">L34*$A34*L$9/1000</f>
        <v>6023.04</v>
      </c>
      <c r="U34" s="767" t="n">
        <f aca="false">U33+10</f>
        <v>240</v>
      </c>
      <c r="V34" s="768" t="n">
        <v>5265</v>
      </c>
      <c r="W34" s="262" t="n">
        <v>3137</v>
      </c>
      <c r="X34" s="262" t="n">
        <v>6393</v>
      </c>
      <c r="Y34" s="263" t="n">
        <v>9120</v>
      </c>
      <c r="AA34" s="768" t="n">
        <f aca="false">(2*V34+2*X34)/4</f>
        <v>5829</v>
      </c>
      <c r="AB34" s="262" t="n">
        <f aca="false">W34</f>
        <v>3137</v>
      </c>
      <c r="AC34" s="262" t="n">
        <f aca="false">W34</f>
        <v>3137</v>
      </c>
      <c r="AD34" s="262" t="n">
        <f aca="false">Y34</f>
        <v>9120</v>
      </c>
      <c r="AE34" s="262" t="n">
        <f aca="false">X34</f>
        <v>6393</v>
      </c>
      <c r="AF34" s="263" t="n">
        <f aca="false">W34</f>
        <v>3137</v>
      </c>
      <c r="AH34" s="768" t="n">
        <f aca="false">AA34*$A34*AA$9/1000</f>
        <v>5595.84</v>
      </c>
      <c r="AI34" s="262" t="n">
        <f aca="false">AB34*$A34*AB$9/1000</f>
        <v>4517.28</v>
      </c>
      <c r="AJ34" s="262" t="n">
        <f aca="false">AC34*$A34*AC$9/1000</f>
        <v>4517.28</v>
      </c>
      <c r="AK34" s="262" t="n">
        <f aca="false">AD34*$A34*AD$9/1000</f>
        <v>6566.4</v>
      </c>
      <c r="AL34" s="262" t="n">
        <f aca="false">AE34*$A34*AE$9/1000</f>
        <v>6137.28</v>
      </c>
      <c r="AM34" s="263" t="n">
        <f aca="false">AF34*$A34*AF$9/1000</f>
        <v>6023.04</v>
      </c>
      <c r="AP34" s="4"/>
      <c r="AQ34" s="4"/>
      <c r="AR34" s="4"/>
      <c r="AS34" s="4"/>
      <c r="AT34" s="4"/>
      <c r="AU34" s="345"/>
      <c r="AV34" s="345"/>
      <c r="BB34" s="1"/>
      <c r="BC34" s="1"/>
      <c r="BD34" s="1"/>
    </row>
    <row r="35" customFormat="false" ht="16.5" hidden="false" customHeight="false" outlineLevel="0" collapsed="false">
      <c r="A35" s="772" t="n">
        <f aca="false">A34+10</f>
        <v>250</v>
      </c>
      <c r="B35" s="773" t="n">
        <v>5265</v>
      </c>
      <c r="C35" s="774" t="n">
        <v>3137</v>
      </c>
      <c r="D35" s="774" t="n">
        <v>6393</v>
      </c>
      <c r="E35" s="775" t="n">
        <v>9120</v>
      </c>
      <c r="G35" s="773" t="n">
        <f aca="false">(2*B35+2*D35)/4</f>
        <v>5829</v>
      </c>
      <c r="H35" s="774" t="n">
        <f aca="false">C35</f>
        <v>3137</v>
      </c>
      <c r="I35" s="774" t="n">
        <f aca="false">C35</f>
        <v>3137</v>
      </c>
      <c r="J35" s="774" t="n">
        <f aca="false">E35</f>
        <v>9120</v>
      </c>
      <c r="K35" s="774" t="n">
        <f aca="false">D35</f>
        <v>6393</v>
      </c>
      <c r="L35" s="775" t="n">
        <f aca="false">C35</f>
        <v>3137</v>
      </c>
      <c r="N35" s="776" t="n">
        <f aca="false">G35*$A35*G$9/1000</f>
        <v>5829</v>
      </c>
      <c r="O35" s="777" t="n">
        <f aca="false">H35*$A35*H$9/1000</f>
        <v>4705.5</v>
      </c>
      <c r="P35" s="777" t="n">
        <f aca="false">I35*$A35*I$9/1000</f>
        <v>4705.5</v>
      </c>
      <c r="Q35" s="777" t="n">
        <f aca="false">J35*$A35*J$9/1000</f>
        <v>6840</v>
      </c>
      <c r="R35" s="777" t="n">
        <f aca="false">K35*$A35*K$9/1000</f>
        <v>6393</v>
      </c>
      <c r="S35" s="778" t="n">
        <f aca="false">L35*$A35*L$9/1000</f>
        <v>6274</v>
      </c>
      <c r="U35" s="772" t="n">
        <f aca="false">U34+10</f>
        <v>250</v>
      </c>
      <c r="V35" s="773" t="n">
        <v>5265</v>
      </c>
      <c r="W35" s="774" t="n">
        <v>3137</v>
      </c>
      <c r="X35" s="774" t="n">
        <v>6393</v>
      </c>
      <c r="Y35" s="775" t="n">
        <v>9120</v>
      </c>
      <c r="AA35" s="773" t="n">
        <f aca="false">(2*V35+2*X35)/4</f>
        <v>5829</v>
      </c>
      <c r="AB35" s="774" t="n">
        <f aca="false">W35</f>
        <v>3137</v>
      </c>
      <c r="AC35" s="774" t="n">
        <f aca="false">W35</f>
        <v>3137</v>
      </c>
      <c r="AD35" s="774" t="n">
        <f aca="false">Y35</f>
        <v>9120</v>
      </c>
      <c r="AE35" s="774" t="n">
        <f aca="false">X35</f>
        <v>6393</v>
      </c>
      <c r="AF35" s="775" t="n">
        <f aca="false">W35</f>
        <v>3137</v>
      </c>
      <c r="AH35" s="773" t="n">
        <f aca="false">AA35*$A35*AA$9/1000</f>
        <v>5829</v>
      </c>
      <c r="AI35" s="774" t="n">
        <f aca="false">AB35*$A35*AB$9/1000</f>
        <v>4705.5</v>
      </c>
      <c r="AJ35" s="774" t="n">
        <f aca="false">AC35*$A35*AC$9/1000</f>
        <v>4705.5</v>
      </c>
      <c r="AK35" s="774" t="n">
        <f aca="false">AD35*$A35*AD$9/1000</f>
        <v>6840</v>
      </c>
      <c r="AL35" s="774" t="n">
        <f aca="false">AE35*$A35*AE$9/1000</f>
        <v>6393</v>
      </c>
      <c r="AM35" s="775" t="n">
        <f aca="false">AF35*$A35*AF$9/1000</f>
        <v>6274</v>
      </c>
      <c r="AP35" s="4"/>
      <c r="AQ35" s="4"/>
      <c r="AR35" s="4"/>
      <c r="AS35" s="4"/>
      <c r="AT35" s="4"/>
      <c r="AU35" s="345"/>
      <c r="AV35" s="345"/>
      <c r="BB35" s="1"/>
      <c r="BC35" s="1"/>
      <c r="BD35" s="1"/>
    </row>
    <row r="36" customFormat="false" ht="15.75" hidden="false" customHeight="false" outlineLevel="0" collapsed="false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1"/>
      <c r="AX36" s="1"/>
      <c r="AY36" s="1"/>
      <c r="AZ36" s="1"/>
      <c r="BA36" s="1"/>
      <c r="BB36" s="1"/>
      <c r="BC36" s="1"/>
      <c r="BD36" s="1"/>
    </row>
    <row r="37" customFormat="false" ht="15.75" hidden="false" customHeight="false" outlineLevel="0" collapsed="false">
      <c r="A37" s="745"/>
      <c r="B37" s="745"/>
      <c r="C37" s="745"/>
      <c r="D37" s="745"/>
      <c r="E37" s="745"/>
      <c r="F37" s="745"/>
      <c r="G37" s="4"/>
      <c r="H37" s="745"/>
      <c r="I37" s="745"/>
      <c r="J37" s="745"/>
      <c r="K37" s="745"/>
      <c r="L37" s="745"/>
      <c r="M37" s="745"/>
      <c r="N37" s="4"/>
      <c r="O37" s="745"/>
      <c r="P37" s="745"/>
      <c r="Q37" s="745"/>
      <c r="R37" s="745"/>
      <c r="S37" s="745"/>
      <c r="T37" s="745"/>
      <c r="U37" s="4"/>
      <c r="V37" s="4"/>
      <c r="W37" s="4"/>
      <c r="X37" s="4"/>
      <c r="Y37" s="4"/>
      <c r="Z37" s="4"/>
      <c r="AA37" s="4"/>
      <c r="AB37" s="745"/>
      <c r="AC37" s="745"/>
      <c r="AD37" s="745"/>
      <c r="AE37" s="745"/>
      <c r="AF37" s="745"/>
      <c r="AG37" s="745"/>
      <c r="AH37" s="4"/>
      <c r="AI37" s="745"/>
      <c r="AJ37" s="745"/>
      <c r="AK37" s="745"/>
      <c r="AL37" s="745"/>
      <c r="AM37" s="745"/>
      <c r="AN37" s="745"/>
      <c r="AO37" s="4"/>
      <c r="AP37" s="745"/>
      <c r="AQ37" s="745"/>
      <c r="AR37" s="745"/>
      <c r="AS37" s="745"/>
      <c r="AT37" s="745"/>
      <c r="AU37" s="4"/>
      <c r="AV37" s="4"/>
      <c r="AW37" s="1"/>
      <c r="AX37" s="1"/>
      <c r="AY37" s="1"/>
      <c r="AZ37" s="1"/>
      <c r="BA37" s="1"/>
      <c r="BB37" s="1"/>
      <c r="BC37" s="1"/>
      <c r="BD37" s="1"/>
    </row>
    <row r="68" customFormat="false" ht="15.75" hidden="false" customHeight="false" outlineLevel="0" collapsed="false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345"/>
      <c r="AQ68" s="345"/>
      <c r="AR68" s="345"/>
      <c r="AS68" s="345"/>
      <c r="AT68" s="345"/>
      <c r="AU68" s="345"/>
      <c r="AV68" s="345"/>
      <c r="AZ68" s="1"/>
      <c r="BA68" s="1"/>
      <c r="BB68" s="1"/>
      <c r="BC68" s="1"/>
      <c r="BD68" s="1"/>
    </row>
    <row r="69" customFormat="false" ht="15.75" hidden="false" customHeight="false" outlineLevel="0" collapsed="false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345"/>
      <c r="AQ69" s="345"/>
      <c r="AR69" s="345"/>
      <c r="AS69" s="345"/>
      <c r="AT69" s="345"/>
      <c r="AU69" s="345"/>
      <c r="AV69" s="345"/>
      <c r="AZ69" s="1"/>
      <c r="BA69" s="1"/>
      <c r="BB69" s="1"/>
      <c r="BC69" s="1"/>
      <c r="BD69" s="1"/>
    </row>
    <row r="70" customFormat="false" ht="15.75" hidden="false" customHeight="false" outlineLevel="0" collapsed="false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345"/>
      <c r="AQ70" s="345"/>
      <c r="AR70" s="345"/>
      <c r="AS70" s="345"/>
      <c r="AT70" s="345"/>
      <c r="AU70" s="345"/>
      <c r="AV70" s="345"/>
      <c r="AZ70" s="1"/>
      <c r="BA70" s="1"/>
      <c r="BB70" s="1"/>
      <c r="BC70" s="1"/>
      <c r="BD70" s="1"/>
    </row>
    <row r="71" customFormat="false" ht="15.75" hidden="false" customHeight="false" outlineLevel="0" collapsed="false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345"/>
      <c r="AQ71" s="345"/>
      <c r="AR71" s="345"/>
      <c r="AS71" s="345"/>
      <c r="AT71" s="345"/>
      <c r="AU71" s="345"/>
      <c r="AV71" s="345"/>
      <c r="AZ71" s="1"/>
      <c r="BA71" s="1"/>
      <c r="BB71" s="1"/>
      <c r="BC71" s="1"/>
      <c r="BD71" s="1"/>
    </row>
    <row r="72" customFormat="false" ht="15.75" hidden="false" customHeight="false" outlineLevel="0" collapsed="false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345"/>
      <c r="AQ72" s="345"/>
      <c r="AR72" s="345"/>
      <c r="AS72" s="345"/>
      <c r="AT72" s="345"/>
      <c r="AU72" s="345"/>
      <c r="AV72" s="345"/>
      <c r="AZ72" s="1"/>
      <c r="BA72" s="1"/>
      <c r="BB72" s="1"/>
      <c r="BC72" s="1"/>
      <c r="BD72" s="1"/>
    </row>
    <row r="73" customFormat="false" ht="15.75" hidden="false" customHeight="false" outlineLevel="0" collapsed="false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345"/>
      <c r="AQ73" s="345"/>
      <c r="AR73" s="345"/>
      <c r="AS73" s="345"/>
      <c r="AT73" s="345"/>
      <c r="AU73" s="345"/>
      <c r="AV73" s="345"/>
      <c r="AZ73" s="1"/>
      <c r="BA73" s="1"/>
      <c r="BB73" s="1"/>
      <c r="BC73" s="1"/>
      <c r="BD73" s="1"/>
    </row>
    <row r="74" customFormat="false" ht="15.75" hidden="false" customHeight="false" outlineLevel="0" collapsed="false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345"/>
      <c r="AQ74" s="345"/>
      <c r="AR74" s="345"/>
      <c r="AS74" s="345"/>
      <c r="AT74" s="345"/>
      <c r="AU74" s="345"/>
      <c r="AV74" s="345"/>
      <c r="AZ74" s="1"/>
      <c r="BA74" s="1"/>
      <c r="BB74" s="1"/>
      <c r="BC74" s="1"/>
      <c r="BD74" s="1"/>
    </row>
    <row r="75" customFormat="false" ht="15.75" hidden="false" customHeight="false" outlineLevel="0" collapsed="false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345"/>
      <c r="AQ75" s="345"/>
      <c r="AR75" s="345"/>
      <c r="AS75" s="345"/>
      <c r="AT75" s="345"/>
      <c r="AU75" s="345"/>
      <c r="AV75" s="345"/>
      <c r="AZ75" s="1"/>
      <c r="BA75" s="1"/>
      <c r="BB75" s="1"/>
      <c r="BC75" s="1"/>
      <c r="BD75" s="1"/>
    </row>
    <row r="76" customFormat="false" ht="15.75" hidden="false" customHeight="false" outlineLevel="0" collapsed="false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345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345"/>
      <c r="AQ76" s="345"/>
      <c r="AR76" s="345"/>
      <c r="AS76" s="345"/>
      <c r="AT76" s="345"/>
      <c r="AU76" s="345"/>
      <c r="AV76" s="345"/>
      <c r="AZ76" s="1"/>
      <c r="BA76" s="1"/>
      <c r="BB76" s="1"/>
      <c r="BC76" s="1"/>
      <c r="BD76" s="1"/>
    </row>
    <row r="77" customFormat="false" ht="15.75" hidden="false" customHeight="false" outlineLevel="0" collapsed="false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345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345"/>
      <c r="AQ77" s="345"/>
      <c r="AR77" s="345"/>
      <c r="AS77" s="345"/>
      <c r="AT77" s="345"/>
      <c r="AU77" s="345"/>
      <c r="AV77" s="345"/>
      <c r="AZ77" s="1"/>
      <c r="BA77" s="1"/>
      <c r="BB77" s="1"/>
      <c r="BC77" s="1"/>
      <c r="BD77" s="1"/>
    </row>
    <row r="78" customFormat="false" ht="15" hidden="false" customHeight="false" outlineLevel="0" collapsed="false">
      <c r="A78" s="345"/>
      <c r="B78" s="345"/>
      <c r="C78" s="345"/>
      <c r="D78" s="345"/>
      <c r="E78" s="345"/>
      <c r="F78" s="345"/>
      <c r="G78" s="345"/>
      <c r="H78" s="345"/>
      <c r="I78" s="345"/>
      <c r="J78" s="345"/>
      <c r="K78" s="345"/>
      <c r="L78" s="345"/>
      <c r="M78" s="345"/>
      <c r="N78" s="345"/>
      <c r="O78" s="345"/>
      <c r="P78" s="345"/>
      <c r="Q78" s="345"/>
      <c r="R78" s="345"/>
      <c r="S78" s="345"/>
      <c r="T78" s="345"/>
      <c r="U78" s="345"/>
      <c r="V78" s="345"/>
      <c r="W78" s="345"/>
      <c r="X78" s="345"/>
      <c r="Y78" s="345"/>
      <c r="Z78" s="345"/>
      <c r="AA78" s="345"/>
      <c r="AB78" s="345"/>
      <c r="AC78" s="345"/>
      <c r="AD78" s="345"/>
      <c r="AE78" s="345"/>
      <c r="AF78" s="345"/>
      <c r="AG78" s="345"/>
      <c r="AH78" s="345"/>
      <c r="AI78" s="345"/>
      <c r="AJ78" s="345"/>
      <c r="AK78" s="345"/>
      <c r="AL78" s="345"/>
      <c r="AM78" s="345"/>
      <c r="AN78" s="345"/>
      <c r="AO78" s="345"/>
      <c r="AP78" s="345"/>
      <c r="AQ78" s="345"/>
      <c r="AR78" s="345"/>
      <c r="AS78" s="345"/>
      <c r="AT78" s="345"/>
      <c r="AU78" s="345"/>
      <c r="AV78" s="345"/>
    </row>
    <row r="79" customFormat="false" ht="15" hidden="false" customHeight="false" outlineLevel="0" collapsed="false">
      <c r="A79" s="345"/>
      <c r="B79" s="345"/>
      <c r="C79" s="345"/>
      <c r="D79" s="345"/>
      <c r="E79" s="345"/>
      <c r="F79" s="345"/>
      <c r="G79" s="345"/>
      <c r="H79" s="345"/>
      <c r="I79" s="345"/>
      <c r="J79" s="345"/>
      <c r="K79" s="345"/>
      <c r="L79" s="345"/>
      <c r="M79" s="345"/>
      <c r="N79" s="345"/>
      <c r="O79" s="345"/>
      <c r="P79" s="345"/>
      <c r="Q79" s="345"/>
      <c r="R79" s="345"/>
      <c r="S79" s="345"/>
      <c r="T79" s="345"/>
      <c r="U79" s="345"/>
      <c r="V79" s="345"/>
      <c r="W79" s="345"/>
      <c r="X79" s="345"/>
      <c r="Y79" s="345"/>
      <c r="Z79" s="345"/>
      <c r="AA79" s="345"/>
      <c r="AB79" s="345"/>
      <c r="AC79" s="345"/>
      <c r="AD79" s="345"/>
      <c r="AE79" s="345"/>
      <c r="AF79" s="345"/>
      <c r="AG79" s="345"/>
      <c r="AH79" s="345"/>
      <c r="AI79" s="345"/>
      <c r="AJ79" s="345"/>
      <c r="AK79" s="345"/>
      <c r="AL79" s="345"/>
      <c r="AM79" s="345"/>
      <c r="AN79" s="345"/>
      <c r="AO79" s="345"/>
      <c r="AP79" s="345"/>
      <c r="AQ79" s="345"/>
      <c r="AR79" s="345"/>
      <c r="AS79" s="345"/>
      <c r="AT79" s="345"/>
      <c r="AU79" s="345"/>
      <c r="AV79" s="345"/>
    </row>
    <row r="80" customFormat="false" ht="15" hidden="false" customHeight="false" outlineLevel="0" collapsed="false">
      <c r="A80" s="345"/>
      <c r="B80" s="345"/>
      <c r="C80" s="345"/>
      <c r="D80" s="345"/>
      <c r="E80" s="345"/>
      <c r="F80" s="345"/>
      <c r="G80" s="345"/>
      <c r="H80" s="345"/>
      <c r="I80" s="345"/>
      <c r="J80" s="345"/>
      <c r="K80" s="345"/>
      <c r="L80" s="345"/>
      <c r="M80" s="345"/>
      <c r="N80" s="345"/>
      <c r="O80" s="345"/>
      <c r="P80" s="345"/>
      <c r="Q80" s="345"/>
      <c r="R80" s="345"/>
      <c r="S80" s="345"/>
      <c r="T80" s="345"/>
      <c r="U80" s="345"/>
      <c r="V80" s="345"/>
      <c r="W80" s="345"/>
      <c r="X80" s="345"/>
      <c r="Y80" s="345"/>
      <c r="Z80" s="345"/>
      <c r="AA80" s="345"/>
      <c r="AB80" s="345"/>
      <c r="AC80" s="345"/>
      <c r="AD80" s="345"/>
      <c r="AE80" s="345"/>
      <c r="AF80" s="345"/>
      <c r="AG80" s="345"/>
      <c r="AH80" s="345"/>
      <c r="AI80" s="345"/>
      <c r="AJ80" s="345"/>
      <c r="AK80" s="345"/>
      <c r="AL80" s="345"/>
      <c r="AM80" s="345"/>
      <c r="AN80" s="345"/>
      <c r="AO80" s="345"/>
      <c r="AP80" s="345"/>
      <c r="AQ80" s="345"/>
      <c r="AR80" s="345"/>
      <c r="AS80" s="345"/>
      <c r="AT80" s="345"/>
      <c r="AU80" s="345"/>
      <c r="AV80" s="345"/>
    </row>
    <row r="81" customFormat="false" ht="15" hidden="false" customHeight="false" outlineLevel="0" collapsed="false">
      <c r="A81" s="345"/>
      <c r="B81" s="345"/>
      <c r="C81" s="345"/>
      <c r="D81" s="345"/>
      <c r="E81" s="345"/>
      <c r="F81" s="345"/>
      <c r="G81" s="345"/>
      <c r="H81" s="345"/>
      <c r="I81" s="345"/>
      <c r="J81" s="345"/>
      <c r="K81" s="345"/>
      <c r="L81" s="345"/>
      <c r="M81" s="345"/>
      <c r="N81" s="345"/>
      <c r="O81" s="345"/>
      <c r="P81" s="345"/>
      <c r="Q81" s="345"/>
      <c r="R81" s="345"/>
      <c r="S81" s="345"/>
      <c r="T81" s="345"/>
      <c r="U81" s="345"/>
      <c r="V81" s="345"/>
      <c r="W81" s="345"/>
      <c r="X81" s="345"/>
      <c r="Y81" s="345"/>
      <c r="Z81" s="345"/>
      <c r="AA81" s="345"/>
      <c r="AB81" s="345"/>
      <c r="AC81" s="345"/>
      <c r="AD81" s="345"/>
      <c r="AE81" s="345"/>
      <c r="AF81" s="345"/>
      <c r="AG81" s="345"/>
      <c r="AH81" s="345"/>
      <c r="AI81" s="345"/>
      <c r="AJ81" s="345"/>
      <c r="AK81" s="345"/>
      <c r="AL81" s="345"/>
      <c r="AM81" s="345"/>
      <c r="AN81" s="345"/>
      <c r="AO81" s="345"/>
      <c r="AP81" s="345"/>
      <c r="AQ81" s="345"/>
      <c r="AR81" s="345"/>
      <c r="AS81" s="345"/>
      <c r="AT81" s="345"/>
      <c r="AU81" s="345"/>
      <c r="AV81" s="345"/>
    </row>
  </sheetData>
  <mergeCells count="8">
    <mergeCell ref="B6:E6"/>
    <mergeCell ref="G6:L6"/>
    <mergeCell ref="N6:S6"/>
    <mergeCell ref="V6:Y6"/>
    <mergeCell ref="AA6:AF6"/>
    <mergeCell ref="AH6:AM6"/>
    <mergeCell ref="G8:L8"/>
    <mergeCell ref="AA8:AF8"/>
  </mergeCells>
  <printOptions headings="false" gridLines="false" gridLinesSet="true" horizontalCentered="false" verticalCentered="false"/>
  <pageMargins left="0.747916666666667" right="0.747916666666667" top="0.419444444444444" bottom="0.984027777777778" header="0.209722222222222" footer="0.511811023622047"/>
  <pageSetup paperSize="1" scale="37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/>
  </headerFooter>
  <colBreaks count="1" manualBreakCount="1">
    <brk id="19" man="true" max="65535" min="0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P24"/>
  <sheetViews>
    <sheetView showFormulas="false" showGridLines="true" showRowColHeaders="true" showZeros="true" rightToLeft="false" tabSelected="false" showOutlineSymbols="true" defaultGridColor="true" view="normal" topLeftCell="C1" colorId="64" zoomScale="75" zoomScaleNormal="75" zoomScalePageLayoutView="100" workbookViewId="0">
      <selection pane="topLeft" activeCell="I21" activeCellId="0" sqref="I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84"/>
    <col collapsed="false" customWidth="true" hidden="false" outlineLevel="0" max="2" min="2" style="0" width="47.56"/>
    <col collapsed="false" customWidth="true" hidden="false" outlineLevel="0" max="3" min="3" style="0" width="11.42"/>
    <col collapsed="false" customWidth="true" hidden="false" outlineLevel="0" max="5" min="5" style="0" width="33.41"/>
    <col collapsed="false" customWidth="true" hidden="false" outlineLevel="0" max="7" min="7" style="0" width="33.28"/>
    <col collapsed="false" customWidth="true" hidden="false" outlineLevel="0" max="9" min="9" style="0" width="47.7"/>
    <col collapsed="false" customWidth="true" hidden="false" outlineLevel="0" max="11" min="11" style="0" width="47.7"/>
    <col collapsed="false" customWidth="true" hidden="false" outlineLevel="0" max="13" min="13" style="0" width="17.99"/>
    <col collapsed="false" customWidth="true" hidden="false" outlineLevel="0" max="19" min="19" style="0" width="8.28"/>
  </cols>
  <sheetData>
    <row r="2" customFormat="false" ht="20.25" hidden="false" customHeight="false" outlineLevel="0" collapsed="false">
      <c r="A2" s="2" t="s">
        <v>506</v>
      </c>
      <c r="B2" s="15"/>
    </row>
    <row r="3" customFormat="false" ht="20.25" hidden="false" customHeight="false" outlineLevel="0" collapsed="false">
      <c r="A3" s="779"/>
      <c r="B3" s="15"/>
    </row>
    <row r="4" customFormat="false" ht="12.75" hidden="false" customHeight="false" outlineLevel="0" collapsed="false">
      <c r="B4" s="780" t="s">
        <v>507</v>
      </c>
      <c r="C4" s="780" t="s">
        <v>508</v>
      </c>
      <c r="D4" s="780"/>
      <c r="E4" s="780" t="s">
        <v>509</v>
      </c>
      <c r="F4" s="780"/>
      <c r="G4" s="780" t="s">
        <v>510</v>
      </c>
      <c r="H4" s="781"/>
      <c r="I4" s="780" t="s">
        <v>511</v>
      </c>
      <c r="J4" s="781"/>
      <c r="K4" s="780" t="s">
        <v>512</v>
      </c>
    </row>
    <row r="5" customFormat="false" ht="12.75" hidden="false" customHeight="false" outlineLevel="0" collapsed="false">
      <c r="G5" s="318"/>
      <c r="I5" s="782"/>
      <c r="M5" s="318"/>
    </row>
    <row r="6" customFormat="false" ht="12.75" hidden="false" customHeight="false" outlineLevel="0" collapsed="false">
      <c r="G6" s="318"/>
      <c r="I6" s="783"/>
      <c r="M6" s="318"/>
    </row>
    <row r="7" customFormat="false" ht="12.75" hidden="false" customHeight="false" outlineLevel="0" collapsed="false">
      <c r="B7" s="433" t="s">
        <v>128</v>
      </c>
      <c r="C7" s="784" t="n">
        <f aca="false">Assumptions!L44</f>
        <v>0.06</v>
      </c>
      <c r="D7" s="785"/>
      <c r="E7" s="786" t="n">
        <f aca="false">Assumptions!L9</f>
        <v>500</v>
      </c>
      <c r="F7" s="324"/>
      <c r="G7" s="787" t="n">
        <f aca="false">E7/$E$10*$G$10</f>
        <v>0.139958012596221</v>
      </c>
      <c r="H7" s="788"/>
      <c r="I7" s="789" t="n">
        <v>0.156954797429114</v>
      </c>
      <c r="K7" s="784" t="n">
        <f aca="false">I7/$I$10</f>
        <v>0.351126214420323</v>
      </c>
      <c r="M7" s="787"/>
      <c r="N7" s="318"/>
      <c r="P7" s="318"/>
    </row>
    <row r="8" customFormat="false" ht="12.75" hidden="false" customHeight="false" outlineLevel="0" collapsed="false">
      <c r="B8" s="433" t="s">
        <v>129</v>
      </c>
      <c r="C8" s="784" t="n">
        <f aca="false">Assumptions!M44</f>
        <v>0.05</v>
      </c>
      <c r="D8" s="785"/>
      <c r="E8" s="786" t="n">
        <f aca="false">Assumptions!M9</f>
        <v>504</v>
      </c>
      <c r="F8" s="324"/>
      <c r="G8" s="787" t="n">
        <f aca="false">E8/$E$10*$G$10</f>
        <v>0.141077676696991</v>
      </c>
      <c r="H8" s="788"/>
      <c r="I8" s="789" t="n">
        <v>0.157379452615265</v>
      </c>
      <c r="K8" s="784" t="n">
        <f aca="false">I8/$I$10</f>
        <v>0.352076217672147</v>
      </c>
      <c r="M8" s="787"/>
      <c r="N8" s="318"/>
      <c r="P8" s="318"/>
    </row>
    <row r="9" customFormat="false" ht="12.75" hidden="false" customHeight="false" outlineLevel="0" collapsed="false">
      <c r="B9" s="433" t="s">
        <v>130</v>
      </c>
      <c r="C9" s="784" t="n">
        <f aca="false">Assumptions!N44</f>
        <v>0.05</v>
      </c>
      <c r="D9" s="785"/>
      <c r="E9" s="790" t="n">
        <f aca="false">Assumptions!N9</f>
        <v>425</v>
      </c>
      <c r="F9" s="334"/>
      <c r="G9" s="791" t="n">
        <f aca="false">E9/$E$10*$G$10</f>
        <v>0.118964310706788</v>
      </c>
      <c r="H9" s="788"/>
      <c r="I9" s="792" t="n">
        <v>0.132669678979354</v>
      </c>
      <c r="K9" s="793" t="n">
        <f aca="false">I9/$I$10</f>
        <v>0.296797567907531</v>
      </c>
      <c r="M9" s="787"/>
      <c r="N9" s="318"/>
      <c r="P9" s="318"/>
    </row>
    <row r="10" customFormat="false" ht="12.75" hidden="false" customHeight="false" outlineLevel="0" collapsed="false">
      <c r="B10" s="794" t="s">
        <v>513</v>
      </c>
      <c r="D10" s="785"/>
      <c r="E10" s="795" t="n">
        <f aca="false">SUM(E7:E9)</f>
        <v>1429</v>
      </c>
      <c r="F10" s="324"/>
      <c r="G10" s="787" t="n">
        <v>0.4</v>
      </c>
      <c r="H10" s="788"/>
      <c r="I10" s="789" t="n">
        <f aca="false">SUM(I7:I9)</f>
        <v>0.447003929023733</v>
      </c>
      <c r="K10" s="784" t="n">
        <f aca="false">SUM(K7:K9)</f>
        <v>1</v>
      </c>
      <c r="M10" s="318"/>
      <c r="N10" s="318"/>
      <c r="P10" s="318"/>
    </row>
    <row r="11" customFormat="false" ht="12.75" hidden="false" customHeight="false" outlineLevel="0" collapsed="false">
      <c r="B11" s="794"/>
      <c r="D11" s="785"/>
      <c r="E11" s="796"/>
      <c r="G11" s="787"/>
      <c r="H11" s="788"/>
      <c r="I11" s="789"/>
      <c r="K11" s="784"/>
      <c r="M11" s="318"/>
      <c r="N11" s="318"/>
      <c r="P11" s="318"/>
    </row>
    <row r="12" customFormat="false" ht="12.75" hidden="false" customHeight="false" outlineLevel="0" collapsed="false">
      <c r="B12" s="433" t="s">
        <v>131</v>
      </c>
      <c r="C12" s="784" t="n">
        <f aca="false">Assumptions!P44</f>
        <v>0.0825</v>
      </c>
      <c r="D12" s="785"/>
      <c r="E12" s="786" t="n">
        <f aca="false">Assumptions!P9</f>
        <v>544</v>
      </c>
      <c r="F12" s="324"/>
      <c r="G12" s="787" t="n">
        <f aca="false">E12/$E$15*$G$15</f>
        <v>0.188670520231214</v>
      </c>
      <c r="H12" s="788"/>
      <c r="I12" s="789" t="n">
        <v>0.167478389582926</v>
      </c>
      <c r="K12" s="784" t="n">
        <f aca="false">I12/$I$15</f>
        <v>0.302856382482532</v>
      </c>
      <c r="M12" s="787"/>
      <c r="N12" s="318"/>
      <c r="P12" s="318"/>
    </row>
    <row r="13" customFormat="false" ht="12.75" hidden="false" customHeight="false" outlineLevel="0" collapsed="false">
      <c r="B13" s="433" t="s">
        <v>133</v>
      </c>
      <c r="C13" s="784" t="n">
        <f aca="false">Assumptions!R44</f>
        <v>0.0718</v>
      </c>
      <c r="D13" s="785"/>
      <c r="E13" s="786" t="n">
        <f aca="false">Assumptions!R9</f>
        <v>672</v>
      </c>
      <c r="F13" s="324"/>
      <c r="G13" s="787" t="n">
        <f aca="false">E13/$E$15*$G$15</f>
        <v>0.233063583815029</v>
      </c>
      <c r="H13" s="788"/>
      <c r="I13" s="789" t="n">
        <v>0.220505757379739</v>
      </c>
      <c r="K13" s="784" t="n">
        <f aca="false">I13/$I$15</f>
        <v>0.398747421460799</v>
      </c>
      <c r="M13" s="787"/>
      <c r="N13" s="318"/>
      <c r="P13" s="318"/>
    </row>
    <row r="14" customFormat="false" ht="12.75" hidden="false" customHeight="false" outlineLevel="0" collapsed="false">
      <c r="B14" s="433" t="s">
        <v>132</v>
      </c>
      <c r="C14" s="784" t="n">
        <f aca="false">Assumptions!Q44</f>
        <v>0.045</v>
      </c>
      <c r="D14" s="785"/>
      <c r="E14" s="790" t="n">
        <f aca="false">Assumptions!Q9</f>
        <v>514</v>
      </c>
      <c r="F14" s="334"/>
      <c r="G14" s="791" t="n">
        <f aca="false">E14/$E$15*$G$15</f>
        <v>0.178265895953757</v>
      </c>
      <c r="H14" s="788"/>
      <c r="I14" s="792" t="n">
        <v>0.165011924013602</v>
      </c>
      <c r="K14" s="793" t="n">
        <f aca="false">I14/$I$15</f>
        <v>0.298396196056669</v>
      </c>
      <c r="M14" s="787"/>
      <c r="N14" s="318"/>
      <c r="P14" s="318"/>
    </row>
    <row r="15" customFormat="false" ht="12.75" hidden="false" customHeight="false" outlineLevel="0" collapsed="false">
      <c r="B15" s="794" t="s">
        <v>513</v>
      </c>
      <c r="E15" s="795" t="n">
        <f aca="false">SUM(E12:E14)</f>
        <v>1730</v>
      </c>
      <c r="F15" s="324"/>
      <c r="G15" s="787" t="n">
        <v>0.6</v>
      </c>
      <c r="H15" s="788"/>
      <c r="I15" s="789" t="n">
        <f aca="false">SUM(I12:I14)</f>
        <v>0.552996070976267</v>
      </c>
      <c r="K15" s="784" t="n">
        <f aca="false">SUM(K12:K14)</f>
        <v>1</v>
      </c>
      <c r="M15" s="318"/>
      <c r="N15" s="318"/>
      <c r="P15" s="318"/>
    </row>
    <row r="16" customFormat="false" ht="12.75" hidden="false" customHeight="false" outlineLevel="0" collapsed="false">
      <c r="B16" s="794"/>
      <c r="E16" s="796"/>
      <c r="G16" s="797"/>
      <c r="H16" s="788"/>
      <c r="I16" s="789"/>
      <c r="M16" s="318"/>
      <c r="N16" s="318"/>
      <c r="P16" s="318"/>
    </row>
    <row r="17" customFormat="false" ht="13.5" hidden="false" customHeight="false" outlineLevel="0" collapsed="false">
      <c r="B17" s="433" t="s">
        <v>159</v>
      </c>
      <c r="C17" s="798" t="n">
        <f aca="false">SUMPRODUCT(C7:C9,I7:I9)+SUMPRODUCT(C12:C14,I12:I14)</f>
        <v>0.0609945615265465</v>
      </c>
      <c r="D17" s="799"/>
      <c r="E17" s="799" t="n">
        <f aca="false">E15+E10</f>
        <v>3159</v>
      </c>
      <c r="F17" s="800"/>
      <c r="G17" s="801" t="n">
        <f aca="false">G15+G10</f>
        <v>1</v>
      </c>
      <c r="H17" s="802"/>
      <c r="I17" s="803" t="n">
        <f aca="false">I15+I10</f>
        <v>1</v>
      </c>
      <c r="J17" s="803"/>
      <c r="K17" s="803"/>
      <c r="M17" s="804"/>
      <c r="N17" s="318"/>
      <c r="P17" s="318"/>
    </row>
    <row r="18" customFormat="false" ht="13.5" hidden="false" customHeight="false" outlineLevel="0" collapsed="false">
      <c r="E18" s="318"/>
      <c r="M18" s="318"/>
      <c r="N18" s="318"/>
      <c r="P18" s="318"/>
    </row>
    <row r="19" customFormat="false" ht="12.75" hidden="false" customHeight="false" outlineLevel="0" collapsed="false">
      <c r="M19" s="318"/>
      <c r="N19" s="318"/>
      <c r="O19" s="318"/>
      <c r="P19" s="318"/>
    </row>
    <row r="20" customFormat="false" ht="12.75" hidden="false" customHeight="false" outlineLevel="0" collapsed="false">
      <c r="B20" s="794" t="s">
        <v>514</v>
      </c>
      <c r="D20" s="786"/>
      <c r="E20" s="786"/>
      <c r="F20" s="786"/>
      <c r="K20" s="805"/>
      <c r="L20" s="805"/>
      <c r="M20" s="805"/>
      <c r="N20" s="805"/>
      <c r="O20" s="806"/>
    </row>
    <row r="21" customFormat="false" ht="12.75" hidden="false" customHeight="false" outlineLevel="0" collapsed="false">
      <c r="B21" s="794"/>
      <c r="D21" s="786"/>
      <c r="E21" s="786"/>
      <c r="F21" s="786"/>
      <c r="H21" s="805"/>
      <c r="I21" s="785"/>
      <c r="J21" s="805"/>
    </row>
    <row r="22" customFormat="false" ht="12.75" hidden="false" customHeight="false" outlineLevel="0" collapsed="false">
      <c r="B22" s="0" t="s">
        <v>515</v>
      </c>
      <c r="C22" s="807" t="n">
        <v>0.00347</v>
      </c>
      <c r="I22" s="785"/>
    </row>
    <row r="23" customFormat="false" ht="12.75" hidden="false" customHeight="false" outlineLevel="0" collapsed="false">
      <c r="C23" s="808"/>
    </row>
    <row r="24" customFormat="false" ht="12.75" hidden="false" customHeight="false" outlineLevel="0" collapsed="false">
      <c r="B24" s="0" t="s">
        <v>516</v>
      </c>
      <c r="C24" s="807" t="n">
        <v>0.00617</v>
      </c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43" fitToWidth="1" fitToHeight="1" pageOrder="downThenOver" orientation="landscape" blackAndWhite="false" draft="false" cellComments="none" horizontalDpi="300" verticalDpi="300" copies="1"/>
  <headerFooter differentFirst="false" differentOddEven="false">
    <oddHeader>&amp;LEnron Generation Company</oddHeader>
    <oddFooter>&amp;L&amp;T, &amp;D&amp;C&amp;F&amp;RPage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W95"/>
  <sheetViews>
    <sheetView showFormulas="false" showGridLines="true" showRowColHeaders="true" showZeros="true" rightToLeft="false" tabSelected="false" showOutlineSymbols="true" defaultGridColor="true" view="normal" topLeftCell="A2" colorId="64" zoomScale="75" zoomScaleNormal="75" zoomScalePageLayoutView="100" workbookViewId="0">
      <selection pane="topLeft" activeCell="C18" activeCellId="0" sqref="C1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52.7"/>
    <col collapsed="false" customWidth="true" hidden="false" outlineLevel="0" max="2" min="2" style="1" width="19.28"/>
    <col collapsed="false" customWidth="true" hidden="false" outlineLevel="0" max="3" min="3" style="1" width="20.7"/>
    <col collapsed="false" customWidth="true" hidden="false" outlineLevel="0" max="4" min="4" style="1" width="17.85"/>
    <col collapsed="false" customWidth="true" hidden="false" outlineLevel="0" max="5" min="5" style="1" width="20.13"/>
    <col collapsed="false" customWidth="true" hidden="false" outlineLevel="0" max="6" min="6" style="1" width="20.28"/>
    <col collapsed="false" customWidth="true" hidden="false" outlineLevel="0" max="8" min="7" style="1" width="17.7"/>
    <col collapsed="false" customWidth="true" hidden="false" outlineLevel="0" max="9" min="9" style="1" width="12.14"/>
    <col collapsed="false" customWidth="true" hidden="false" outlineLevel="0" max="10" min="10" style="1" width="14.14"/>
    <col collapsed="false" customWidth="true" hidden="false" outlineLevel="0" max="11" min="11" style="1" width="40.13"/>
    <col collapsed="false" customWidth="true" hidden="false" outlineLevel="0" max="13" min="12" style="1" width="14.41"/>
    <col collapsed="false" customWidth="true" hidden="false" outlineLevel="0" max="14" min="14" style="1" width="13.85"/>
    <col collapsed="false" customWidth="true" hidden="false" outlineLevel="0" max="15" min="15" style="1" width="5.13"/>
    <col collapsed="false" customWidth="true" hidden="false" outlineLevel="0" max="17" min="16" style="1" width="14.41"/>
    <col collapsed="false" customWidth="true" hidden="false" outlineLevel="0" max="18" min="18" style="1" width="12.28"/>
    <col collapsed="false" customWidth="true" hidden="false" outlineLevel="0" max="19" min="19" style="1" width="8.99"/>
    <col collapsed="false" customWidth="true" hidden="false" outlineLevel="0" max="20" min="20" style="1" width="11.99"/>
    <col collapsed="false" customWidth="true" hidden="false" outlineLevel="0" max="21" min="21" style="1" width="11.42"/>
    <col collapsed="false" customWidth="true" hidden="false" outlineLevel="0" max="22" min="22" style="1" width="22.42"/>
    <col collapsed="false" customWidth="true" hidden="false" outlineLevel="0" max="23" min="23" style="1" width="18.99"/>
    <col collapsed="false" customWidth="true" hidden="false" outlineLevel="0" max="24" min="24" style="1" width="10.28"/>
    <col collapsed="false" customWidth="true" hidden="false" outlineLevel="0" max="36" min="25" style="1" width="12.85"/>
    <col collapsed="false" customWidth="true" hidden="false" outlineLevel="0" max="44" min="37" style="1" width="11.99"/>
    <col collapsed="false" customWidth="false" hidden="false" outlineLevel="0" max="45" min="45" style="1" width="9.14"/>
    <col collapsed="false" customWidth="true" hidden="false" outlineLevel="0" max="48" min="46" style="1" width="9.99"/>
    <col collapsed="false" customWidth="true" hidden="false" outlineLevel="0" max="49" min="49" style="1" width="11.99"/>
    <col collapsed="false" customWidth="true" hidden="false" outlineLevel="0" max="50" min="50" style="1" width="17.56"/>
    <col collapsed="false" customWidth="true" hidden="false" outlineLevel="0" max="51" min="51" style="1" width="22.42"/>
    <col collapsed="false" customWidth="true" hidden="false" outlineLevel="0" max="52" min="52" style="1" width="18.99"/>
    <col collapsed="false" customWidth="true" hidden="false" outlineLevel="0" max="53" min="53" style="1" width="10.28"/>
    <col collapsed="false" customWidth="true" hidden="false" outlineLevel="0" max="73" min="54" style="1" width="13.14"/>
    <col collapsed="false" customWidth="false" hidden="false" outlineLevel="0" max="74" min="74" style="1" width="9.14"/>
    <col collapsed="false" customWidth="true" hidden="false" outlineLevel="0" max="84" min="75" style="1" width="9.99"/>
    <col collapsed="false" customWidth="false" hidden="false" outlineLevel="0" max="85" min="85" style="1" width="9.14"/>
    <col collapsed="false" customWidth="true" hidden="false" outlineLevel="0" max="91" min="86" style="1" width="9.99"/>
    <col collapsed="false" customWidth="false" hidden="false" outlineLevel="0" max="92" min="92" style="1" width="9.14"/>
    <col collapsed="false" customWidth="true" hidden="false" outlineLevel="0" max="98" min="93" style="1" width="9.99"/>
    <col collapsed="false" customWidth="false" hidden="false" outlineLevel="0" max="257" min="99" style="1" width="9.14"/>
  </cols>
  <sheetData>
    <row r="1" customFormat="false" ht="25.5" hidden="true" customHeight="false" outlineLevel="0" collapsed="false">
      <c r="A1" s="75" t="s">
        <v>116</v>
      </c>
      <c r="T1" s="76"/>
      <c r="AW1" s="76"/>
    </row>
    <row r="2" customFormat="false" ht="20.25" hidden="false" customHeight="false" outlineLevel="0" collapsed="false">
      <c r="A2" s="2" t="s">
        <v>117</v>
      </c>
      <c r="B2" s="77"/>
      <c r="C2" s="77"/>
      <c r="D2" s="78"/>
    </row>
    <row r="4" customFormat="false" ht="12.75" hidden="false" customHeight="false" outlineLevel="0" collapsed="false">
      <c r="C4" s="79"/>
      <c r="I4" s="80"/>
      <c r="S4" s="80"/>
    </row>
    <row r="5" customFormat="false" ht="13.5" hidden="false" customHeight="false" outlineLevel="0" collapsed="false">
      <c r="I5" s="80"/>
      <c r="S5" s="80"/>
    </row>
    <row r="6" customFormat="false" ht="15.75" hidden="false" customHeight="false" outlineLevel="0" collapsed="false">
      <c r="A6" s="81" t="s">
        <v>118</v>
      </c>
      <c r="B6" s="82"/>
      <c r="C6" s="82"/>
      <c r="D6" s="82"/>
      <c r="E6" s="19"/>
      <c r="F6" s="19"/>
      <c r="G6" s="83"/>
      <c r="I6" s="80"/>
      <c r="J6" s="84" t="s">
        <v>119</v>
      </c>
      <c r="K6" s="85"/>
      <c r="L6" s="86" t="s">
        <v>120</v>
      </c>
      <c r="M6" s="86"/>
      <c r="N6" s="86"/>
      <c r="O6" s="19"/>
      <c r="P6" s="87" t="s">
        <v>121</v>
      </c>
      <c r="Q6" s="87"/>
      <c r="R6" s="87"/>
      <c r="S6" s="80"/>
      <c r="T6" s="88"/>
    </row>
    <row r="7" customFormat="false" ht="15.75" hidden="false" customHeight="false" outlineLevel="0" collapsed="false">
      <c r="A7" s="89" t="s">
        <v>122</v>
      </c>
      <c r="B7" s="90" t="s">
        <v>123</v>
      </c>
      <c r="C7" s="91" t="s">
        <v>124</v>
      </c>
      <c r="D7" s="23"/>
      <c r="E7" s="92" t="s">
        <v>125</v>
      </c>
      <c r="F7" s="90" t="s">
        <v>123</v>
      </c>
      <c r="G7" s="93" t="s">
        <v>124</v>
      </c>
      <c r="I7" s="80"/>
      <c r="J7" s="22"/>
      <c r="K7" s="23"/>
      <c r="L7" s="23"/>
      <c r="M7" s="23"/>
      <c r="N7" s="23"/>
      <c r="O7" s="94"/>
      <c r="P7" s="23"/>
      <c r="Q7" s="23"/>
      <c r="R7" s="24"/>
      <c r="S7" s="80"/>
    </row>
    <row r="8" customFormat="false" ht="15.75" hidden="false" customHeight="false" outlineLevel="0" collapsed="false">
      <c r="A8" s="95" t="s">
        <v>126</v>
      </c>
      <c r="B8" s="96" t="n">
        <f aca="false">C8/$C$11</f>
        <v>0.433198380566802</v>
      </c>
      <c r="C8" s="97" t="n">
        <f aca="false">IRR!B62</f>
        <v>535000</v>
      </c>
      <c r="D8" s="98" t="n">
        <f aca="false">IRR!B60</f>
        <v>0.131961152545628</v>
      </c>
      <c r="E8" s="99" t="s">
        <v>127</v>
      </c>
      <c r="F8" s="100" t="n">
        <f aca="false">G8/G14</f>
        <v>0.393684210526316</v>
      </c>
      <c r="G8" s="101" t="n">
        <f aca="false">(G14-G11)*Allocation!G10</f>
        <v>486200</v>
      </c>
      <c r="H8" s="102"/>
      <c r="I8" s="80"/>
      <c r="J8" s="22"/>
      <c r="K8" s="23"/>
      <c r="L8" s="103" t="s">
        <v>128</v>
      </c>
      <c r="M8" s="103" t="s">
        <v>129</v>
      </c>
      <c r="N8" s="103" t="s">
        <v>130</v>
      </c>
      <c r="O8" s="94"/>
      <c r="P8" s="103" t="s">
        <v>131</v>
      </c>
      <c r="Q8" s="103" t="s">
        <v>132</v>
      </c>
      <c r="R8" s="104" t="s">
        <v>133</v>
      </c>
      <c r="S8" s="80"/>
    </row>
    <row r="9" customFormat="false" ht="15.75" hidden="false" customHeight="false" outlineLevel="0" collapsed="false">
      <c r="A9" s="95" t="s">
        <v>134</v>
      </c>
      <c r="B9" s="105" t="n">
        <f aca="false">C9/C11</f>
        <v>0.566801619433198</v>
      </c>
      <c r="C9" s="106" t="n">
        <f aca="false">Assumptions!B22+Assumptions!C22+Assumptions!D22</f>
        <v>700000</v>
      </c>
      <c r="D9" s="107"/>
      <c r="E9" s="99" t="s">
        <v>135</v>
      </c>
      <c r="F9" s="108" t="n">
        <f aca="false">G9/G14</f>
        <v>0.575939599432085</v>
      </c>
      <c r="G9" s="101" t="n">
        <f aca="false">(G14-G11)*Allocation!G15-G12</f>
        <v>711285.405298625</v>
      </c>
      <c r="H9" s="78"/>
      <c r="I9" s="80"/>
      <c r="J9" s="22" t="s">
        <v>136</v>
      </c>
      <c r="K9" s="23"/>
      <c r="L9" s="109" t="n">
        <v>500</v>
      </c>
      <c r="M9" s="109" t="n">
        <v>504</v>
      </c>
      <c r="N9" s="109" t="n">
        <v>425</v>
      </c>
      <c r="O9" s="110"/>
      <c r="P9" s="109" t="n">
        <v>544</v>
      </c>
      <c r="Q9" s="109" t="n">
        <v>514</v>
      </c>
      <c r="R9" s="111" t="n">
        <v>672</v>
      </c>
      <c r="S9" s="80"/>
      <c r="T9" s="112"/>
    </row>
    <row r="10" customFormat="false" ht="15.75" hidden="false" customHeight="false" outlineLevel="0" collapsed="false">
      <c r="A10" s="113"/>
      <c r="B10" s="114"/>
      <c r="C10" s="106"/>
      <c r="D10" s="23"/>
      <c r="E10" s="23"/>
      <c r="F10" s="108"/>
      <c r="G10" s="101"/>
      <c r="H10" s="115"/>
      <c r="I10" s="80"/>
      <c r="J10" s="22" t="s">
        <v>137</v>
      </c>
      <c r="K10" s="23"/>
      <c r="L10" s="116" t="n">
        <v>0.02</v>
      </c>
      <c r="M10" s="117" t="n">
        <f aca="false">L10</f>
        <v>0.02</v>
      </c>
      <c r="N10" s="117" t="n">
        <f aca="false">M10</f>
        <v>0.02</v>
      </c>
      <c r="O10" s="117"/>
      <c r="P10" s="117" t="n">
        <f aca="false">N10</f>
        <v>0.02</v>
      </c>
      <c r="Q10" s="117" t="n">
        <f aca="false">P10</f>
        <v>0.02</v>
      </c>
      <c r="R10" s="118" t="n">
        <f aca="false">Q10</f>
        <v>0.02</v>
      </c>
      <c r="S10" s="80"/>
      <c r="T10" s="112"/>
    </row>
    <row r="11" customFormat="false" ht="15.75" hidden="false" customHeight="false" outlineLevel="0" collapsed="false">
      <c r="A11" s="119" t="s">
        <v>138</v>
      </c>
      <c r="B11" s="120" t="n">
        <f aca="false">C11/$C$11</f>
        <v>1</v>
      </c>
      <c r="C11" s="121" t="n">
        <f aca="false">SUM(C8:C9)</f>
        <v>1235000</v>
      </c>
      <c r="D11" s="23"/>
      <c r="E11" s="99" t="s">
        <v>139</v>
      </c>
      <c r="F11" s="108" t="n">
        <f aca="false">G11/$G$14</f>
        <v>0.0157894736842105</v>
      </c>
      <c r="G11" s="101" t="n">
        <v>19500</v>
      </c>
      <c r="H11" s="78"/>
      <c r="I11" s="80"/>
      <c r="J11" s="22" t="s">
        <v>140</v>
      </c>
      <c r="K11" s="23"/>
      <c r="L11" s="109" t="n">
        <v>4</v>
      </c>
      <c r="M11" s="109" t="n">
        <v>6</v>
      </c>
      <c r="N11" s="109" t="n">
        <v>6</v>
      </c>
      <c r="O11" s="23"/>
      <c r="P11" s="109" t="n">
        <v>3</v>
      </c>
      <c r="Q11" s="109" t="n">
        <v>4</v>
      </c>
      <c r="R11" s="111" t="n">
        <v>8</v>
      </c>
      <c r="S11" s="80"/>
      <c r="T11" s="112"/>
    </row>
    <row r="12" customFormat="false" ht="15.75" hidden="false" customHeight="false" outlineLevel="0" collapsed="false">
      <c r="A12" s="122"/>
      <c r="B12" s="123"/>
      <c r="C12" s="124"/>
      <c r="D12" s="23"/>
      <c r="E12" s="23" t="s">
        <v>141</v>
      </c>
      <c r="F12" s="108" t="n">
        <f aca="false">G12/$G$14</f>
        <v>0.014586716357389</v>
      </c>
      <c r="G12" s="125" t="n">
        <f aca="false">-(Debt!C104)</f>
        <v>18014.5947013754</v>
      </c>
      <c r="H12" s="126"/>
      <c r="I12" s="80"/>
      <c r="J12" s="22" t="s">
        <v>142</v>
      </c>
      <c r="K12" s="23"/>
      <c r="L12" s="109" t="n">
        <v>11411</v>
      </c>
      <c r="M12" s="109" t="n">
        <v>12064</v>
      </c>
      <c r="N12" s="109" t="n">
        <v>12228</v>
      </c>
      <c r="O12" s="23"/>
      <c r="P12" s="109" t="n">
        <v>10904</v>
      </c>
      <c r="Q12" s="109" t="n">
        <v>11735</v>
      </c>
      <c r="R12" s="111" t="n">
        <v>11973</v>
      </c>
      <c r="S12" s="80"/>
      <c r="T12" s="112"/>
    </row>
    <row r="13" customFormat="false" ht="15.75" hidden="false" customHeight="false" outlineLevel="0" collapsed="false">
      <c r="A13" s="22" t="s">
        <v>143</v>
      </c>
      <c r="B13" s="127" t="n">
        <v>0.5</v>
      </c>
      <c r="C13" s="106" t="n">
        <f aca="false">B13*C8</f>
        <v>267500</v>
      </c>
      <c r="D13" s="23"/>
      <c r="E13" s="128"/>
      <c r="F13" s="94"/>
      <c r="G13" s="129"/>
      <c r="H13" s="78"/>
      <c r="I13" s="80"/>
      <c r="J13" s="22" t="s">
        <v>144</v>
      </c>
      <c r="K13" s="23"/>
      <c r="L13" s="109" t="n">
        <v>1258</v>
      </c>
      <c r="M13" s="109" t="n">
        <v>1500</v>
      </c>
      <c r="N13" s="109" t="n">
        <v>1068</v>
      </c>
      <c r="O13" s="23"/>
      <c r="P13" s="109" t="n">
        <v>3000</v>
      </c>
      <c r="Q13" s="109" t="n">
        <v>3000</v>
      </c>
      <c r="R13" s="111" t="n">
        <v>3000</v>
      </c>
      <c r="S13" s="80"/>
      <c r="T13" s="112"/>
    </row>
    <row r="14" customFormat="false" ht="16.5" hidden="false" customHeight="false" outlineLevel="0" collapsed="false">
      <c r="A14" s="130" t="s">
        <v>145</v>
      </c>
      <c r="B14" s="131" t="n">
        <f aca="false">1-B13</f>
        <v>0.5</v>
      </c>
      <c r="C14" s="132" t="n">
        <f aca="false">B14*C8</f>
        <v>267500</v>
      </c>
      <c r="D14" s="133"/>
      <c r="E14" s="134" t="s">
        <v>146</v>
      </c>
      <c r="F14" s="135" t="n">
        <f aca="false">SUM(F8:F12)</f>
        <v>1</v>
      </c>
      <c r="G14" s="136" t="n">
        <f aca="false">C11</f>
        <v>1235000</v>
      </c>
      <c r="H14" s="78"/>
      <c r="I14" s="80"/>
      <c r="J14" s="22" t="s">
        <v>147</v>
      </c>
      <c r="K14" s="23"/>
      <c r="L14" s="137" t="n">
        <f aca="false">IF(L19=120,1200,0)</f>
        <v>1200</v>
      </c>
      <c r="M14" s="137" t="n">
        <f aca="false">IF(M19=120,1200,0)</f>
        <v>1200</v>
      </c>
      <c r="N14" s="137" t="n">
        <f aca="false">IF(N19=120,1068,0)</f>
        <v>1068</v>
      </c>
      <c r="O14" s="137"/>
      <c r="P14" s="137" t="n">
        <f aca="false">IF(P19=120,1200,0)</f>
        <v>1200</v>
      </c>
      <c r="Q14" s="137" t="n">
        <f aca="false">IF(Q19=120,1200,0)</f>
        <v>1200</v>
      </c>
      <c r="R14" s="138" t="n">
        <f aca="false">IF(R19=120,1200,0)</f>
        <v>1200</v>
      </c>
      <c r="S14" s="80"/>
      <c r="T14" s="112"/>
    </row>
    <row r="15" customFormat="false" ht="15.75" hidden="false" customHeight="false" outlineLevel="0" collapsed="false">
      <c r="A15" s="94"/>
      <c r="B15" s="94"/>
      <c r="C15" s="94"/>
      <c r="D15" s="23"/>
      <c r="E15" s="99"/>
      <c r="F15" s="139"/>
      <c r="G15" s="140"/>
      <c r="H15" s="78"/>
      <c r="I15" s="80"/>
      <c r="J15" s="22" t="s">
        <v>148</v>
      </c>
      <c r="K15" s="23"/>
      <c r="L15" s="94"/>
      <c r="M15" s="94"/>
      <c r="N15" s="94"/>
      <c r="O15" s="94"/>
      <c r="P15" s="94"/>
      <c r="Q15" s="94"/>
      <c r="R15" s="129"/>
      <c r="S15" s="80"/>
      <c r="T15" s="112"/>
    </row>
    <row r="16" customFormat="false" ht="16.5" hidden="false" customHeight="false" outlineLevel="0" collapsed="false">
      <c r="A16" s="94"/>
      <c r="B16" s="94"/>
      <c r="C16" s="94"/>
      <c r="D16" s="23"/>
      <c r="E16" s="99"/>
      <c r="F16" s="141"/>
      <c r="G16" s="142"/>
      <c r="H16" s="78"/>
      <c r="I16" s="80"/>
      <c r="J16" s="22" t="s">
        <v>149</v>
      </c>
      <c r="K16" s="94"/>
      <c r="L16" s="143" t="n">
        <f aca="false">L29*L14</f>
        <v>549600</v>
      </c>
      <c r="M16" s="143" t="n">
        <f aca="false">M29*M14</f>
        <v>530400</v>
      </c>
      <c r="N16" s="143" t="n">
        <f aca="false">N29*N14</f>
        <v>391956</v>
      </c>
      <c r="O16" s="143"/>
      <c r="P16" s="144" t="n">
        <v>0</v>
      </c>
      <c r="Q16" s="144" t="n">
        <v>0</v>
      </c>
      <c r="R16" s="145" t="n">
        <v>0</v>
      </c>
      <c r="S16" s="80"/>
      <c r="T16" s="112"/>
    </row>
    <row r="17" customFormat="false" ht="15.75" hidden="false" customHeight="false" outlineLevel="0" collapsed="false">
      <c r="A17" s="146" t="s">
        <v>150</v>
      </c>
      <c r="B17" s="147" t="s">
        <v>151</v>
      </c>
      <c r="C17" s="148" t="n">
        <v>36526</v>
      </c>
      <c r="D17" s="149"/>
      <c r="E17" s="19"/>
      <c r="F17" s="19"/>
      <c r="G17" s="83"/>
      <c r="H17" s="78"/>
      <c r="J17" s="22" t="s">
        <v>152</v>
      </c>
      <c r="K17" s="94"/>
      <c r="L17" s="143" t="n">
        <f aca="false">L30*L14</f>
        <v>549600</v>
      </c>
      <c r="M17" s="143" t="n">
        <f aca="false">M30*M14</f>
        <v>548400</v>
      </c>
      <c r="N17" s="143" t="n">
        <f aca="false">N30*N14</f>
        <v>404772</v>
      </c>
      <c r="O17" s="143"/>
      <c r="P17" s="143" t="n">
        <f aca="false">P30*P14</f>
        <v>612000</v>
      </c>
      <c r="Q17" s="143" t="n">
        <f aca="false">Q30*Q14</f>
        <v>564000</v>
      </c>
      <c r="R17" s="150" t="n">
        <f aca="false">R30*R14</f>
        <v>729600</v>
      </c>
      <c r="T17" s="112"/>
    </row>
    <row r="18" customFormat="false" ht="15.75" hidden="false" customHeight="false" outlineLevel="0" collapsed="false">
      <c r="A18" s="151"/>
      <c r="B18" s="152" t="s">
        <v>153</v>
      </c>
      <c r="C18" s="153" t="n">
        <v>36525</v>
      </c>
      <c r="D18" s="154"/>
      <c r="E18" s="94"/>
      <c r="F18" s="94"/>
      <c r="G18" s="129"/>
      <c r="H18" s="78"/>
      <c r="J18" s="22" t="s">
        <v>154</v>
      </c>
      <c r="K18" s="23"/>
      <c r="L18" s="109" t="n">
        <v>820</v>
      </c>
      <c r="M18" s="109" t="n">
        <v>787.8</v>
      </c>
      <c r="N18" s="109" t="n">
        <v>813.05</v>
      </c>
      <c r="O18" s="155"/>
      <c r="P18" s="109" t="n">
        <v>1000</v>
      </c>
      <c r="Q18" s="109" t="n">
        <v>1000</v>
      </c>
      <c r="R18" s="111" t="n">
        <v>1204</v>
      </c>
      <c r="S18" s="4"/>
      <c r="T18" s="112"/>
      <c r="U18" s="4"/>
      <c r="V18" s="4"/>
      <c r="W18" s="4"/>
      <c r="X18" s="4"/>
      <c r="Y18" s="0"/>
      <c r="Z18" s="0"/>
      <c r="AA18" s="0"/>
      <c r="AB18" s="0"/>
      <c r="AC18" s="0"/>
      <c r="AD18" s="0"/>
      <c r="AE18" s="0"/>
    </row>
    <row r="19" customFormat="false" ht="15.75" hidden="false" customHeight="false" outlineLevel="0" collapsed="false">
      <c r="A19" s="156"/>
      <c r="B19" s="94"/>
      <c r="C19" s="94"/>
      <c r="D19" s="94"/>
      <c r="E19" s="102"/>
      <c r="F19" s="102"/>
      <c r="G19" s="157"/>
      <c r="H19" s="78"/>
      <c r="J19" s="22" t="s">
        <v>155</v>
      </c>
      <c r="K19" s="23"/>
      <c r="L19" s="137" t="n">
        <f aca="false">INDEX('Preset Scenarios'!D42:D43,'Preset Scenarios'!D40)</f>
        <v>120</v>
      </c>
      <c r="M19" s="158" t="n">
        <f aca="false">L19</f>
        <v>120</v>
      </c>
      <c r="N19" s="158" t="n">
        <f aca="false">L19</f>
        <v>120</v>
      </c>
      <c r="O19" s="159"/>
      <c r="P19" s="158" t="n">
        <f aca="false">L19</f>
        <v>120</v>
      </c>
      <c r="Q19" s="158" t="n">
        <f aca="false">L19</f>
        <v>120</v>
      </c>
      <c r="R19" s="160" t="n">
        <f aca="false">L19</f>
        <v>120</v>
      </c>
      <c r="T19" s="112"/>
      <c r="Y19" s="0"/>
      <c r="Z19" s="0"/>
      <c r="AA19" s="0"/>
      <c r="AB19" s="0"/>
      <c r="AC19" s="0"/>
      <c r="AD19" s="0"/>
      <c r="AE19" s="0"/>
    </row>
    <row r="20" customFormat="false" ht="16.5" hidden="false" customHeight="false" outlineLevel="0" collapsed="false">
      <c r="A20" s="161"/>
      <c r="B20" s="103" t="s">
        <v>156</v>
      </c>
      <c r="C20" s="103" t="s">
        <v>157</v>
      </c>
      <c r="D20" s="103" t="s">
        <v>158</v>
      </c>
      <c r="E20" s="103" t="s">
        <v>159</v>
      </c>
      <c r="F20" s="154"/>
      <c r="G20" s="162"/>
      <c r="H20" s="78"/>
      <c r="J20" s="130" t="s">
        <v>160</v>
      </c>
      <c r="K20" s="163"/>
      <c r="L20" s="164" t="n">
        <v>0</v>
      </c>
      <c r="M20" s="165" t="n">
        <v>15</v>
      </c>
      <c r="N20" s="165" t="n">
        <v>12</v>
      </c>
      <c r="O20" s="165"/>
      <c r="P20" s="164" t="n">
        <v>0</v>
      </c>
      <c r="Q20" s="164" t="n">
        <v>0</v>
      </c>
      <c r="R20" s="166" t="n">
        <v>0</v>
      </c>
      <c r="S20" s="167"/>
      <c r="T20" s="112"/>
      <c r="Y20" s="0"/>
      <c r="Z20" s="0"/>
      <c r="AA20" s="0"/>
      <c r="AB20" s="0"/>
      <c r="AC20" s="0"/>
      <c r="AD20" s="0"/>
      <c r="AE20" s="0"/>
    </row>
    <row r="21" customFormat="false" ht="16.5" hidden="false" customHeight="false" outlineLevel="0" collapsed="false">
      <c r="A21" s="168" t="s">
        <v>161</v>
      </c>
      <c r="B21" s="169"/>
      <c r="C21" s="169"/>
      <c r="D21" s="169"/>
      <c r="E21" s="94"/>
      <c r="F21" s="94"/>
      <c r="G21" s="129"/>
      <c r="H21" s="115"/>
      <c r="S21" s="80"/>
      <c r="T21" s="112"/>
      <c r="Y21" s="0"/>
      <c r="Z21" s="0"/>
      <c r="AA21" s="0"/>
      <c r="AB21" s="0"/>
      <c r="AC21" s="0"/>
      <c r="AD21" s="0"/>
      <c r="AE21" s="0"/>
    </row>
    <row r="22" customFormat="false" ht="15.75" hidden="false" customHeight="false" outlineLevel="0" collapsed="false">
      <c r="A22" s="170" t="s">
        <v>162</v>
      </c>
      <c r="B22" s="171" t="n">
        <f aca="false">Debt!F10</f>
        <v>81000</v>
      </c>
      <c r="C22" s="171" t="n">
        <f aca="false">Debt!L10</f>
        <v>194000</v>
      </c>
      <c r="D22" s="171" t="n">
        <f aca="false">Debt!R10</f>
        <v>425000</v>
      </c>
      <c r="E22" s="171" t="n">
        <f aca="false">SUM(B22:D22)</f>
        <v>700000</v>
      </c>
      <c r="F22" s="172"/>
      <c r="G22" s="173"/>
      <c r="H22" s="115"/>
      <c r="J22" s="84" t="s">
        <v>163</v>
      </c>
      <c r="K22" s="85"/>
      <c r="L22" s="20"/>
      <c r="M22" s="20"/>
      <c r="N22" s="20"/>
      <c r="O22" s="19"/>
      <c r="P22" s="20"/>
      <c r="Q22" s="20"/>
      <c r="R22" s="21"/>
      <c r="S22" s="78"/>
      <c r="T22" s="112"/>
      <c r="Y22" s="0"/>
      <c r="Z22" s="0"/>
      <c r="AA22" s="0"/>
      <c r="AB22" s="0"/>
      <c r="AC22" s="0"/>
      <c r="AD22" s="0"/>
      <c r="AE22" s="0"/>
    </row>
    <row r="23" customFormat="false" ht="15.75" hidden="false" customHeight="false" outlineLevel="0" collapsed="false">
      <c r="A23" s="170" t="s">
        <v>164</v>
      </c>
      <c r="B23" s="174" t="n">
        <f aca="false">Debt!F8</f>
        <v>3.33</v>
      </c>
      <c r="C23" s="174" t="n">
        <f aca="false">Debt!L8</f>
        <v>9.83</v>
      </c>
      <c r="D23" s="174" t="n">
        <f aca="false">Debt!R8</f>
        <v>19.83</v>
      </c>
      <c r="E23" s="174"/>
      <c r="F23" s="172"/>
      <c r="G23" s="173"/>
      <c r="H23" s="78"/>
      <c r="J23" s="161"/>
      <c r="K23" s="94"/>
      <c r="L23" s="94"/>
      <c r="M23" s="94"/>
      <c r="N23" s="94"/>
      <c r="O23" s="94"/>
      <c r="P23" s="94"/>
      <c r="Q23" s="94"/>
      <c r="R23" s="129"/>
      <c r="S23" s="78"/>
      <c r="T23" s="112"/>
      <c r="Y23" s="0"/>
      <c r="Z23" s="0"/>
      <c r="AA23" s="0"/>
      <c r="AB23" s="0"/>
      <c r="AC23" s="0"/>
      <c r="AD23" s="0"/>
      <c r="AE23" s="0"/>
    </row>
    <row r="24" customFormat="false" ht="15.75" hidden="false" customHeight="false" outlineLevel="0" collapsed="false">
      <c r="A24" s="170" t="s">
        <v>165</v>
      </c>
      <c r="B24" s="175" t="n">
        <v>37667</v>
      </c>
      <c r="C24" s="175" t="n">
        <v>40040</v>
      </c>
      <c r="D24" s="175" t="n">
        <v>43692</v>
      </c>
      <c r="E24" s="171"/>
      <c r="F24" s="94"/>
      <c r="G24" s="129"/>
      <c r="J24" s="168" t="s">
        <v>166</v>
      </c>
      <c r="K24" s="94"/>
      <c r="L24" s="94"/>
      <c r="M24" s="94"/>
      <c r="N24" s="94"/>
      <c r="O24" s="94"/>
      <c r="P24" s="94"/>
      <c r="Q24" s="94"/>
      <c r="R24" s="129"/>
      <c r="S24" s="78"/>
      <c r="T24" s="112"/>
      <c r="Y24" s="0"/>
      <c r="Z24" s="0"/>
      <c r="AA24" s="0"/>
      <c r="AB24" s="0"/>
      <c r="AC24" s="0"/>
      <c r="AD24" s="0"/>
      <c r="AE24" s="0"/>
    </row>
    <row r="25" customFormat="false" ht="15.75" hidden="false" customHeight="false" outlineLevel="0" collapsed="false">
      <c r="A25" s="170" t="s">
        <v>167</v>
      </c>
      <c r="B25" s="176" t="n">
        <f aca="false">Debt!F9</f>
        <v>2.01025171232877</v>
      </c>
      <c r="C25" s="176" t="n">
        <f aca="false">Debt!L9</f>
        <v>7.27953105022831</v>
      </c>
      <c r="D25" s="176" t="n">
        <f aca="false">Debt!R9</f>
        <v>15.039434304589</v>
      </c>
      <c r="E25" s="177"/>
      <c r="F25" s="94"/>
      <c r="G25" s="129"/>
      <c r="J25" s="22" t="s">
        <v>168</v>
      </c>
      <c r="K25" s="23"/>
      <c r="L25" s="178" t="n">
        <v>4</v>
      </c>
      <c r="M25" s="179" t="n">
        <f aca="false">L25</f>
        <v>4</v>
      </c>
      <c r="N25" s="179" t="n">
        <f aca="false">M25</f>
        <v>4</v>
      </c>
      <c r="O25" s="180"/>
      <c r="P25" s="179" t="n">
        <f aca="false">N25</f>
        <v>4</v>
      </c>
      <c r="Q25" s="179" t="n">
        <f aca="false">P25</f>
        <v>4</v>
      </c>
      <c r="R25" s="181" t="n">
        <f aca="false">Q25</f>
        <v>4</v>
      </c>
      <c r="S25" s="78"/>
      <c r="T25" s="112"/>
      <c r="Y25" s="0"/>
      <c r="Z25" s="0"/>
      <c r="AA25" s="0"/>
      <c r="AB25" s="0"/>
      <c r="AC25" s="0"/>
      <c r="AD25" s="0"/>
      <c r="AE25" s="0"/>
    </row>
    <row r="26" customFormat="false" ht="15.75" hidden="false" customHeight="false" outlineLevel="0" collapsed="false">
      <c r="A26" s="170"/>
      <c r="B26" s="94"/>
      <c r="C26" s="94"/>
      <c r="D26" s="94"/>
      <c r="E26" s="171"/>
      <c r="F26" s="94"/>
      <c r="G26" s="129"/>
      <c r="J26" s="22" t="s">
        <v>169</v>
      </c>
      <c r="K26" s="23"/>
      <c r="L26" s="182" t="n">
        <f aca="false">L49</f>
        <v>1.40874818049491</v>
      </c>
      <c r="M26" s="182" t="n">
        <f aca="false">M49</f>
        <v>0.890120663650076</v>
      </c>
      <c r="N26" s="182" t="n">
        <f aca="false">N49</f>
        <v>1.04052540913006</v>
      </c>
      <c r="O26" s="182"/>
      <c r="P26" s="182" t="n">
        <f aca="false">P49</f>
        <v>1.21678594771242</v>
      </c>
      <c r="Q26" s="182" t="n">
        <f aca="false">Q49</f>
        <v>1.16347517730496</v>
      </c>
      <c r="R26" s="181" t="n">
        <f aca="false">R49</f>
        <v>0.862774122807018</v>
      </c>
      <c r="S26" s="78"/>
      <c r="T26" s="112"/>
      <c r="Y26" s="0"/>
      <c r="Z26" s="0"/>
      <c r="AA26" s="0"/>
      <c r="AB26" s="0"/>
      <c r="AC26" s="0"/>
      <c r="AD26" s="0"/>
      <c r="AE26" s="0"/>
    </row>
    <row r="27" customFormat="false" ht="15.75" hidden="false" customHeight="false" outlineLevel="0" collapsed="false">
      <c r="A27" s="161"/>
      <c r="B27" s="94"/>
      <c r="C27" s="94"/>
      <c r="D27" s="94"/>
      <c r="E27" s="171"/>
      <c r="F27" s="94"/>
      <c r="G27" s="129"/>
      <c r="J27" s="22" t="s">
        <v>170</v>
      </c>
      <c r="K27" s="23"/>
      <c r="L27" s="183" t="n">
        <f aca="false">'EGC Start Charge Matrix'!G22</f>
        <v>4111</v>
      </c>
      <c r="M27" s="183" t="n">
        <f aca="false">'EGC Start Charge Matrix'!H22</f>
        <v>1874</v>
      </c>
      <c r="N27" s="183" t="n">
        <f aca="false">'EGC Start Charge Matrix'!I22</f>
        <v>1874</v>
      </c>
      <c r="O27" s="184"/>
      <c r="P27" s="183" t="n">
        <f aca="false">'EGC Start Charge Matrix'!J22</f>
        <v>6379</v>
      </c>
      <c r="Q27" s="183" t="n">
        <f aca="false">'EGC Start Charge Matrix'!K22</f>
        <v>4330</v>
      </c>
      <c r="R27" s="185" t="n">
        <f aca="false">'EGC Start Charge Matrix'!L22</f>
        <v>1874</v>
      </c>
      <c r="S27" s="78"/>
      <c r="T27" s="112"/>
      <c r="Y27" s="0"/>
      <c r="Z27" s="0"/>
      <c r="AA27" s="0"/>
      <c r="AB27" s="0"/>
      <c r="AC27" s="0"/>
      <c r="AD27" s="0"/>
      <c r="AE27" s="0"/>
    </row>
    <row r="28" customFormat="false" ht="15.75" hidden="false" customHeight="false" outlineLevel="0" collapsed="false">
      <c r="A28" s="186" t="s">
        <v>171</v>
      </c>
      <c r="B28" s="187" t="n">
        <f aca="false">Debt!F5</f>
        <v>0.0594</v>
      </c>
      <c r="C28" s="187" t="n">
        <f aca="false">Debt!L5</f>
        <v>0.0622</v>
      </c>
      <c r="D28" s="187" t="n">
        <f aca="false">Debt!R5</f>
        <v>0.0631</v>
      </c>
      <c r="E28" s="188" t="n">
        <f aca="false">SUMPRODUCT(B28:D28,$B$22:$D$22)/SUM($B$22:$D$22)</f>
        <v>0.0624224285714286</v>
      </c>
      <c r="F28" s="94"/>
      <c r="G28" s="129"/>
      <c r="J28" s="22" t="s">
        <v>172</v>
      </c>
      <c r="K28" s="23"/>
      <c r="L28" s="94"/>
      <c r="M28" s="189"/>
      <c r="N28" s="189"/>
      <c r="O28" s="94"/>
      <c r="P28" s="94"/>
      <c r="Q28" s="94"/>
      <c r="R28" s="129"/>
      <c r="S28" s="78"/>
      <c r="T28" s="112"/>
      <c r="Y28" s="0"/>
      <c r="Z28" s="0"/>
      <c r="AA28" s="0"/>
      <c r="AB28" s="0"/>
      <c r="AC28" s="0"/>
      <c r="AD28" s="0"/>
      <c r="AE28" s="0"/>
    </row>
    <row r="29" customFormat="false" ht="15.75" hidden="false" customHeight="false" outlineLevel="0" collapsed="false">
      <c r="A29" s="186" t="s">
        <v>173</v>
      </c>
      <c r="B29" s="190" t="n">
        <f aca="false">Debt!F6</f>
        <v>0.0225</v>
      </c>
      <c r="C29" s="190" t="n">
        <f aca="false">Debt!L6</f>
        <v>0.035</v>
      </c>
      <c r="D29" s="190" t="n">
        <f aca="false">Debt!R6</f>
        <v>0.04125</v>
      </c>
      <c r="E29" s="191" t="n">
        <f aca="false">SUMPRODUCT(B29:D29,$B$22:$D$22)/SUM($B$22:$D$22)</f>
        <v>0.0373482142857143</v>
      </c>
      <c r="F29" s="94"/>
      <c r="G29" s="129"/>
      <c r="J29" s="22" t="s">
        <v>149</v>
      </c>
      <c r="K29" s="94"/>
      <c r="L29" s="109" t="n">
        <v>458</v>
      </c>
      <c r="M29" s="109" t="n">
        <f aca="false">442</f>
        <v>442</v>
      </c>
      <c r="N29" s="109" t="n">
        <f aca="false">367</f>
        <v>367</v>
      </c>
      <c r="O29" s="94"/>
      <c r="P29" s="109" t="n">
        <v>0</v>
      </c>
      <c r="Q29" s="109" t="n">
        <v>0</v>
      </c>
      <c r="R29" s="111" t="n">
        <v>0</v>
      </c>
      <c r="S29" s="78"/>
      <c r="T29" s="112"/>
      <c r="Y29" s="0"/>
      <c r="Z29" s="0"/>
      <c r="AA29" s="0"/>
      <c r="AB29" s="0"/>
      <c r="AC29" s="0"/>
      <c r="AD29" s="0"/>
      <c r="AE29" s="0"/>
    </row>
    <row r="30" customFormat="false" ht="15.75" hidden="false" customHeight="false" outlineLevel="0" collapsed="false">
      <c r="A30" s="170" t="s">
        <v>174</v>
      </c>
      <c r="B30" s="192" t="n">
        <f aca="false">Debt!F7</f>
        <v>0.0819</v>
      </c>
      <c r="C30" s="192" t="n">
        <f aca="false">Debt!L7</f>
        <v>0.0972</v>
      </c>
      <c r="D30" s="192" t="n">
        <f aca="false">Debt!R7</f>
        <v>0.10435</v>
      </c>
      <c r="E30" s="188" t="n">
        <f aca="false">SUMPRODUCT(B30:D30,$B$22:$D$22)/SUM($B$22:$D$22)</f>
        <v>0.0997706428571429</v>
      </c>
      <c r="F30" s="94"/>
      <c r="G30" s="129"/>
      <c r="J30" s="22" t="s">
        <v>152</v>
      </c>
      <c r="K30" s="94"/>
      <c r="L30" s="109" t="n">
        <f aca="false">L29</f>
        <v>458</v>
      </c>
      <c r="M30" s="109" t="n">
        <f aca="false">M29+M20</f>
        <v>457</v>
      </c>
      <c r="N30" s="109" t="n">
        <f aca="false">N29+N20</f>
        <v>379</v>
      </c>
      <c r="O30" s="94"/>
      <c r="P30" s="109" t="n">
        <v>510</v>
      </c>
      <c r="Q30" s="109" t="n">
        <v>470</v>
      </c>
      <c r="R30" s="111" t="n">
        <v>608</v>
      </c>
      <c r="S30" s="78"/>
      <c r="T30" s="112"/>
      <c r="Y30" s="0"/>
      <c r="Z30" s="0"/>
      <c r="AA30" s="0"/>
      <c r="AB30" s="0"/>
      <c r="AC30" s="0"/>
      <c r="AD30" s="0"/>
      <c r="AE30" s="0"/>
    </row>
    <row r="31" customFormat="false" ht="15.75" hidden="false" customHeight="false" outlineLevel="0" collapsed="false">
      <c r="A31" s="22"/>
      <c r="B31" s="23"/>
      <c r="C31" s="23"/>
      <c r="D31" s="23"/>
      <c r="E31" s="193"/>
      <c r="F31" s="94"/>
      <c r="G31" s="129"/>
      <c r="J31" s="161"/>
      <c r="K31" s="94"/>
      <c r="L31" s="94"/>
      <c r="M31" s="94"/>
      <c r="N31" s="94"/>
      <c r="O31" s="94"/>
      <c r="P31" s="94"/>
      <c r="Q31" s="94"/>
      <c r="R31" s="129"/>
      <c r="S31" s="78"/>
      <c r="T31" s="112"/>
    </row>
    <row r="32" customFormat="false" ht="15.75" hidden="false" customHeight="false" outlineLevel="0" collapsed="false">
      <c r="A32" s="22" t="s">
        <v>175</v>
      </c>
      <c r="B32" s="171" t="n">
        <f aca="false">MAX(Debt!C106:Z106)</f>
        <v>94324.69750625</v>
      </c>
      <c r="C32" s="23"/>
      <c r="D32" s="23"/>
      <c r="E32" s="194"/>
      <c r="F32" s="94"/>
      <c r="G32" s="129"/>
      <c r="J32" s="168" t="s">
        <v>176</v>
      </c>
      <c r="K32" s="94"/>
      <c r="L32" s="94"/>
      <c r="M32" s="94"/>
      <c r="N32" s="94"/>
      <c r="O32" s="94"/>
      <c r="P32" s="94"/>
      <c r="Q32" s="94"/>
      <c r="R32" s="129"/>
      <c r="S32" s="78"/>
      <c r="T32" s="112"/>
    </row>
    <row r="33" customFormat="false" ht="15.75" hidden="false" customHeight="false" outlineLevel="0" collapsed="false">
      <c r="A33" s="22" t="s">
        <v>177</v>
      </c>
      <c r="B33" s="195" t="n">
        <v>0.02</v>
      </c>
      <c r="C33" s="23"/>
      <c r="D33" s="23"/>
      <c r="E33" s="194"/>
      <c r="F33" s="94"/>
      <c r="G33" s="129"/>
      <c r="J33" s="22" t="s">
        <v>178</v>
      </c>
      <c r="K33" s="23"/>
      <c r="L33" s="109" t="n">
        <f aca="false">497.4*(1-L10)</f>
        <v>487.452</v>
      </c>
      <c r="M33" s="109" t="n">
        <f aca="false">503.6*(1-M10)</f>
        <v>493.528</v>
      </c>
      <c r="N33" s="109" t="n">
        <f aca="false">430.2*(1-N10)</f>
        <v>421.596</v>
      </c>
      <c r="O33" s="94"/>
      <c r="P33" s="109" t="n">
        <f aca="false">535.3*(1-P10)</f>
        <v>524.594</v>
      </c>
      <c r="Q33" s="109" t="n">
        <f aca="false">514.6*(1-Q10)</f>
        <v>504.308</v>
      </c>
      <c r="R33" s="111" t="n">
        <f aca="false">665.9*(1-R10)</f>
        <v>652.582</v>
      </c>
      <c r="S33" s="78"/>
      <c r="T33" s="112"/>
    </row>
    <row r="34" customFormat="false" ht="16.5" hidden="false" customHeight="false" outlineLevel="0" collapsed="false">
      <c r="A34" s="130" t="s">
        <v>179</v>
      </c>
      <c r="B34" s="196" t="n">
        <v>0.05</v>
      </c>
      <c r="C34" s="163"/>
      <c r="D34" s="163"/>
      <c r="E34" s="163"/>
      <c r="F34" s="163"/>
      <c r="G34" s="197"/>
      <c r="J34" s="22" t="s">
        <v>180</v>
      </c>
      <c r="K34" s="23"/>
      <c r="L34" s="144" t="n">
        <f aca="false">L33*L14</f>
        <v>584942.4</v>
      </c>
      <c r="M34" s="144" t="n">
        <f aca="false">M33*M14</f>
        <v>592233.6</v>
      </c>
      <c r="N34" s="144" t="n">
        <f aca="false">N33*N14</f>
        <v>450264.528</v>
      </c>
      <c r="O34" s="198"/>
      <c r="P34" s="144" t="n">
        <f aca="false">P33*P14</f>
        <v>629512.8</v>
      </c>
      <c r="Q34" s="144" t="n">
        <f aca="false">Q33*Q14</f>
        <v>605169.6</v>
      </c>
      <c r="R34" s="145" t="n">
        <f aca="false">R33*R14</f>
        <v>783098.4</v>
      </c>
      <c r="S34" s="78"/>
      <c r="T34" s="112"/>
    </row>
    <row r="35" customFormat="false" ht="15.75" hidden="false" customHeight="false" outlineLevel="0" collapsed="false">
      <c r="J35" s="22" t="s">
        <v>181</v>
      </c>
      <c r="K35" s="23"/>
      <c r="L35" s="199" t="n">
        <v>0.02</v>
      </c>
      <c r="M35" s="200" t="n">
        <f aca="false">L35</f>
        <v>0.02</v>
      </c>
      <c r="N35" s="200" t="n">
        <f aca="false">M35</f>
        <v>0.02</v>
      </c>
      <c r="O35" s="201"/>
      <c r="P35" s="200" t="n">
        <f aca="false">N35</f>
        <v>0.02</v>
      </c>
      <c r="Q35" s="200" t="n">
        <f aca="false">P35</f>
        <v>0.02</v>
      </c>
      <c r="R35" s="202" t="n">
        <f aca="false">Q35</f>
        <v>0.02</v>
      </c>
      <c r="S35" s="78"/>
      <c r="T35" s="112"/>
    </row>
    <row r="36" customFormat="false" ht="16.5" hidden="false" customHeight="false" outlineLevel="0" collapsed="false">
      <c r="J36" s="22" t="s">
        <v>182</v>
      </c>
      <c r="K36" s="23"/>
      <c r="L36" s="178" t="n">
        <v>1</v>
      </c>
      <c r="M36" s="203" t="n">
        <f aca="false">L36</f>
        <v>1</v>
      </c>
      <c r="N36" s="203" t="n">
        <f aca="false">L36</f>
        <v>1</v>
      </c>
      <c r="O36" s="204"/>
      <c r="P36" s="203" t="n">
        <f aca="false">L36</f>
        <v>1</v>
      </c>
      <c r="Q36" s="203" t="n">
        <f aca="false">L36</f>
        <v>1</v>
      </c>
      <c r="R36" s="205" t="n">
        <f aca="false">L36</f>
        <v>1</v>
      </c>
      <c r="S36" s="78"/>
      <c r="T36" s="112"/>
    </row>
    <row r="37" customFormat="false" ht="15.75" hidden="false" customHeight="false" outlineLevel="0" collapsed="false">
      <c r="A37" s="84" t="s">
        <v>183</v>
      </c>
      <c r="B37" s="85"/>
      <c r="C37" s="206"/>
      <c r="D37" s="206"/>
      <c r="E37" s="20"/>
      <c r="F37" s="20"/>
      <c r="G37" s="83"/>
      <c r="J37" s="207"/>
      <c r="K37" s="208"/>
      <c r="L37" s="23"/>
      <c r="M37" s="23"/>
      <c r="N37" s="23"/>
      <c r="O37" s="94"/>
      <c r="P37" s="23"/>
      <c r="Q37" s="23"/>
      <c r="R37" s="24"/>
      <c r="S37" s="78"/>
      <c r="T37" s="112"/>
    </row>
    <row r="38" customFormat="false" ht="15.75" hidden="false" customHeight="false" outlineLevel="0" collapsed="false">
      <c r="A38" s="161"/>
      <c r="B38" s="209" t="s">
        <v>184</v>
      </c>
      <c r="C38" s="209"/>
      <c r="D38" s="94"/>
      <c r="E38" s="94"/>
      <c r="F38" s="23"/>
      <c r="G38" s="129"/>
      <c r="J38" s="22" t="s">
        <v>185</v>
      </c>
      <c r="K38" s="23"/>
      <c r="L38" s="210" t="n">
        <v>37621</v>
      </c>
      <c r="M38" s="23"/>
      <c r="N38" s="23"/>
      <c r="O38" s="94"/>
      <c r="P38" s="23"/>
      <c r="Q38" s="23"/>
      <c r="R38" s="24"/>
      <c r="S38" s="78"/>
      <c r="T38" s="112"/>
    </row>
    <row r="39" customFormat="false" ht="16.5" hidden="false" customHeight="false" outlineLevel="0" collapsed="false">
      <c r="A39" s="22"/>
      <c r="B39" s="211" t="n">
        <v>1999</v>
      </c>
      <c r="C39" s="211" t="n">
        <v>2000</v>
      </c>
      <c r="D39" s="211" t="s">
        <v>186</v>
      </c>
      <c r="E39" s="211" t="s">
        <v>187</v>
      </c>
      <c r="F39" s="90" t="s">
        <v>188</v>
      </c>
      <c r="G39" s="129"/>
      <c r="J39" s="130" t="s">
        <v>189</v>
      </c>
      <c r="K39" s="212"/>
      <c r="L39" s="213" t="n">
        <f aca="false">L52</f>
        <v>0.03</v>
      </c>
      <c r="M39" s="214" t="n">
        <f aca="false">L39</f>
        <v>0.03</v>
      </c>
      <c r="N39" s="214" t="n">
        <f aca="false">L39</f>
        <v>0.03</v>
      </c>
      <c r="O39" s="215"/>
      <c r="P39" s="214" t="n">
        <f aca="false">L39</f>
        <v>0.03</v>
      </c>
      <c r="Q39" s="214" t="n">
        <f aca="false">L39</f>
        <v>0.03</v>
      </c>
      <c r="R39" s="216" t="n">
        <f aca="false">L39</f>
        <v>0.03</v>
      </c>
      <c r="S39" s="78"/>
      <c r="T39" s="112"/>
    </row>
    <row r="40" customFormat="false" ht="16.5" hidden="false" customHeight="false" outlineLevel="0" collapsed="false">
      <c r="A40" s="217" t="s">
        <v>190</v>
      </c>
      <c r="B40" s="218"/>
      <c r="C40" s="94"/>
      <c r="D40" s="218"/>
      <c r="E40" s="218"/>
      <c r="F40" s="23"/>
      <c r="G40" s="129"/>
      <c r="J40" s="4"/>
      <c r="K40" s="4"/>
      <c r="L40" s="4"/>
      <c r="M40" s="4"/>
      <c r="N40" s="23"/>
      <c r="P40" s="4"/>
      <c r="Q40" s="4"/>
      <c r="R40" s="4"/>
      <c r="S40" s="78"/>
      <c r="T40" s="112"/>
    </row>
    <row r="41" customFormat="false" ht="15.75" hidden="false" customHeight="false" outlineLevel="0" collapsed="false">
      <c r="A41" s="62" t="s">
        <v>191</v>
      </c>
      <c r="B41" s="219" t="n">
        <f aca="false">Depreciation!B18</f>
        <v>484512.886</v>
      </c>
      <c r="C41" s="220" t="n">
        <f aca="false">Depreciation!B54</f>
        <v>724911.369049307</v>
      </c>
      <c r="D41" s="221" t="n">
        <v>15</v>
      </c>
      <c r="E41" s="222" t="s">
        <v>192</v>
      </c>
      <c r="F41" s="223" t="n">
        <v>0</v>
      </c>
      <c r="G41" s="129"/>
      <c r="J41" s="84" t="s">
        <v>193</v>
      </c>
      <c r="K41" s="85"/>
      <c r="L41" s="206"/>
      <c r="M41" s="206"/>
      <c r="N41" s="206"/>
      <c r="O41" s="19"/>
      <c r="P41" s="206"/>
      <c r="Q41" s="206"/>
      <c r="R41" s="224"/>
      <c r="S41" s="78"/>
      <c r="T41" s="112"/>
    </row>
    <row r="42" customFormat="false" ht="15.75" hidden="false" customHeight="false" outlineLevel="0" collapsed="false">
      <c r="A42" s="62" t="s">
        <v>194</v>
      </c>
      <c r="B42" s="219" t="n">
        <f aca="false">Depreciation!B19</f>
        <v>7800</v>
      </c>
      <c r="C42" s="220" t="n">
        <f aca="false">Depreciation!B55</f>
        <v>11700</v>
      </c>
      <c r="D42" s="221" t="n">
        <v>20</v>
      </c>
      <c r="E42" s="222" t="s">
        <v>195</v>
      </c>
      <c r="F42" s="223" t="n">
        <v>0</v>
      </c>
      <c r="G42" s="129"/>
      <c r="J42" s="22"/>
      <c r="K42" s="23"/>
      <c r="L42" s="208"/>
      <c r="M42" s="208"/>
      <c r="N42" s="208"/>
      <c r="O42" s="94"/>
      <c r="P42" s="208"/>
      <c r="Q42" s="208"/>
      <c r="R42" s="225"/>
      <c r="S42" s="78"/>
      <c r="T42" s="112"/>
    </row>
    <row r="43" customFormat="false" ht="15.75" hidden="false" customHeight="false" outlineLevel="0" collapsed="false">
      <c r="A43" s="62"/>
      <c r="B43" s="226"/>
      <c r="C43" s="194"/>
      <c r="D43" s="227"/>
      <c r="E43" s="227"/>
      <c r="F43" s="228"/>
      <c r="G43" s="129"/>
      <c r="J43" s="22" t="s">
        <v>196</v>
      </c>
      <c r="K43" s="23"/>
      <c r="L43" s="199" t="n">
        <v>0.35</v>
      </c>
      <c r="M43" s="199" t="n">
        <v>0.35</v>
      </c>
      <c r="N43" s="199" t="n">
        <v>0.35</v>
      </c>
      <c r="O43" s="94"/>
      <c r="P43" s="199" t="n">
        <v>0.35</v>
      </c>
      <c r="Q43" s="199" t="n">
        <v>0.35</v>
      </c>
      <c r="R43" s="229" t="n">
        <v>0.35</v>
      </c>
      <c r="S43" s="78"/>
      <c r="T43" s="112"/>
    </row>
    <row r="44" customFormat="false" ht="15.75" hidden="false" customHeight="false" outlineLevel="0" collapsed="false">
      <c r="A44" s="217" t="s">
        <v>197</v>
      </c>
      <c r="B44" s="226"/>
      <c r="C44" s="194"/>
      <c r="D44" s="230"/>
      <c r="E44" s="230"/>
      <c r="F44" s="223"/>
      <c r="G44" s="129"/>
      <c r="J44" s="22" t="s">
        <v>198</v>
      </c>
      <c r="K44" s="23"/>
      <c r="L44" s="116" t="n">
        <v>0.06</v>
      </c>
      <c r="M44" s="116" t="n">
        <v>0.05</v>
      </c>
      <c r="N44" s="116" t="n">
        <v>0.05</v>
      </c>
      <c r="O44" s="94"/>
      <c r="P44" s="116" t="n">
        <v>0.0825</v>
      </c>
      <c r="Q44" s="116" t="n">
        <v>0.045</v>
      </c>
      <c r="R44" s="231" t="n">
        <v>0.0718</v>
      </c>
      <c r="S44" s="78"/>
      <c r="T44" s="112"/>
    </row>
    <row r="45" customFormat="false" ht="16.5" hidden="false" customHeight="false" outlineLevel="0" collapsed="false">
      <c r="A45" s="62" t="s">
        <v>191</v>
      </c>
      <c r="B45" s="219" t="n">
        <f aca="false">Depreciation!B42</f>
        <v>484512.886</v>
      </c>
      <c r="C45" s="220" t="n">
        <f aca="false">Depreciation!B75</f>
        <v>724911.369049307</v>
      </c>
      <c r="D45" s="221" t="n">
        <v>30</v>
      </c>
      <c r="E45" s="222" t="s">
        <v>195</v>
      </c>
      <c r="F45" s="232" t="n">
        <v>0.1</v>
      </c>
      <c r="G45" s="129"/>
      <c r="J45" s="130" t="s">
        <v>199</v>
      </c>
      <c r="K45" s="212"/>
      <c r="L45" s="233" t="n">
        <v>0.0025</v>
      </c>
      <c r="M45" s="233" t="n">
        <v>0.0025</v>
      </c>
      <c r="N45" s="233" t="n">
        <v>0.0025</v>
      </c>
      <c r="O45" s="163"/>
      <c r="P45" s="233" t="n">
        <v>0.0021</v>
      </c>
      <c r="Q45" s="233" t="n">
        <v>0</v>
      </c>
      <c r="R45" s="234" t="n">
        <v>0.001</v>
      </c>
      <c r="S45" s="78"/>
      <c r="T45" s="112"/>
    </row>
    <row r="46" customFormat="false" ht="16.5" hidden="false" customHeight="false" outlineLevel="0" collapsed="false">
      <c r="A46" s="66" t="s">
        <v>194</v>
      </c>
      <c r="B46" s="235" t="n">
        <f aca="false">Depreciation!B43</f>
        <v>7800</v>
      </c>
      <c r="C46" s="236" t="n">
        <f aca="false">Depreciation!B76</f>
        <v>11700</v>
      </c>
      <c r="D46" s="237" t="n">
        <v>20</v>
      </c>
      <c r="E46" s="238" t="s">
        <v>195</v>
      </c>
      <c r="F46" s="239" t="n">
        <v>0</v>
      </c>
      <c r="G46" s="197"/>
      <c r="J46" s="130" t="s">
        <v>200</v>
      </c>
      <c r="K46" s="212"/>
      <c r="L46" s="233" t="n">
        <v>0.03</v>
      </c>
      <c r="M46" s="240" t="s">
        <v>201</v>
      </c>
      <c r="N46" s="240" t="s">
        <v>201</v>
      </c>
      <c r="O46" s="241"/>
      <c r="P46" s="240" t="s">
        <v>201</v>
      </c>
      <c r="Q46" s="240" t="s">
        <v>201</v>
      </c>
      <c r="R46" s="242" t="s">
        <v>201</v>
      </c>
      <c r="S46" s="78"/>
      <c r="T46" s="112"/>
    </row>
    <row r="47" customFormat="false" ht="16.5" hidden="false" customHeight="false" outlineLevel="0" collapsed="false">
      <c r="A47" s="4"/>
      <c r="B47" s="4"/>
      <c r="C47" s="4"/>
      <c r="D47" s="4"/>
      <c r="E47" s="4"/>
      <c r="F47" s="4"/>
      <c r="S47" s="78"/>
      <c r="T47" s="112"/>
    </row>
    <row r="48" customFormat="false" ht="16.5" hidden="false" customHeight="false" outlineLevel="0" collapsed="false">
      <c r="J48" s="146" t="s">
        <v>202</v>
      </c>
      <c r="K48" s="20"/>
      <c r="L48" s="20"/>
      <c r="M48" s="20"/>
      <c r="N48" s="20"/>
      <c r="O48" s="19"/>
      <c r="P48" s="20"/>
      <c r="Q48" s="20"/>
      <c r="R48" s="224"/>
      <c r="S48" s="78"/>
      <c r="T48" s="112"/>
    </row>
    <row r="49" customFormat="false" ht="15.75" hidden="false" customHeight="false" outlineLevel="0" collapsed="false">
      <c r="A49" s="146" t="s">
        <v>203</v>
      </c>
      <c r="B49" s="20"/>
      <c r="C49" s="20"/>
      <c r="D49" s="20"/>
      <c r="E49" s="20"/>
      <c r="F49" s="20"/>
      <c r="G49" s="21"/>
      <c r="J49" s="243" t="s">
        <v>204</v>
      </c>
      <c r="K49" s="23"/>
      <c r="L49" s="244" t="n">
        <v>1.40874818049491</v>
      </c>
      <c r="M49" s="244" t="n">
        <v>0.890120663650076</v>
      </c>
      <c r="N49" s="244" t="n">
        <v>1.04052540913006</v>
      </c>
      <c r="O49" s="245"/>
      <c r="P49" s="244" t="n">
        <v>1.21678594771242</v>
      </c>
      <c r="Q49" s="244" t="n">
        <v>1.16347517730496</v>
      </c>
      <c r="R49" s="246" t="n">
        <v>0.862774122807018</v>
      </c>
      <c r="S49" s="78"/>
      <c r="T49" s="112"/>
    </row>
    <row r="50" customFormat="false" ht="15.75" hidden="false" customHeight="false" outlineLevel="0" collapsed="false">
      <c r="A50" s="22"/>
      <c r="B50" s="23"/>
      <c r="C50" s="23"/>
      <c r="D50" s="23"/>
      <c r="E50" s="23"/>
      <c r="F50" s="23"/>
      <c r="G50" s="24"/>
      <c r="J50" s="22" t="s">
        <v>205</v>
      </c>
      <c r="K50" s="23"/>
      <c r="L50" s="244" t="n">
        <v>0.07</v>
      </c>
      <c r="M50" s="247" t="n">
        <f aca="false">$L$50</f>
        <v>0.07</v>
      </c>
      <c r="N50" s="247" t="n">
        <f aca="false">$L$50</f>
        <v>0.07</v>
      </c>
      <c r="O50" s="172"/>
      <c r="P50" s="247" t="n">
        <f aca="false">$L$50</f>
        <v>0.07</v>
      </c>
      <c r="Q50" s="247" t="n">
        <f aca="false">$L$50</f>
        <v>0.07</v>
      </c>
      <c r="R50" s="248" t="n">
        <f aca="false">$L$50</f>
        <v>0.07</v>
      </c>
      <c r="S50" s="78"/>
      <c r="T50" s="112"/>
    </row>
    <row r="51" customFormat="false" ht="15.75" hidden="false" customHeight="false" outlineLevel="0" collapsed="false">
      <c r="A51" s="168" t="s">
        <v>39</v>
      </c>
      <c r="B51" s="26"/>
      <c r="C51" s="94"/>
      <c r="D51" s="90" t="s">
        <v>206</v>
      </c>
      <c r="E51" s="90" t="s">
        <v>207</v>
      </c>
      <c r="F51" s="23"/>
      <c r="G51" s="24"/>
      <c r="J51" s="161"/>
      <c r="K51" s="94"/>
      <c r="L51" s="94"/>
      <c r="M51" s="94"/>
      <c r="N51" s="94"/>
      <c r="O51" s="94"/>
      <c r="P51" s="94"/>
      <c r="Q51" s="94"/>
      <c r="R51" s="129"/>
      <c r="S51" s="78"/>
      <c r="T51" s="112"/>
    </row>
    <row r="52" customFormat="false" ht="15.75" hidden="false" customHeight="false" outlineLevel="0" collapsed="false">
      <c r="A52" s="22" t="s">
        <v>208</v>
      </c>
      <c r="B52" s="23"/>
      <c r="C52" s="94"/>
      <c r="D52" s="249" t="n">
        <f aca="false">MIN(Debt!C114:F114)</f>
        <v>1.29734967872069</v>
      </c>
      <c r="E52" s="249" t="n">
        <f aca="false">AVERAGE(Debt!B114:F114)</f>
        <v>1.40225817158631</v>
      </c>
      <c r="F52" s="23"/>
      <c r="G52" s="24"/>
      <c r="J52" s="22" t="s">
        <v>209</v>
      </c>
      <c r="K52" s="23"/>
      <c r="L52" s="250" t="n">
        <f aca="false">'Preset Scenarios'!B46</f>
        <v>0.03</v>
      </c>
      <c r="M52" s="250" t="n">
        <f aca="false">L52</f>
        <v>0.03</v>
      </c>
      <c r="N52" s="250" t="n">
        <f aca="false">L52</f>
        <v>0.03</v>
      </c>
      <c r="O52" s="251"/>
      <c r="P52" s="250" t="n">
        <f aca="false">L52</f>
        <v>0.03</v>
      </c>
      <c r="Q52" s="250" t="n">
        <f aca="false">L52</f>
        <v>0.03</v>
      </c>
      <c r="R52" s="252" t="n">
        <f aca="false">L52</f>
        <v>0.03</v>
      </c>
      <c r="S52" s="78"/>
      <c r="T52" s="112"/>
    </row>
    <row r="53" customFormat="false" ht="15.75" hidden="false" customHeight="false" outlineLevel="0" collapsed="false">
      <c r="A53" s="22" t="s">
        <v>210</v>
      </c>
      <c r="B53" s="23"/>
      <c r="C53" s="94"/>
      <c r="D53" s="249" t="n">
        <f aca="false">MIN(Debt!G115:V115)</f>
        <v>2.24708594628305</v>
      </c>
      <c r="E53" s="249" t="n">
        <f aca="false">AVERAGE(Debt!G115:V115)</f>
        <v>2.96692870223632</v>
      </c>
      <c r="F53" s="23"/>
      <c r="G53" s="24"/>
      <c r="J53" s="22" t="s">
        <v>211</v>
      </c>
      <c r="K53" s="23"/>
      <c r="L53" s="253" t="n">
        <v>0</v>
      </c>
      <c r="M53" s="253" t="n">
        <v>0</v>
      </c>
      <c r="N53" s="253" t="n">
        <v>0</v>
      </c>
      <c r="O53" s="94"/>
      <c r="P53" s="254" t="n">
        <v>6</v>
      </c>
      <c r="Q53" s="254" t="n">
        <v>6</v>
      </c>
      <c r="R53" s="255" t="n">
        <v>7</v>
      </c>
      <c r="S53" s="78"/>
      <c r="T53" s="112"/>
    </row>
    <row r="54" customFormat="false" ht="15.75" hidden="false" customHeight="false" outlineLevel="0" collapsed="false">
      <c r="A54" s="22"/>
      <c r="B54" s="23"/>
      <c r="C54" s="23"/>
      <c r="D54" s="23"/>
      <c r="E54" s="23"/>
      <c r="F54" s="23"/>
      <c r="G54" s="24"/>
      <c r="J54" s="22"/>
      <c r="K54" s="23"/>
      <c r="O54" s="94"/>
      <c r="P54" s="256"/>
      <c r="Q54" s="94"/>
      <c r="R54" s="257"/>
      <c r="S54" s="78"/>
      <c r="T54" s="112"/>
    </row>
    <row r="55" customFormat="false" ht="15.75" hidden="false" customHeight="false" outlineLevel="0" collapsed="false">
      <c r="A55" s="22"/>
      <c r="B55" s="23"/>
      <c r="C55" s="23"/>
      <c r="D55" s="90" t="s">
        <v>212</v>
      </c>
      <c r="E55" s="90" t="s">
        <v>213</v>
      </c>
      <c r="F55" s="90" t="s">
        <v>214</v>
      </c>
      <c r="G55" s="24"/>
      <c r="J55" s="258" t="s">
        <v>215</v>
      </c>
      <c r="K55" s="23"/>
      <c r="L55" s="23"/>
      <c r="M55" s="23"/>
      <c r="N55" s="23"/>
      <c r="O55" s="94"/>
      <c r="P55" s="23"/>
      <c r="Q55" s="23"/>
      <c r="R55" s="259"/>
      <c r="T55" s="112"/>
    </row>
    <row r="56" customFormat="false" ht="15.75" hidden="false" customHeight="false" outlineLevel="0" collapsed="false">
      <c r="A56" s="22" t="s">
        <v>216</v>
      </c>
      <c r="B56" s="23"/>
      <c r="C56" s="23"/>
      <c r="D56" s="220" t="n">
        <f aca="false">SUMPRODUCT(L9:N9,L12:N12)/SUM(L9:N9)</f>
        <v>11884.2939118265</v>
      </c>
      <c r="E56" s="220" t="n">
        <f aca="false">SUMPRODUCT(P9:R9,P12:R12)/SUM(P9:R9)</f>
        <v>11566.1398843931</v>
      </c>
      <c r="F56" s="220" t="n">
        <f aca="false">SUMPRODUCT(L9:R9,L12:R12)/SUM(L9:R9)</f>
        <v>11710.059512504</v>
      </c>
      <c r="G56" s="24"/>
      <c r="J56" s="22" t="s">
        <v>217</v>
      </c>
      <c r="K56" s="23"/>
      <c r="L56" s="260" t="n">
        <f aca="false">701.45*'Preset Scenarios'!C46</f>
        <v>701.45</v>
      </c>
      <c r="M56" s="260" t="n">
        <f aca="false">701.45*'Preset Scenarios'!C46</f>
        <v>701.45</v>
      </c>
      <c r="N56" s="260" t="n">
        <f aca="false">1026.392*'Preset Scenarios'!C46</f>
        <v>1026.392</v>
      </c>
      <c r="O56" s="94"/>
      <c r="P56" s="254" t="n">
        <f aca="false">997*'Preset Scenarios'!C46</f>
        <v>997</v>
      </c>
      <c r="Q56" s="254" t="n">
        <f aca="false">1165*'Preset Scenarios'!C46</f>
        <v>1165</v>
      </c>
      <c r="R56" s="255" t="n">
        <f aca="false">997*'Preset Scenarios'!C46</f>
        <v>997</v>
      </c>
      <c r="T56" s="112"/>
      <c r="U56" s="102"/>
    </row>
    <row r="57" customFormat="false" ht="15.75" hidden="false" customHeight="false" outlineLevel="0" collapsed="false">
      <c r="A57" s="161"/>
      <c r="B57" s="94"/>
      <c r="C57" s="94"/>
      <c r="D57" s="94"/>
      <c r="E57" s="94"/>
      <c r="F57" s="94"/>
      <c r="G57" s="129"/>
      <c r="J57" s="22" t="s">
        <v>218</v>
      </c>
      <c r="K57" s="23"/>
      <c r="L57" s="94"/>
      <c r="M57" s="94"/>
      <c r="N57" s="94"/>
      <c r="O57" s="94"/>
      <c r="P57" s="94"/>
      <c r="Q57" s="94"/>
      <c r="R57" s="129"/>
      <c r="S57" s="80"/>
      <c r="T57" s="112"/>
      <c r="U57" s="261"/>
    </row>
    <row r="58" customFormat="false" ht="15.75" hidden="false" customHeight="false" outlineLevel="0" collapsed="false">
      <c r="A58" s="22" t="s">
        <v>219</v>
      </c>
      <c r="B58" s="23"/>
      <c r="C58" s="23"/>
      <c r="D58" s="220" t="n">
        <f aca="false">SUM(L9:N9)</f>
        <v>1429</v>
      </c>
      <c r="E58" s="220" t="n">
        <f aca="false">SUM(P9:R9)</f>
        <v>1730</v>
      </c>
      <c r="F58" s="220" t="n">
        <f aca="false">SUM(D58:E58)</f>
        <v>3159</v>
      </c>
      <c r="G58" s="24"/>
      <c r="J58" s="22" t="s">
        <v>149</v>
      </c>
      <c r="K58" s="94"/>
      <c r="L58" s="262" t="n">
        <v>774.248</v>
      </c>
      <c r="M58" s="262" t="n">
        <f aca="false">M49*M16/1000*'Preset Scenarios'!C46</f>
        <v>472.12</v>
      </c>
      <c r="N58" s="262" t="n">
        <f aca="false">N49*N16/1000*'Preset Scenarios'!C46</f>
        <v>407.840177260982</v>
      </c>
      <c r="O58" s="262"/>
      <c r="P58" s="262" t="n">
        <v>744.673</v>
      </c>
      <c r="Q58" s="262" t="n">
        <v>656.2</v>
      </c>
      <c r="R58" s="263" t="n">
        <v>629.48</v>
      </c>
    </row>
    <row r="59" customFormat="false" ht="15.75" hidden="false" customHeight="false" outlineLevel="0" collapsed="false">
      <c r="A59" s="22"/>
      <c r="B59" s="94"/>
      <c r="C59" s="94"/>
      <c r="D59" s="220"/>
      <c r="E59" s="220"/>
      <c r="F59" s="220"/>
      <c r="G59" s="129"/>
      <c r="J59" s="22" t="s">
        <v>152</v>
      </c>
      <c r="K59" s="94"/>
      <c r="L59" s="262" t="n">
        <f aca="false">L49*L17/1000*'Preset Scenarios'!C46</f>
        <v>774.248</v>
      </c>
      <c r="M59" s="262" t="n">
        <f aca="false">M49*M17/1000*'Preset Scenarios'!C46</f>
        <v>488.142171945701</v>
      </c>
      <c r="N59" s="262" t="n">
        <f aca="false">N49*N17/1000*'Preset Scenarios'!C46</f>
        <v>421.175550904393</v>
      </c>
      <c r="O59" s="262"/>
      <c r="P59" s="262" t="n">
        <f aca="false">P49*P17/1000*'Preset Scenarios'!C46</f>
        <v>744.673</v>
      </c>
      <c r="Q59" s="262" t="n">
        <f aca="false">Q49*Q17/1000*'Preset Scenarios'!C46</f>
        <v>656.2</v>
      </c>
      <c r="R59" s="263" t="n">
        <f aca="false">R49*R17/1000*'Preset Scenarios'!C46</f>
        <v>629.48</v>
      </c>
    </row>
    <row r="60" customFormat="false" ht="15.75" hidden="false" customHeight="false" outlineLevel="0" collapsed="false">
      <c r="A60" s="22" t="s">
        <v>220</v>
      </c>
      <c r="B60" s="23"/>
      <c r="C60" s="23"/>
      <c r="D60" s="220" t="n">
        <f aca="false">G14/F58</f>
        <v>390.946502057613</v>
      </c>
      <c r="E60" s="23"/>
      <c r="F60" s="23"/>
      <c r="G60" s="24"/>
      <c r="J60" s="22" t="s">
        <v>221</v>
      </c>
      <c r="K60" s="94"/>
      <c r="L60" s="262" t="n">
        <f aca="false">L49*L34/1000*'Preset Scenarios'!$C$46</f>
        <v>824.036541694323</v>
      </c>
      <c r="M60" s="262" t="n">
        <f aca="false">M49*M34/1000*'Preset Scenarios'!$C$46</f>
        <v>527.159365067873</v>
      </c>
      <c r="N60" s="262" t="n">
        <f aca="false">N49*N34/1000*'Preset Scenarios'!$C$46</f>
        <v>468.511682213953</v>
      </c>
      <c r="O60" s="262"/>
      <c r="P60" s="262" t="n">
        <f aca="false">P49*P34/1000*'Preset Scenarios'!$C$46</f>
        <v>765.982328945098</v>
      </c>
      <c r="Q60" s="262" t="n">
        <f aca="false">Q49*Q34/1000*'Preset Scenarios'!$C$46</f>
        <v>704.099807659575</v>
      </c>
      <c r="R60" s="263" t="n">
        <f aca="false">R49*R34/1000*'Preset Scenarios'!$C$46</f>
        <v>675.637035131579</v>
      </c>
      <c r="T60" s="112"/>
      <c r="U60" s="264"/>
    </row>
    <row r="61" customFormat="false" ht="15.75" hidden="false" customHeight="false" outlineLevel="0" collapsed="false">
      <c r="A61" s="22"/>
      <c r="B61" s="23"/>
      <c r="C61" s="23"/>
      <c r="D61" s="220"/>
      <c r="E61" s="23"/>
      <c r="F61" s="23"/>
      <c r="G61" s="24"/>
      <c r="J61" s="22" t="s">
        <v>222</v>
      </c>
      <c r="K61" s="23"/>
      <c r="L61" s="260" t="n">
        <v>1973.16</v>
      </c>
      <c r="M61" s="260" t="n">
        <v>1349.28</v>
      </c>
      <c r="N61" s="260" t="n">
        <v>1349.28</v>
      </c>
      <c r="O61" s="265"/>
      <c r="P61" s="260" t="n">
        <v>2296.44</v>
      </c>
      <c r="Q61" s="260" t="n">
        <v>2078.4</v>
      </c>
      <c r="R61" s="266" t="n">
        <v>1799.04</v>
      </c>
      <c r="T61" s="112"/>
    </row>
    <row r="62" customFormat="false" ht="18.75" hidden="false" customHeight="false" outlineLevel="0" collapsed="false">
      <c r="A62" s="22" t="s">
        <v>223</v>
      </c>
      <c r="B62" s="23"/>
      <c r="C62" s="23"/>
      <c r="D62" s="267" t="n">
        <f aca="false">IRR!D62</f>
        <v>0.131961152545628</v>
      </c>
      <c r="E62" s="23"/>
      <c r="F62" s="23"/>
      <c r="G62" s="24"/>
      <c r="J62" s="22" t="s">
        <v>224</v>
      </c>
      <c r="K62" s="23"/>
      <c r="L62" s="260" t="n">
        <f aca="false">223.76*'Preset Scenarios'!C46</f>
        <v>223.76</v>
      </c>
      <c r="M62" s="260" t="n">
        <f aca="false">255.76*'Preset Scenarios'!C46</f>
        <v>255.76</v>
      </c>
      <c r="N62" s="260" t="n">
        <f aca="false">250.64*'Preset Scenarios'!C46</f>
        <v>250.64</v>
      </c>
      <c r="O62" s="265"/>
      <c r="P62" s="260" t="n">
        <f aca="false">267*'Preset Scenarios'!C46</f>
        <v>267</v>
      </c>
      <c r="Q62" s="260" t="n">
        <f aca="false">265*'Preset Scenarios'!C46</f>
        <v>265</v>
      </c>
      <c r="R62" s="266" t="n">
        <f aca="false">291*'Preset Scenarios'!C46</f>
        <v>291</v>
      </c>
      <c r="T62" s="112"/>
    </row>
    <row r="63" customFormat="false" ht="18.75" hidden="false" customHeight="false" outlineLevel="0" collapsed="false">
      <c r="A63" s="22" t="s">
        <v>225</v>
      </c>
      <c r="B63" s="23"/>
      <c r="C63" s="23"/>
      <c r="D63" s="267" t="n">
        <f aca="false">IRR!D66</f>
        <v>0.150019096833093</v>
      </c>
      <c r="E63" s="23"/>
      <c r="F63" s="23"/>
      <c r="G63" s="24"/>
      <c r="J63" s="22" t="s">
        <v>226</v>
      </c>
      <c r="K63" s="23"/>
      <c r="L63" s="260" t="n">
        <f aca="false">342.956*'Preset Scenarios'!C46</f>
        <v>342.956</v>
      </c>
      <c r="M63" s="260" t="n">
        <f aca="false">'Preset Scenarios'!C46*443.2203</f>
        <v>443.2203</v>
      </c>
      <c r="N63" s="260" t="n">
        <f aca="false">334.105*'Preset Scenarios'!C46</f>
        <v>334.105</v>
      </c>
      <c r="O63" s="265"/>
      <c r="P63" s="260" t="n">
        <f aca="false">325*'Preset Scenarios'!C46</f>
        <v>325</v>
      </c>
      <c r="Q63" s="260" t="n">
        <f aca="false">327*'Preset Scenarios'!C46</f>
        <v>327</v>
      </c>
      <c r="R63" s="266" t="n">
        <f aca="false">491*'Preset Scenarios'!C46</f>
        <v>491</v>
      </c>
      <c r="T63" s="112"/>
    </row>
    <row r="64" customFormat="false" ht="18.75" hidden="false" customHeight="false" outlineLevel="0" collapsed="false">
      <c r="A64" s="22" t="s">
        <v>227</v>
      </c>
      <c r="B64" s="218"/>
      <c r="C64" s="107"/>
      <c r="D64" s="267" t="n">
        <f aca="false">IRR!D70</f>
        <v>0.142802490615289</v>
      </c>
      <c r="E64" s="23"/>
      <c r="F64" s="23"/>
      <c r="G64" s="24"/>
      <c r="J64" s="22" t="s">
        <v>228</v>
      </c>
      <c r="K64" s="23"/>
      <c r="L64" s="260" t="n">
        <f aca="false">92.957*'Preset Scenarios'!C46</f>
        <v>92.957</v>
      </c>
      <c r="M64" s="260" t="n">
        <f aca="false">44.11203*'Preset Scenarios'!C46</f>
        <v>44.11203</v>
      </c>
      <c r="N64" s="260" t="n">
        <f aca="false">77.052*'Preset Scenarios'!C46</f>
        <v>77.052</v>
      </c>
      <c r="O64" s="265"/>
      <c r="P64" s="260" t="n">
        <f aca="false">70*'Preset Scenarios'!C46</f>
        <v>70</v>
      </c>
      <c r="Q64" s="260" t="n">
        <f aca="false">95*'Preset Scenarios'!C46</f>
        <v>95</v>
      </c>
      <c r="R64" s="266" t="n">
        <f aca="false">64.4*'Preset Scenarios'!C46</f>
        <v>64.4</v>
      </c>
      <c r="T64" s="112"/>
    </row>
    <row r="65" customFormat="false" ht="15.75" hidden="false" customHeight="false" outlineLevel="0" collapsed="false">
      <c r="A65" s="22"/>
      <c r="B65" s="218"/>
      <c r="C65" s="107"/>
      <c r="D65" s="267"/>
      <c r="E65" s="23"/>
      <c r="F65" s="23"/>
      <c r="G65" s="24"/>
      <c r="J65" s="22" t="s">
        <v>229</v>
      </c>
      <c r="K65" s="23"/>
      <c r="L65" s="260" t="n">
        <v>158.477508650519</v>
      </c>
      <c r="M65" s="260" t="n">
        <v>152.941176470588</v>
      </c>
      <c r="N65" s="260" t="n">
        <v>127</v>
      </c>
      <c r="O65" s="265"/>
      <c r="P65" s="260" t="n">
        <v>176.470588235294</v>
      </c>
      <c r="Q65" s="260" t="n">
        <v>162.629757785467</v>
      </c>
      <c r="R65" s="266" t="n">
        <v>210.38062283737</v>
      </c>
      <c r="T65" s="112"/>
    </row>
    <row r="66" customFormat="false" ht="15.75" hidden="false" customHeight="false" outlineLevel="0" collapsed="false">
      <c r="A66" s="161"/>
      <c r="B66" s="94"/>
      <c r="C66" s="94"/>
      <c r="D66" s="194"/>
      <c r="E66" s="94"/>
      <c r="F66" s="94"/>
      <c r="G66" s="129"/>
      <c r="J66" s="22" t="s">
        <v>230</v>
      </c>
      <c r="K66" s="23"/>
      <c r="L66" s="260" t="n">
        <v>200</v>
      </c>
      <c r="M66" s="260" t="n">
        <v>200</v>
      </c>
      <c r="N66" s="260" t="n">
        <v>200</v>
      </c>
      <c r="O66" s="265"/>
      <c r="P66" s="260" t="n">
        <v>250</v>
      </c>
      <c r="Q66" s="260" t="n">
        <v>250</v>
      </c>
      <c r="R66" s="266" t="n">
        <v>250</v>
      </c>
      <c r="T66" s="112"/>
    </row>
    <row r="67" customFormat="false" ht="15.75" hidden="false" customHeight="false" outlineLevel="0" collapsed="false">
      <c r="A67" s="22"/>
      <c r="B67" s="90" t="n">
        <v>2000</v>
      </c>
      <c r="C67" s="90" t="n">
        <v>2001</v>
      </c>
      <c r="D67" s="90" t="n">
        <v>2002</v>
      </c>
      <c r="E67" s="90" t="n">
        <v>2003</v>
      </c>
      <c r="F67" s="90" t="n">
        <v>2004</v>
      </c>
      <c r="G67" s="129"/>
      <c r="J67" s="22"/>
      <c r="K67" s="23"/>
      <c r="L67" s="23"/>
      <c r="M67" s="23"/>
      <c r="N67" s="23"/>
      <c r="O67" s="94"/>
      <c r="P67" s="23"/>
      <c r="Q67" s="23"/>
      <c r="R67" s="24"/>
      <c r="T67" s="112"/>
    </row>
    <row r="68" customFormat="false" ht="15.75" hidden="false" customHeight="false" outlineLevel="0" collapsed="false">
      <c r="A68" s="22" t="s">
        <v>231</v>
      </c>
      <c r="B68" s="220" t="n">
        <f aca="false">IS!E38</f>
        <v>89715.843466456</v>
      </c>
      <c r="C68" s="220" t="n">
        <f aca="false">IS!F38</f>
        <v>122372.11600516</v>
      </c>
      <c r="D68" s="220" t="n">
        <f aca="false">IS!G38</f>
        <v>121860.672632795</v>
      </c>
      <c r="E68" s="220" t="n">
        <f aca="false">IS!H38</f>
        <v>187651.640149133</v>
      </c>
      <c r="F68" s="220" t="n">
        <f aca="false">IS!I38</f>
        <v>190109.102175011</v>
      </c>
      <c r="G68" s="129"/>
      <c r="J68" s="258" t="s">
        <v>232</v>
      </c>
      <c r="K68" s="23"/>
      <c r="L68" s="107"/>
      <c r="M68" s="23"/>
      <c r="N68" s="23"/>
      <c r="O68" s="94"/>
      <c r="P68" s="23"/>
      <c r="Q68" s="23"/>
      <c r="R68" s="24"/>
      <c r="T68" s="112"/>
    </row>
    <row r="69" customFormat="false" ht="16.5" hidden="false" customHeight="false" outlineLevel="0" collapsed="false">
      <c r="A69" s="22" t="s">
        <v>233</v>
      </c>
      <c r="B69" s="220" t="n">
        <f aca="false">IS!E53</f>
        <v>6818.51865478034</v>
      </c>
      <c r="C69" s="220" t="n">
        <f aca="false">IS!F53</f>
        <v>10578.1754327308</v>
      </c>
      <c r="D69" s="220" t="n">
        <f aca="false">IS!G53</f>
        <v>11629.2730273921</v>
      </c>
      <c r="E69" s="220" t="n">
        <f aca="false">IS!H53</f>
        <v>53154.4594810632</v>
      </c>
      <c r="F69" s="220" t="n">
        <f aca="false">IS!I53</f>
        <v>55540.5052105094</v>
      </c>
      <c r="G69" s="129"/>
      <c r="J69" s="130" t="s">
        <v>234</v>
      </c>
      <c r="K69" s="212"/>
      <c r="L69" s="268" t="n">
        <v>902.185130690073</v>
      </c>
      <c r="M69" s="268" t="n">
        <v>844.786975790309</v>
      </c>
      <c r="N69" s="268" t="n">
        <v>1002.96034501681</v>
      </c>
      <c r="O69" s="269"/>
      <c r="P69" s="268" t="n">
        <v>483.377714447168</v>
      </c>
      <c r="Q69" s="268" t="n">
        <v>496.737585305033</v>
      </c>
      <c r="R69" s="270" t="n">
        <v>523.697609923649</v>
      </c>
    </row>
    <row r="70" customFormat="false" ht="15.75" hidden="false" customHeight="false" outlineLevel="0" collapsed="false">
      <c r="A70" s="22" t="s">
        <v>235</v>
      </c>
      <c r="B70" s="220" t="n">
        <f aca="false">CF!G18</f>
        <v>57205.7095701885</v>
      </c>
      <c r="C70" s="220" t="n">
        <f aca="false">CF!H18</f>
        <v>28047.4184989096</v>
      </c>
      <c r="D70" s="220" t="n">
        <f aca="false">CF!I18</f>
        <v>28095.902307795</v>
      </c>
      <c r="E70" s="220" t="n">
        <f aca="false">CF!J18</f>
        <v>104294.339099133</v>
      </c>
      <c r="F70" s="220" t="n">
        <f aca="false">CF!K18</f>
        <v>105710.579925011</v>
      </c>
      <c r="G70" s="129"/>
      <c r="J70" s="1" t="s">
        <v>236</v>
      </c>
    </row>
    <row r="71" customFormat="false" ht="16.5" hidden="false" customHeight="false" outlineLevel="0" collapsed="false">
      <c r="A71" s="130" t="s">
        <v>237</v>
      </c>
      <c r="B71" s="236" t="n">
        <f aca="false">CF!G27</f>
        <v>65033.3077306681</v>
      </c>
      <c r="C71" s="236" t="n">
        <f aca="false">CF!H27</f>
        <v>49491.7988359307</v>
      </c>
      <c r="D71" s="236" t="n">
        <f aca="false">CF!I27</f>
        <v>44915.6287886673</v>
      </c>
      <c r="E71" s="236" t="n">
        <f aca="false">CF!J27</f>
        <v>93719.6850317652</v>
      </c>
      <c r="F71" s="236" t="n">
        <f aca="false">CF!K27</f>
        <v>90510.2428324779</v>
      </c>
      <c r="G71" s="197"/>
      <c r="J71" s="0"/>
      <c r="K71" s="0"/>
      <c r="L71" s="0"/>
      <c r="M71" s="0"/>
      <c r="N71" s="0"/>
      <c r="O71" s="0"/>
      <c r="P71" s="0"/>
      <c r="Q71" s="0"/>
      <c r="R71" s="0"/>
      <c r="W71" s="94"/>
      <c r="X71" s="94"/>
      <c r="Y71" s="94"/>
      <c r="Z71" s="94"/>
      <c r="AA71" s="94"/>
      <c r="AB71" s="94"/>
      <c r="AC71" s="94"/>
      <c r="AD71" s="94"/>
      <c r="AE71" s="94"/>
      <c r="AF71" s="94"/>
      <c r="AG71" s="94"/>
      <c r="AH71" s="94"/>
      <c r="AI71" s="94"/>
      <c r="AJ71" s="94"/>
    </row>
    <row r="72" customFormat="false" ht="12.75" hidden="false" customHeight="false" outlineLevel="0" collapsed="false">
      <c r="J72" s="0"/>
      <c r="K72" s="0"/>
      <c r="L72" s="0"/>
      <c r="M72" s="0"/>
      <c r="N72" s="0"/>
      <c r="O72" s="0"/>
      <c r="P72" s="0"/>
      <c r="Q72" s="271"/>
      <c r="R72" s="0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</row>
    <row r="73" customFormat="false" ht="15.75" hidden="true" customHeight="false" outlineLevel="0" collapsed="false">
      <c r="A73" s="1" t="str">
        <f aca="false">CONCATENATE("(1) Assumes $",-CF!F51/1000," million equity inflow on 12/31/99 and $",-CF!F51/1000," million on 3/31/00.")</f>
        <v>(1) Assumes $133.75 million equity inflow on 12/31/99 and $133.75 million on 3/31/00.</v>
      </c>
      <c r="S73" s="88"/>
      <c r="T73" s="88"/>
      <c r="U73" s="88"/>
      <c r="V73" s="94"/>
      <c r="W73" s="94"/>
      <c r="X73" s="94"/>
      <c r="Y73" s="94"/>
      <c r="Z73" s="94"/>
      <c r="AA73" s="94"/>
      <c r="AB73" s="94"/>
      <c r="AC73" s="94"/>
      <c r="AD73" s="94"/>
      <c r="AE73" s="94"/>
      <c r="AF73" s="94"/>
      <c r="AG73" s="94"/>
      <c r="AH73" s="94"/>
      <c r="AI73" s="94"/>
      <c r="AJ73" s="94"/>
    </row>
    <row r="74" customFormat="false" ht="15.75" hidden="true" customHeight="false" outlineLevel="0" collapsed="false">
      <c r="J74" s="84" t="s">
        <v>238</v>
      </c>
      <c r="K74" s="85"/>
      <c r="L74" s="86" t="s">
        <v>120</v>
      </c>
      <c r="M74" s="86"/>
      <c r="N74" s="86"/>
      <c r="O74" s="19"/>
      <c r="P74" s="87" t="s">
        <v>121</v>
      </c>
      <c r="Q74" s="87"/>
      <c r="R74" s="87"/>
      <c r="S74" s="94"/>
      <c r="T74" s="94"/>
      <c r="U74" s="94"/>
      <c r="V74" s="94"/>
      <c r="W74" s="245"/>
      <c r="X74" s="94"/>
      <c r="Y74" s="94"/>
      <c r="Z74" s="94"/>
      <c r="AA74" s="94"/>
      <c r="AB74" s="94"/>
      <c r="AC74" s="94"/>
      <c r="AD74" s="94"/>
      <c r="AE74" s="94"/>
      <c r="AF74" s="94"/>
      <c r="AG74" s="94"/>
      <c r="AH74" s="94"/>
      <c r="AI74" s="94"/>
      <c r="AJ74" s="94"/>
    </row>
    <row r="75" customFormat="false" ht="15.75" hidden="true" customHeight="false" outlineLevel="0" collapsed="false">
      <c r="J75" s="272" t="s">
        <v>239</v>
      </c>
      <c r="K75" s="23"/>
      <c r="L75" s="23"/>
      <c r="M75" s="23"/>
      <c r="N75" s="23"/>
      <c r="O75" s="94"/>
      <c r="P75" s="23"/>
      <c r="Q75" s="23"/>
      <c r="R75" s="24"/>
      <c r="S75" s="94"/>
      <c r="T75" s="94"/>
      <c r="U75" s="94"/>
      <c r="V75" s="94"/>
      <c r="W75" s="245"/>
      <c r="X75" s="94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4"/>
    </row>
    <row r="76" customFormat="false" ht="15.75" hidden="true" customHeight="false" outlineLevel="0" collapsed="false">
      <c r="J76" s="22"/>
      <c r="K76" s="23"/>
      <c r="L76" s="103" t="s">
        <v>128</v>
      </c>
      <c r="M76" s="103" t="s">
        <v>129</v>
      </c>
      <c r="N76" s="103" t="s">
        <v>130</v>
      </c>
      <c r="O76" s="94"/>
      <c r="P76" s="103" t="s">
        <v>131</v>
      </c>
      <c r="Q76" s="103" t="s">
        <v>132</v>
      </c>
      <c r="R76" s="104" t="s">
        <v>133</v>
      </c>
      <c r="S76" s="273"/>
      <c r="T76" s="273"/>
      <c r="U76" s="94"/>
      <c r="V76" s="94"/>
      <c r="W76" s="245"/>
      <c r="X76" s="94"/>
      <c r="Y76" s="94"/>
      <c r="Z76" s="94"/>
      <c r="AA76" s="94"/>
      <c r="AB76" s="94"/>
      <c r="AC76" s="94"/>
      <c r="AD76" s="94"/>
      <c r="AE76" s="94"/>
      <c r="AF76" s="94"/>
      <c r="AG76" s="94"/>
      <c r="AH76" s="94"/>
      <c r="AI76" s="94"/>
      <c r="AJ76" s="94"/>
    </row>
    <row r="77" customFormat="false" ht="15.75" hidden="true" customHeight="false" outlineLevel="0" collapsed="false">
      <c r="J77" s="62" t="s">
        <v>240</v>
      </c>
      <c r="K77" s="208"/>
      <c r="L77" s="273" t="n">
        <f aca="false">SUM(L56,L62,L63,L64,L65,L66,L69,L61)/L9/1.03</f>
        <v>8.92222454240892</v>
      </c>
      <c r="M77" s="273" t="n">
        <f aca="false">SUM(M56,M62,M63,M64,M65,M66,M69,M61)/M9/1.03</f>
        <v>7.68907089355235</v>
      </c>
      <c r="N77" s="273" t="n">
        <f aca="false">SUM(N56,N62,N63,N64,N65,N66,N69,N61)/N9/1.03</f>
        <v>9.97699450603496</v>
      </c>
      <c r="O77" s="274"/>
      <c r="P77" s="273" t="n">
        <f aca="false">SUM(P56,P62,P63,P64,P65,P66,P69,P61)/P9/1.03</f>
        <v>8.68305308160062</v>
      </c>
      <c r="Q77" s="273" t="n">
        <f aca="false">SUM(Q56,Q62,Q63,Q64,Q65,Q66,Q69,Q61)/Q9/1.03</f>
        <v>9.14164055587341</v>
      </c>
      <c r="R77" s="275" t="n">
        <f aca="false">SUM(R56,R62,R63,R64,R65,R66,R69,R61)/R9/1.03</f>
        <v>6.68417451566259</v>
      </c>
      <c r="S77" s="276"/>
      <c r="T77" s="276"/>
      <c r="U77" s="94"/>
      <c r="V77" s="94"/>
      <c r="W77" s="274"/>
      <c r="X77" s="273"/>
      <c r="Y77" s="273"/>
      <c r="Z77" s="273"/>
      <c r="AA77" s="94"/>
      <c r="AB77" s="94"/>
      <c r="AC77" s="94"/>
      <c r="AD77" s="94"/>
      <c r="AE77" s="94"/>
      <c r="AF77" s="94"/>
      <c r="AG77" s="94"/>
      <c r="AH77" s="94"/>
      <c r="AI77" s="94"/>
      <c r="AJ77" s="94"/>
    </row>
    <row r="78" customFormat="false" ht="15.75" hidden="true" customHeight="false" outlineLevel="0" collapsed="false">
      <c r="J78" s="62" t="s">
        <v>241</v>
      </c>
      <c r="K78" s="208"/>
      <c r="L78" s="276" t="n">
        <f aca="false">L59/(L9*L14)*1000/1.03</f>
        <v>1.2528284789644</v>
      </c>
      <c r="M78" s="276" t="n">
        <f aca="false">M59/(M9*M14)*1000/1.03</f>
        <v>0.783605222854223</v>
      </c>
      <c r="N78" s="276" t="n">
        <f aca="false">N59/(N9*N14)*1000/1.03</f>
        <v>0.900877510132022</v>
      </c>
      <c r="O78" s="277"/>
      <c r="P78" s="276" t="n">
        <f aca="false">P59/(P9*P14)*1000/1.03</f>
        <v>1.10751148153436</v>
      </c>
      <c r="Q78" s="276" t="n">
        <f aca="false">Q59/(Q9*Q14)*1000/1.03</f>
        <v>1.03289134020878</v>
      </c>
      <c r="R78" s="278" t="n">
        <f aca="false">R59/(R9*R14)*1000/1.03</f>
        <v>0.757869086145785</v>
      </c>
      <c r="S78" s="279"/>
      <c r="T78" s="280"/>
      <c r="U78" s="273"/>
      <c r="V78" s="273"/>
      <c r="W78" s="277"/>
      <c r="X78" s="276"/>
      <c r="Y78" s="276"/>
      <c r="Z78" s="276"/>
      <c r="AA78" s="94"/>
      <c r="AB78" s="94"/>
      <c r="AC78" s="94"/>
      <c r="AD78" s="94"/>
      <c r="AE78" s="94"/>
      <c r="AF78" s="94"/>
      <c r="AG78" s="94"/>
      <c r="AH78" s="94"/>
      <c r="AI78" s="94"/>
      <c r="AJ78" s="94"/>
    </row>
    <row r="79" customFormat="false" ht="15.75" hidden="true" customHeight="false" outlineLevel="0" collapsed="false">
      <c r="J79" s="62" t="s">
        <v>242</v>
      </c>
      <c r="K79" s="208"/>
      <c r="L79" s="281"/>
      <c r="M79" s="281"/>
      <c r="N79" s="281"/>
      <c r="O79" s="281"/>
      <c r="P79" s="281"/>
      <c r="Q79" s="281"/>
      <c r="R79" s="282"/>
      <c r="S79" s="280"/>
      <c r="T79" s="28"/>
      <c r="U79" s="276"/>
      <c r="V79" s="276"/>
      <c r="W79" s="279"/>
      <c r="X79" s="280"/>
      <c r="Y79" s="280"/>
      <c r="Z79" s="280"/>
      <c r="AA79" s="94"/>
      <c r="AB79" s="94"/>
      <c r="AC79" s="94"/>
      <c r="AD79" s="94"/>
      <c r="AE79" s="94"/>
      <c r="AF79" s="94"/>
      <c r="AG79" s="94"/>
      <c r="AH79" s="94"/>
      <c r="AI79" s="94"/>
      <c r="AJ79" s="94"/>
    </row>
    <row r="80" customFormat="false" ht="16.5" hidden="true" customHeight="false" outlineLevel="0" collapsed="false">
      <c r="J80" s="66" t="s">
        <v>243</v>
      </c>
      <c r="K80" s="283"/>
      <c r="L80" s="284" t="n">
        <f aca="false">L12</f>
        <v>11411</v>
      </c>
      <c r="M80" s="284" t="n">
        <f aca="false">M12</f>
        <v>12064</v>
      </c>
      <c r="N80" s="284" t="n">
        <f aca="false">N12</f>
        <v>12228</v>
      </c>
      <c r="O80" s="283"/>
      <c r="P80" s="284" t="n">
        <f aca="false">P12</f>
        <v>10904</v>
      </c>
      <c r="Q80" s="284" t="n">
        <f aca="false">Q12</f>
        <v>11735</v>
      </c>
      <c r="R80" s="285" t="n">
        <f aca="false">R12</f>
        <v>11973</v>
      </c>
      <c r="S80" s="94"/>
      <c r="T80" s="280"/>
      <c r="U80" s="280"/>
      <c r="V80" s="280"/>
      <c r="W80" s="279"/>
      <c r="X80" s="280"/>
      <c r="Y80" s="280"/>
      <c r="Z80" s="280"/>
      <c r="AA80" s="94"/>
      <c r="AB80" s="94"/>
      <c r="AC80" s="94"/>
      <c r="AD80" s="94"/>
      <c r="AE80" s="94"/>
      <c r="AF80" s="94"/>
      <c r="AG80" s="94"/>
      <c r="AH80" s="94"/>
      <c r="AI80" s="94"/>
      <c r="AJ80" s="94"/>
    </row>
    <row r="81" customFormat="false" ht="15.75" hidden="true" customHeight="false" outlineLevel="0" collapsed="false">
      <c r="J81" s="70" t="s">
        <v>244</v>
      </c>
      <c r="K81" s="208"/>
      <c r="L81" s="155"/>
      <c r="M81" s="155"/>
      <c r="N81" s="155"/>
      <c r="O81" s="208"/>
      <c r="P81" s="155"/>
      <c r="Q81" s="155"/>
      <c r="R81" s="155"/>
      <c r="S81" s="94"/>
      <c r="T81" s="280"/>
      <c r="U81" s="280"/>
      <c r="V81" s="280"/>
      <c r="W81" s="94"/>
      <c r="X81" s="94"/>
      <c r="Y81" s="94"/>
      <c r="Z81" s="94"/>
      <c r="AA81" s="94"/>
      <c r="AB81" s="94"/>
      <c r="AC81" s="94"/>
      <c r="AD81" s="94"/>
      <c r="AE81" s="94"/>
      <c r="AF81" s="94"/>
      <c r="AG81" s="94"/>
      <c r="AH81" s="94"/>
      <c r="AI81" s="94"/>
      <c r="AJ81" s="94"/>
    </row>
    <row r="82" customFormat="false" ht="15.75" hidden="true" customHeight="false" outlineLevel="0" collapsed="false">
      <c r="J82" s="70" t="s">
        <v>245</v>
      </c>
      <c r="K82" s="208"/>
      <c r="L82" s="137"/>
      <c r="M82" s="137"/>
      <c r="N82" s="137"/>
      <c r="O82" s="137"/>
      <c r="P82" s="137"/>
      <c r="Q82" s="137"/>
      <c r="R82" s="137"/>
      <c r="S82" s="94"/>
      <c r="T82" s="94"/>
      <c r="U82" s="94"/>
      <c r="V82" s="94"/>
    </row>
    <row r="83" customFormat="false" ht="15.75" hidden="true" customHeight="false" outlineLevel="0" collapsed="false">
      <c r="J83" s="208"/>
      <c r="K83" s="208"/>
      <c r="L83" s="102"/>
      <c r="M83" s="102"/>
      <c r="N83" s="102"/>
      <c r="O83" s="102"/>
      <c r="P83" s="102"/>
      <c r="Q83" s="102"/>
      <c r="R83" s="102"/>
    </row>
    <row r="84" customFormat="false" ht="15.75" hidden="true" customHeight="false" outlineLevel="0" collapsed="false">
      <c r="J84" s="208"/>
      <c r="K84" s="70"/>
      <c r="L84" s="143"/>
      <c r="M84" s="143"/>
      <c r="N84" s="143"/>
      <c r="O84" s="143"/>
      <c r="P84" s="144"/>
      <c r="Q84" s="144"/>
      <c r="R84" s="144"/>
      <c r="S84" s="88"/>
      <c r="T84" s="88"/>
      <c r="U84" s="88"/>
    </row>
    <row r="85" customFormat="false" ht="15.75" hidden="true" customHeight="false" outlineLevel="0" collapsed="false">
      <c r="J85" s="84" t="s">
        <v>238</v>
      </c>
      <c r="K85" s="85"/>
      <c r="L85" s="86" t="s">
        <v>120</v>
      </c>
      <c r="M85" s="86"/>
      <c r="N85" s="86"/>
      <c r="O85" s="19"/>
      <c r="P85" s="87" t="s">
        <v>121</v>
      </c>
      <c r="Q85" s="87"/>
      <c r="R85" s="87"/>
      <c r="S85" s="94"/>
      <c r="T85" s="94"/>
      <c r="U85" s="94"/>
    </row>
    <row r="86" customFormat="false" ht="15.75" hidden="true" customHeight="false" outlineLevel="0" collapsed="false">
      <c r="J86" s="272" t="s">
        <v>239</v>
      </c>
      <c r="K86" s="23"/>
      <c r="L86" s="23"/>
      <c r="M86" s="23"/>
      <c r="N86" s="23"/>
      <c r="O86" s="94"/>
      <c r="P86" s="23"/>
      <c r="Q86" s="23"/>
      <c r="R86" s="24"/>
      <c r="S86" s="94"/>
      <c r="T86" s="94"/>
      <c r="U86" s="94"/>
    </row>
    <row r="87" customFormat="false" ht="15.75" hidden="true" customHeight="false" outlineLevel="0" collapsed="false">
      <c r="J87" s="22"/>
      <c r="K87" s="23"/>
      <c r="L87" s="103" t="s">
        <v>128</v>
      </c>
      <c r="M87" s="103" t="s">
        <v>129</v>
      </c>
      <c r="N87" s="103" t="s">
        <v>130</v>
      </c>
      <c r="O87" s="94"/>
      <c r="P87" s="103" t="s">
        <v>131</v>
      </c>
      <c r="Q87" s="103" t="s">
        <v>132</v>
      </c>
      <c r="R87" s="104" t="s">
        <v>133</v>
      </c>
      <c r="S87" s="273"/>
      <c r="T87" s="273"/>
      <c r="U87" s="94"/>
    </row>
    <row r="88" customFormat="false" ht="15.75" hidden="true" customHeight="false" outlineLevel="0" collapsed="false">
      <c r="J88" s="62" t="s">
        <v>240</v>
      </c>
      <c r="K88" s="208"/>
      <c r="L88" s="273" t="n">
        <v>5.09084590163222</v>
      </c>
      <c r="M88" s="273" t="n">
        <v>5.08990307108356</v>
      </c>
      <c r="N88" s="273" t="n">
        <v>6.9104725976445</v>
      </c>
      <c r="O88" s="274"/>
      <c r="P88" s="273" t="n">
        <v>4.58460933517001</v>
      </c>
      <c r="Q88" s="273" t="n">
        <v>5.21583495729383</v>
      </c>
      <c r="R88" s="275" t="n">
        <v>4.0850066931938</v>
      </c>
      <c r="S88" s="94"/>
      <c r="T88" s="273"/>
      <c r="U88" s="94"/>
    </row>
    <row r="89" customFormat="false" ht="15.75" hidden="true" customHeight="false" outlineLevel="0" collapsed="false">
      <c r="J89" s="62" t="s">
        <v>246</v>
      </c>
      <c r="K89" s="94"/>
      <c r="L89" s="273" t="n">
        <f aca="false">SUM(L56,L62,L63,L64,L65,L66,L69,2/3*L61)/L9/1.03</f>
        <v>7.64509832881668</v>
      </c>
      <c r="M89" s="273" t="n">
        <f aca="false">SUM(M56,M62,M63,M64,M65,M66,M69,2/3*M61)/M9/1.03</f>
        <v>6.82268161939609</v>
      </c>
      <c r="N89" s="273" t="n">
        <f aca="false">SUM(N56,N62,N63,N64,N65,N66,N69,2/3*N61)/N9/1.03</f>
        <v>8.94955875503553</v>
      </c>
      <c r="O89" s="94"/>
      <c r="P89" s="273" t="n">
        <f aca="false">SUM(P56,P62,P63,P64,P65,P66,P69,2/3*P61)/P9/1.03</f>
        <v>7.31690516612375</v>
      </c>
      <c r="Q89" s="273" t="n">
        <f aca="false">SUM(Q56,Q62,Q63,Q64,Q65,Q66,Q69,2/3*Q61)/Q9/1.03</f>
        <v>7.83303868968021</v>
      </c>
      <c r="R89" s="275" t="n">
        <f aca="false">SUM(R56,R62,R63,R64,R65,R66,R69,2/3*R61)/R9/1.03</f>
        <v>5.81778524150633</v>
      </c>
      <c r="S89" s="276"/>
      <c r="T89" s="276"/>
      <c r="U89" s="94"/>
    </row>
    <row r="90" customFormat="false" ht="15.75" hidden="true" customHeight="false" outlineLevel="0" collapsed="false">
      <c r="J90" s="62" t="s">
        <v>241</v>
      </c>
      <c r="K90" s="208"/>
      <c r="L90" s="276" t="n">
        <v>1.2528284789644</v>
      </c>
      <c r="M90" s="276" t="n">
        <v>0.7578851389531</v>
      </c>
      <c r="N90" s="276" t="n">
        <v>0.919893394250904</v>
      </c>
      <c r="O90" s="277"/>
      <c r="P90" s="276" t="n">
        <v>1.10751148153436</v>
      </c>
      <c r="Q90" s="276" t="n">
        <v>1.03289134020878</v>
      </c>
      <c r="R90" s="278" t="n">
        <v>0.757869086145785</v>
      </c>
      <c r="S90" s="286"/>
      <c r="T90" s="276"/>
      <c r="U90" s="94"/>
    </row>
    <row r="91" customFormat="false" ht="15.75" hidden="true" customHeight="false" outlineLevel="0" collapsed="false">
      <c r="J91" s="62" t="s">
        <v>247</v>
      </c>
      <c r="K91" s="94"/>
      <c r="L91" s="276" t="n">
        <f aca="false">L59/(L9*L14)*1000/1.03+1/3*(L77-L88)</f>
        <v>2.52995469255663</v>
      </c>
      <c r="M91" s="276" t="n">
        <f aca="false">M59/(M9*M14)*1000/1.03+1/3*(M77-M88)</f>
        <v>1.64999449701049</v>
      </c>
      <c r="N91" s="276" t="n">
        <f aca="false">N59/(N9*N14)*1000/1.03+1/3*(N77-N88)</f>
        <v>1.92305147959551</v>
      </c>
      <c r="O91" s="286"/>
      <c r="P91" s="276" t="n">
        <f aca="false">P59/(P9*P14)*1000/1.03+1/3*(P77-P88)</f>
        <v>2.47365939701123</v>
      </c>
      <c r="Q91" s="276" t="n">
        <f aca="false">Q59/(Q9*Q14)*1000/1.03+1/3*(Q77-Q88)</f>
        <v>2.34149320640197</v>
      </c>
      <c r="R91" s="278" t="n">
        <f aca="false">R59/(R9*R14)*1000/1.03+1/3*(R77-R88)</f>
        <v>1.62425836030205</v>
      </c>
      <c r="S91" s="279"/>
      <c r="T91" s="280"/>
      <c r="U91" s="273"/>
    </row>
    <row r="92" customFormat="false" ht="15.75" hidden="true" customHeight="false" outlineLevel="0" collapsed="false">
      <c r="J92" s="62" t="s">
        <v>242</v>
      </c>
      <c r="K92" s="208"/>
      <c r="L92" s="281"/>
      <c r="M92" s="281"/>
      <c r="N92" s="281"/>
      <c r="O92" s="281"/>
      <c r="P92" s="281"/>
      <c r="Q92" s="281"/>
      <c r="R92" s="282"/>
      <c r="S92" s="280"/>
      <c r="T92" s="28"/>
      <c r="U92" s="276"/>
    </row>
    <row r="93" customFormat="false" ht="16.5" hidden="true" customHeight="false" outlineLevel="0" collapsed="false">
      <c r="J93" s="66" t="s">
        <v>243</v>
      </c>
      <c r="K93" s="283"/>
      <c r="L93" s="284" t="n">
        <v>11411</v>
      </c>
      <c r="M93" s="284" t="n">
        <v>12064</v>
      </c>
      <c r="N93" s="284" t="n">
        <v>12228</v>
      </c>
      <c r="O93" s="283"/>
      <c r="P93" s="284" t="n">
        <v>10904</v>
      </c>
      <c r="Q93" s="284" t="n">
        <v>11735</v>
      </c>
      <c r="R93" s="285" t="n">
        <v>11973</v>
      </c>
      <c r="S93" s="94"/>
      <c r="T93" s="280"/>
      <c r="U93" s="280"/>
    </row>
    <row r="94" customFormat="false" ht="15.75" hidden="true" customHeight="false" outlineLevel="0" collapsed="false">
      <c r="J94" s="70" t="s">
        <v>244</v>
      </c>
      <c r="K94" s="208"/>
      <c r="L94" s="155"/>
      <c r="M94" s="155"/>
      <c r="N94" s="155"/>
      <c r="O94" s="208"/>
      <c r="P94" s="155"/>
      <c r="Q94" s="155"/>
      <c r="R94" s="155"/>
      <c r="S94" s="94"/>
      <c r="T94" s="280"/>
      <c r="U94" s="280"/>
    </row>
    <row r="95" customFormat="false" ht="15.75" hidden="false" customHeight="false" outlineLevel="0" collapsed="false">
      <c r="J95" s="70" t="s">
        <v>248</v>
      </c>
      <c r="K95" s="208"/>
      <c r="L95" s="137"/>
      <c r="M95" s="137"/>
      <c r="N95" s="137"/>
      <c r="O95" s="137"/>
      <c r="P95" s="137"/>
      <c r="Q95" s="137"/>
      <c r="R95" s="137"/>
    </row>
  </sheetData>
  <mergeCells count="7">
    <mergeCell ref="L6:N6"/>
    <mergeCell ref="P6:R6"/>
    <mergeCell ref="B38:C38"/>
    <mergeCell ref="L74:N74"/>
    <mergeCell ref="P74:R74"/>
    <mergeCell ref="L85:N85"/>
    <mergeCell ref="P85:R85"/>
  </mergeCells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  <colBreaks count="1" manualBreakCount="1">
    <brk id="18" man="true" max="65535" min="0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D82"/>
  <sheetViews>
    <sheetView showFormulas="false" showGridLines="true" showRowColHeaders="true" showZeros="true" rightToLeft="false" tabSelected="false" showOutlineSymbols="true" defaultGridColor="true" view="normal" topLeftCell="A23" colorId="64" zoomScale="75" zoomScaleNormal="75" zoomScalePageLayoutView="100" workbookViewId="0">
      <selection pane="topLeft" activeCell="I21" activeCellId="0" sqref="I21"/>
    </sheetView>
  </sheetViews>
  <sheetFormatPr defaultColWidth="9.28125" defaultRowHeight="15.75" customHeight="true" zeroHeight="false" outlineLevelRow="0" outlineLevelCol="0"/>
  <cols>
    <col collapsed="false" customWidth="true" hidden="false" outlineLevel="0" max="1" min="1" style="4" width="9.56"/>
    <col collapsed="false" customWidth="true" hidden="false" outlineLevel="0" max="2" min="2" style="4" width="35.13"/>
    <col collapsed="false" customWidth="true" hidden="false" outlineLevel="0" max="3" min="3" style="4" width="11.13"/>
    <col collapsed="false" customWidth="true" hidden="false" outlineLevel="0" max="4" min="4" style="4" width="3.7"/>
    <col collapsed="false" customWidth="true" hidden="false" outlineLevel="0" max="9" min="5" style="4" width="9.85"/>
    <col collapsed="false" customWidth="true" hidden="false" outlineLevel="0" max="11" min="10" style="4" width="11.56"/>
    <col collapsed="false" customWidth="true" hidden="false" outlineLevel="0" max="12" min="12" style="4" width="10.28"/>
    <col collapsed="false" customWidth="true" hidden="false" outlineLevel="0" max="26" min="13" style="4" width="9.85"/>
    <col collapsed="false" customWidth="false" hidden="false" outlineLevel="0" max="257" min="27" style="4" width="9.28"/>
  </cols>
  <sheetData>
    <row r="1" customFormat="false" ht="12" hidden="false" customHeight="true" outlineLevel="0" collapsed="false">
      <c r="A1" s="3"/>
      <c r="E1" s="287"/>
      <c r="F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</row>
    <row r="2" customFormat="false" ht="15.75" hidden="false" customHeight="false" outlineLevel="0" collapsed="false">
      <c r="A2" s="289" t="s">
        <v>249</v>
      </c>
      <c r="B2" s="290"/>
      <c r="C2" s="37"/>
      <c r="D2" s="37"/>
      <c r="E2" s="287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W2" s="288"/>
      <c r="X2" s="288"/>
      <c r="Y2" s="288"/>
      <c r="Z2" s="288"/>
    </row>
    <row r="3" customFormat="false" ht="15.75" hidden="false" customHeight="false" outlineLevel="0" collapsed="false">
      <c r="E3" s="287"/>
      <c r="F3" s="287"/>
      <c r="G3" s="287"/>
      <c r="H3" s="287"/>
      <c r="I3" s="287"/>
      <c r="J3" s="287"/>
      <c r="K3" s="287"/>
      <c r="L3" s="287"/>
      <c r="M3" s="287"/>
      <c r="N3" s="287"/>
      <c r="O3" s="287"/>
      <c r="P3" s="287"/>
      <c r="Q3" s="287"/>
      <c r="R3" s="287"/>
      <c r="S3" s="287"/>
      <c r="T3" s="287"/>
      <c r="U3" s="287"/>
      <c r="V3" s="287"/>
      <c r="W3" s="287"/>
      <c r="X3" s="287"/>
      <c r="Y3" s="287"/>
      <c r="Z3" s="287"/>
    </row>
    <row r="4" customFormat="false" ht="15.75" hidden="false" customHeight="false" outlineLevel="0" collapsed="false"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  <c r="R4" s="287"/>
      <c r="S4" s="287"/>
      <c r="T4" s="287"/>
      <c r="U4" s="287"/>
      <c r="V4" s="287"/>
      <c r="W4" s="287"/>
      <c r="X4" s="287"/>
      <c r="Y4" s="287"/>
      <c r="Z4" s="287"/>
    </row>
    <row r="5" customFormat="false" ht="15.75" hidden="false" customHeight="false" outlineLevel="0" collapsed="false">
      <c r="A5" s="291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customFormat="false" ht="15.75" hidden="false" customHeight="false" outlineLevel="0" collapsed="false">
      <c r="A6" s="291"/>
      <c r="B6" s="9" t="s">
        <v>250</v>
      </c>
      <c r="C6" s="292" t="n">
        <f aca="false">Assumptions!L52</f>
        <v>0.03</v>
      </c>
      <c r="D6" s="29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customFormat="false" ht="15.75" hidden="false" customHeight="false" outlineLevel="0" collapsed="false">
      <c r="A7" s="23"/>
      <c r="B7" s="294"/>
      <c r="C7" s="295"/>
      <c r="D7" s="295"/>
      <c r="E7" s="23"/>
      <c r="F7" s="23"/>
      <c r="G7" s="23"/>
      <c r="H7" s="23"/>
      <c r="I7" s="296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customFormat="false" ht="15.75" hidden="false" customHeight="false" outlineLevel="0" collapsed="false">
      <c r="A8" s="128" t="s">
        <v>251</v>
      </c>
      <c r="B8" s="23"/>
      <c r="C8" s="23"/>
      <c r="D8" s="23"/>
      <c r="E8" s="297"/>
      <c r="F8" s="297"/>
      <c r="G8" s="297"/>
      <c r="H8" s="297"/>
      <c r="I8" s="297"/>
      <c r="J8" s="297"/>
      <c r="K8" s="297"/>
      <c r="L8" s="297"/>
      <c r="M8" s="297"/>
      <c r="N8" s="297"/>
      <c r="O8" s="297"/>
      <c r="P8" s="297"/>
      <c r="Q8" s="297"/>
      <c r="R8" s="297"/>
      <c r="S8" s="297"/>
      <c r="T8" s="297"/>
      <c r="U8" s="297"/>
      <c r="V8" s="297"/>
      <c r="W8" s="297"/>
      <c r="X8" s="297"/>
      <c r="Y8" s="297"/>
      <c r="Z8" s="297"/>
    </row>
    <row r="9" customFormat="false" ht="15.75" hidden="false" customHeight="false" outlineLevel="0" collapsed="false">
      <c r="A9" s="23" t="s">
        <v>252</v>
      </c>
      <c r="B9" s="23"/>
      <c r="C9" s="23"/>
      <c r="D9" s="23"/>
      <c r="E9" s="298" t="n">
        <v>1999</v>
      </c>
      <c r="F9" s="298" t="n">
        <f aca="false">E9+1</f>
        <v>2000</v>
      </c>
      <c r="G9" s="298" t="n">
        <f aca="false">F9+1</f>
        <v>2001</v>
      </c>
      <c r="H9" s="298" t="n">
        <f aca="false">G9+1</f>
        <v>2002</v>
      </c>
      <c r="I9" s="298" t="n">
        <f aca="false">H9+1</f>
        <v>2003</v>
      </c>
      <c r="J9" s="298" t="n">
        <f aca="false">I9+1</f>
        <v>2004</v>
      </c>
      <c r="K9" s="298" t="n">
        <f aca="false">J9+1</f>
        <v>2005</v>
      </c>
      <c r="L9" s="298" t="n">
        <f aca="false">K9+1</f>
        <v>2006</v>
      </c>
      <c r="M9" s="298" t="n">
        <f aca="false">L9+1</f>
        <v>2007</v>
      </c>
      <c r="N9" s="298" t="n">
        <f aca="false">M9+1</f>
        <v>2008</v>
      </c>
      <c r="O9" s="298" t="n">
        <f aca="false">N9+1</f>
        <v>2009</v>
      </c>
      <c r="P9" s="298" t="n">
        <f aca="false">O9+1</f>
        <v>2010</v>
      </c>
      <c r="Q9" s="298" t="n">
        <f aca="false">P9+1</f>
        <v>2011</v>
      </c>
      <c r="R9" s="298" t="n">
        <f aca="false">Q9+1</f>
        <v>2012</v>
      </c>
      <c r="S9" s="298" t="n">
        <f aca="false">R9+1</f>
        <v>2013</v>
      </c>
      <c r="T9" s="298" t="n">
        <f aca="false">S9+1</f>
        <v>2014</v>
      </c>
      <c r="U9" s="298" t="n">
        <f aca="false">T9+1</f>
        <v>2015</v>
      </c>
      <c r="V9" s="298" t="n">
        <f aca="false">U9+1</f>
        <v>2016</v>
      </c>
      <c r="W9" s="298" t="n">
        <f aca="false">V9+1</f>
        <v>2017</v>
      </c>
      <c r="X9" s="298" t="n">
        <f aca="false">W9+1</f>
        <v>2018</v>
      </c>
      <c r="Y9" s="298" t="n">
        <f aca="false">X9+1</f>
        <v>2019</v>
      </c>
      <c r="Z9" s="298" t="n">
        <f aca="false">Y9+1</f>
        <v>2020</v>
      </c>
    </row>
    <row r="10" customFormat="false" ht="15.75" hidden="false" customHeight="false" outlineLevel="0" collapsed="false">
      <c r="A10" s="23"/>
      <c r="B10" s="23"/>
      <c r="C10" s="23"/>
      <c r="D10" s="23"/>
      <c r="E10" s="298"/>
      <c r="F10" s="298"/>
      <c r="G10" s="298"/>
      <c r="H10" s="298"/>
      <c r="I10" s="298"/>
      <c r="J10" s="298"/>
      <c r="K10" s="298"/>
      <c r="L10" s="298"/>
      <c r="M10" s="298"/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298"/>
      <c r="Z10" s="298"/>
    </row>
    <row r="11" customFormat="false" ht="15.75" hidden="false" customHeight="false" outlineLevel="0" collapsed="false">
      <c r="A11" s="299" t="s">
        <v>253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customFormat="false" ht="15.75" hidden="false" customHeight="false" outlineLevel="0" collapsed="false">
      <c r="A12" s="23"/>
      <c r="B12" s="23" t="s">
        <v>254</v>
      </c>
      <c r="C12" s="300"/>
      <c r="D12" s="300"/>
      <c r="E12" s="301"/>
      <c r="F12" s="301" t="n">
        <v>64</v>
      </c>
      <c r="G12" s="301" t="n">
        <v>62</v>
      </c>
      <c r="H12" s="301" t="n">
        <v>61</v>
      </c>
      <c r="I12" s="301" t="n">
        <v>59</v>
      </c>
      <c r="J12" s="301" t="n">
        <v>58</v>
      </c>
      <c r="K12" s="301" t="n">
        <v>57</v>
      </c>
      <c r="L12" s="301" t="n">
        <v>56</v>
      </c>
      <c r="M12" s="301" t="n">
        <v>56</v>
      </c>
      <c r="N12" s="301" t="n">
        <v>55</v>
      </c>
      <c r="O12" s="301" t="n">
        <v>55</v>
      </c>
      <c r="P12" s="301" t="n">
        <v>54</v>
      </c>
      <c r="Q12" s="301" t="n">
        <v>54</v>
      </c>
      <c r="R12" s="301" t="n">
        <v>53</v>
      </c>
      <c r="S12" s="301" t="n">
        <v>52</v>
      </c>
      <c r="T12" s="301" t="n">
        <v>51</v>
      </c>
      <c r="U12" s="301" t="n">
        <v>50</v>
      </c>
      <c r="V12" s="301" t="n">
        <v>49</v>
      </c>
      <c r="W12" s="301" t="n">
        <v>48</v>
      </c>
      <c r="X12" s="301" t="n">
        <v>47</v>
      </c>
      <c r="Y12" s="301" t="n">
        <v>46</v>
      </c>
      <c r="Z12" s="301" t="n">
        <v>45</v>
      </c>
      <c r="AA12" s="302"/>
    </row>
    <row r="13" customFormat="false" ht="15.75" hidden="false" customHeight="false" outlineLevel="0" collapsed="false">
      <c r="A13" s="23"/>
      <c r="B13" s="23" t="s">
        <v>255</v>
      </c>
      <c r="C13" s="23"/>
      <c r="D13" s="23"/>
      <c r="E13" s="301"/>
      <c r="F13" s="301" t="n">
        <v>51</v>
      </c>
      <c r="G13" s="301" t="n">
        <v>52</v>
      </c>
      <c r="H13" s="301" t="n">
        <v>52</v>
      </c>
      <c r="I13" s="301" t="n">
        <v>52</v>
      </c>
      <c r="J13" s="301" t="n">
        <v>52</v>
      </c>
      <c r="K13" s="301" t="n">
        <v>52</v>
      </c>
      <c r="L13" s="301" t="n">
        <v>50</v>
      </c>
      <c r="M13" s="301" t="n">
        <v>48</v>
      </c>
      <c r="N13" s="301" t="n">
        <v>45</v>
      </c>
      <c r="O13" s="301" t="n">
        <v>43</v>
      </c>
      <c r="P13" s="301" t="n">
        <v>41</v>
      </c>
      <c r="Q13" s="301" t="n">
        <v>40</v>
      </c>
      <c r="R13" s="301" t="n">
        <v>39</v>
      </c>
      <c r="S13" s="301" t="n">
        <v>37</v>
      </c>
      <c r="T13" s="301" t="n">
        <v>36</v>
      </c>
      <c r="U13" s="301" t="n">
        <v>35</v>
      </c>
      <c r="V13" s="301" t="n">
        <v>35</v>
      </c>
      <c r="W13" s="301" t="n">
        <v>35</v>
      </c>
      <c r="X13" s="301" t="n">
        <v>34</v>
      </c>
      <c r="Y13" s="301" t="n">
        <v>34</v>
      </c>
      <c r="Z13" s="301" t="n">
        <v>34</v>
      </c>
      <c r="AA13" s="302"/>
    </row>
    <row r="14" customFormat="false" ht="15.75" hidden="false" customHeight="false" outlineLevel="0" collapsed="false">
      <c r="A14" s="23"/>
      <c r="B14" s="23"/>
      <c r="C14" s="23"/>
      <c r="D14" s="23"/>
      <c r="E14" s="301"/>
      <c r="F14" s="301"/>
      <c r="G14" s="301"/>
      <c r="H14" s="301"/>
      <c r="I14" s="301"/>
      <c r="J14" s="301"/>
      <c r="K14" s="301"/>
      <c r="L14" s="301"/>
      <c r="M14" s="301"/>
      <c r="N14" s="301"/>
      <c r="O14" s="301"/>
      <c r="P14" s="301"/>
      <c r="Q14" s="301"/>
      <c r="R14" s="301"/>
      <c r="S14" s="301"/>
      <c r="T14" s="301"/>
      <c r="U14" s="301"/>
      <c r="V14" s="301"/>
      <c r="W14" s="301"/>
      <c r="X14" s="301"/>
      <c r="Y14" s="301"/>
      <c r="Z14" s="301"/>
      <c r="AA14" s="302"/>
    </row>
    <row r="15" customFormat="false" ht="15.75" hidden="false" customHeight="false" outlineLevel="0" collapsed="false">
      <c r="A15" s="299" t="s">
        <v>256</v>
      </c>
      <c r="B15" s="23"/>
      <c r="C15" s="23"/>
      <c r="D15" s="23"/>
      <c r="E15" s="301"/>
      <c r="F15" s="301"/>
      <c r="G15" s="301"/>
      <c r="H15" s="301"/>
      <c r="I15" s="301"/>
      <c r="J15" s="301"/>
      <c r="K15" s="301"/>
      <c r="L15" s="301"/>
      <c r="M15" s="301"/>
      <c r="N15" s="301"/>
      <c r="O15" s="301"/>
      <c r="P15" s="301"/>
      <c r="Q15" s="301"/>
      <c r="R15" s="301"/>
      <c r="S15" s="301"/>
      <c r="T15" s="301"/>
      <c r="U15" s="301"/>
      <c r="V15" s="301"/>
      <c r="W15" s="301"/>
      <c r="X15" s="301"/>
      <c r="Y15" s="301"/>
      <c r="Z15" s="301"/>
      <c r="AA15" s="302"/>
    </row>
    <row r="16" customFormat="false" ht="15.75" hidden="false" customHeight="false" outlineLevel="0" collapsed="false">
      <c r="A16" s="23"/>
      <c r="B16" s="23" t="s">
        <v>257</v>
      </c>
      <c r="C16" s="303"/>
      <c r="D16" s="303"/>
      <c r="E16" s="301"/>
      <c r="F16" s="301" t="n">
        <f aca="false">F12*(1+'Power Price Assumption'!$C$6)^(F9-1998)</f>
        <v>67.8976</v>
      </c>
      <c r="G16" s="301" t="n">
        <f aca="false">G12*(1+'Power Price Assumption'!$C$6)^(G9-1998)</f>
        <v>67.749074</v>
      </c>
      <c r="H16" s="301" t="n">
        <f aca="false">H12*(1+'Power Price Assumption'!$C$6)^(H9-1998)</f>
        <v>68.65603741</v>
      </c>
      <c r="I16" s="301" t="n">
        <f aca="false">I12*(1+'Power Price Assumption'!$C$6)^(I9-1998)</f>
        <v>68.3971703837</v>
      </c>
      <c r="J16" s="301" t="n">
        <f aca="false">J12*(1+'Power Price Assumption'!$C$6)^(J9-1998)</f>
        <v>69.255033198682</v>
      </c>
      <c r="K16" s="301" t="n">
        <f aca="false">K12*(1+'Power Price Assumption'!$C$6)^(K9-1998)</f>
        <v>70.1028103292176</v>
      </c>
      <c r="L16" s="301" t="n">
        <f aca="false">L12*(1+'Power Price Assumption'!$C$6)^(L9-1998)</f>
        <v>70.9391245577065</v>
      </c>
      <c r="M16" s="301" t="n">
        <f aca="false">M12*(1+'Power Price Assumption'!$C$6)^(M9-1998)</f>
        <v>73.0672982944377</v>
      </c>
      <c r="N16" s="301" t="n">
        <f aca="false">N12*(1+'Power Price Assumption'!$C$6)^(N9-1998)</f>
        <v>73.9154008639267</v>
      </c>
      <c r="O16" s="301" t="n">
        <f aca="false">O12*(1+'Power Price Assumption'!$C$6)^(O9-1998)</f>
        <v>76.1328628898445</v>
      </c>
      <c r="P16" s="301" t="n">
        <f aca="false">P12*(1+'Power Price Assumption'!$C$6)^(P9-1998)</f>
        <v>76.9910878896937</v>
      </c>
      <c r="Q16" s="301" t="n">
        <f aca="false">Q12*(1+'Power Price Assumption'!$C$6)^(Q9-1998)</f>
        <v>79.3008205263845</v>
      </c>
      <c r="R16" s="301" t="n">
        <f aca="false">R12*(1+'Power Price Assumption'!$C$6)^(R9-1998)</f>
        <v>80.1672554173209</v>
      </c>
      <c r="S16" s="301" t="n">
        <f aca="false">S12*(1+'Power Price Assumption'!$C$6)^(S9-1998)</f>
        <v>81.0143056632398</v>
      </c>
      <c r="T16" s="301" t="n">
        <f aca="false">T12*(1+'Power Price Assumption'!$C$6)^(T9-1998)</f>
        <v>81.8400283940382</v>
      </c>
      <c r="U16" s="301" t="n">
        <f aca="false">U12*(1+'Power Price Assumption'!$C$6)^(U9-1998)</f>
        <v>82.6423816135876</v>
      </c>
      <c r="V16" s="301" t="n">
        <f aca="false">V12*(1+'Power Price Assumption'!$C$6)^(V9-1998)</f>
        <v>83.4192200007553</v>
      </c>
      <c r="W16" s="301" t="n">
        <f aca="false">W12*(1+'Power Price Assumption'!$C$6)^(W9-1998)</f>
        <v>84.1682905477009</v>
      </c>
      <c r="X16" s="301" t="n">
        <f aca="false">X12*(1+'Power Price Assumption'!$C$6)^(X9-1998)</f>
        <v>84.8872280294625</v>
      </c>
      <c r="Y16" s="301" t="n">
        <f aca="false">Y12*(1+'Power Price Assumption'!$C$6)^(Y9-1998)</f>
        <v>85.5735502986369</v>
      </c>
      <c r="Z16" s="301" t="n">
        <f aca="false">Z12*(1+'Power Price Assumption'!$C$6)^(Z9-1998)</f>
        <v>86.2246533987352</v>
      </c>
      <c r="AA16" s="302"/>
    </row>
    <row r="17" customFormat="false" ht="15.75" hidden="false" customHeight="false" outlineLevel="0" collapsed="false">
      <c r="A17" s="23"/>
      <c r="B17" s="23" t="s">
        <v>255</v>
      </c>
      <c r="C17" s="23"/>
      <c r="D17" s="23"/>
      <c r="E17" s="301"/>
      <c r="F17" s="301" t="n">
        <f aca="false">F13*(1+'Power Price Assumption'!$C$6)^(F9-1998)</f>
        <v>54.1059</v>
      </c>
      <c r="G17" s="301" t="n">
        <f aca="false">G13*(1+'Power Price Assumption'!$C$6)^(G9-1998)</f>
        <v>56.821804</v>
      </c>
      <c r="H17" s="301" t="n">
        <f aca="false">H13*(1+'Power Price Assumption'!$C$6)^(H9-1998)</f>
        <v>58.52645812</v>
      </c>
      <c r="I17" s="301" t="n">
        <f aca="false">I13*(1+'Power Price Assumption'!$C$6)^(I9-1998)</f>
        <v>60.2822518636</v>
      </c>
      <c r="J17" s="301" t="n">
        <f aca="false">J13*(1+'Power Price Assumption'!$C$6)^(J9-1998)</f>
        <v>62.090719419508</v>
      </c>
      <c r="K17" s="301" t="n">
        <f aca="false">K13*(1+'Power Price Assumption'!$C$6)^(K9-1998)</f>
        <v>63.9534410020933</v>
      </c>
      <c r="L17" s="301" t="n">
        <f aca="false">L13*(1+'Power Price Assumption'!$C$6)^(L9-1998)</f>
        <v>63.3385040693808</v>
      </c>
      <c r="M17" s="301" t="n">
        <f aca="false">M13*(1+'Power Price Assumption'!$C$6)^(M9-1998)</f>
        <v>62.6291128238038</v>
      </c>
      <c r="N17" s="301" t="n">
        <f aca="false">N13*(1+'Power Price Assumption'!$C$6)^(N9-1998)</f>
        <v>60.4762370704855</v>
      </c>
      <c r="O17" s="301" t="n">
        <f aca="false">O13*(1+'Power Price Assumption'!$C$6)^(O9-1998)</f>
        <v>59.5220564411512</v>
      </c>
      <c r="P17" s="301" t="n">
        <f aca="false">P13*(1+'Power Price Assumption'!$C$6)^(P9-1998)</f>
        <v>58.4561963606934</v>
      </c>
      <c r="Q17" s="301" t="n">
        <f aca="false">Q13*(1+'Power Price Assumption'!$C$6)^(Q9-1998)</f>
        <v>58.7413485380626</v>
      </c>
      <c r="R17" s="301" t="n">
        <f aca="false">R13*(1+'Power Price Assumption'!$C$6)^(R9-1998)</f>
        <v>58.9909992693494</v>
      </c>
      <c r="S17" s="301" t="n">
        <f aca="false">S13*(1+'Power Price Assumption'!$C$6)^(S9-1998)</f>
        <v>57.6447944142283</v>
      </c>
      <c r="T17" s="301" t="n">
        <f aca="false">T13*(1+'Power Price Assumption'!$C$6)^(T9-1998)</f>
        <v>57.7694318075564</v>
      </c>
      <c r="U17" s="301" t="n">
        <f aca="false">U13*(1+'Power Price Assumption'!$C$6)^(U9-1998)</f>
        <v>57.8496671295113</v>
      </c>
      <c r="V17" s="301" t="n">
        <f aca="false">V13*(1+'Power Price Assumption'!$C$6)^(V9-1998)</f>
        <v>59.5851571433967</v>
      </c>
      <c r="W17" s="301" t="n">
        <f aca="false">W13*(1+'Power Price Assumption'!$C$6)^(W9-1998)</f>
        <v>61.3727118576986</v>
      </c>
      <c r="X17" s="301" t="n">
        <f aca="false">X13*(1+'Power Price Assumption'!$C$6)^(X9-1998)</f>
        <v>61.4077819787601</v>
      </c>
      <c r="Y17" s="301" t="n">
        <f aca="false">Y13*(1+'Power Price Assumption'!$C$6)^(Y9-1998)</f>
        <v>63.2500154381229</v>
      </c>
      <c r="Z17" s="301" t="n">
        <f aca="false">Z13*(1+'Power Price Assumption'!$C$6)^(Z9-1998)</f>
        <v>65.1475159012666</v>
      </c>
      <c r="AA17" s="302"/>
    </row>
    <row r="18" customFormat="false" ht="15.75" hidden="false" customHeight="false" outlineLevel="0" collapsed="false">
      <c r="A18" s="23"/>
      <c r="B18" s="23"/>
      <c r="C18" s="23"/>
      <c r="D18" s="23"/>
      <c r="E18" s="23"/>
      <c r="F18" s="296"/>
      <c r="G18" s="296"/>
      <c r="H18" s="296"/>
      <c r="I18" s="296"/>
      <c r="J18" s="296"/>
      <c r="K18" s="296"/>
      <c r="L18" s="296"/>
      <c r="M18" s="296"/>
      <c r="N18" s="296"/>
      <c r="O18" s="296"/>
      <c r="P18" s="296"/>
      <c r="Q18" s="296"/>
      <c r="R18" s="296"/>
      <c r="S18" s="296"/>
      <c r="T18" s="296"/>
      <c r="U18" s="296"/>
      <c r="V18" s="296"/>
      <c r="W18" s="296"/>
      <c r="X18" s="296"/>
      <c r="Y18" s="296"/>
      <c r="Z18" s="296"/>
      <c r="AA18" s="296"/>
      <c r="AB18" s="296"/>
      <c r="AC18" s="296"/>
      <c r="AD18" s="296"/>
    </row>
    <row r="19" customFormat="false" ht="15.75" hidden="false" customHeight="false" outlineLevel="0" collapsed="false">
      <c r="A19" s="23" t="n">
        <v>1</v>
      </c>
      <c r="B19" s="23" t="s">
        <v>258</v>
      </c>
      <c r="C19" s="23"/>
      <c r="D19" s="23"/>
      <c r="E19" s="304"/>
      <c r="F19" s="304" t="n">
        <f aca="false">F16/12</f>
        <v>5.65813333333333</v>
      </c>
      <c r="G19" s="304" t="n">
        <f aca="false">G16/12</f>
        <v>5.64575616666667</v>
      </c>
      <c r="H19" s="304" t="n">
        <f aca="false">H16/12</f>
        <v>5.72133645083333</v>
      </c>
      <c r="I19" s="304" t="n">
        <f aca="false">I16/12</f>
        <v>5.69976419864167</v>
      </c>
      <c r="J19" s="304" t="n">
        <f aca="false">J16/12</f>
        <v>5.77125276655683</v>
      </c>
      <c r="K19" s="304" t="n">
        <f aca="false">K16/12</f>
        <v>5.84190086076813</v>
      </c>
      <c r="L19" s="304" t="n">
        <f aca="false">L16/12</f>
        <v>5.91159371314221</v>
      </c>
      <c r="M19" s="304" t="n">
        <f aca="false">M16/12</f>
        <v>6.08894152453648</v>
      </c>
      <c r="N19" s="304" t="n">
        <f aca="false">N16/12</f>
        <v>6.15961673866056</v>
      </c>
      <c r="O19" s="304" t="n">
        <f aca="false">O16/12</f>
        <v>6.34440524082038</v>
      </c>
      <c r="P19" s="304" t="n">
        <f aca="false">P16/12</f>
        <v>6.41592399080781</v>
      </c>
      <c r="Q19" s="304" t="n">
        <f aca="false">Q16/12</f>
        <v>6.60840171053204</v>
      </c>
      <c r="R19" s="304" t="n">
        <f aca="false">R16/12</f>
        <v>6.68060461811008</v>
      </c>
      <c r="S19" s="304" t="n">
        <f aca="false">S16/12</f>
        <v>6.75119213860332</v>
      </c>
      <c r="T19" s="304" t="n">
        <f aca="false">T16/12</f>
        <v>6.82000236616985</v>
      </c>
      <c r="U19" s="304" t="n">
        <f aca="false">U16/12</f>
        <v>6.88686513446563</v>
      </c>
      <c r="V19" s="304" t="n">
        <f aca="false">V16/12</f>
        <v>6.95160166672961</v>
      </c>
      <c r="W19" s="304" t="n">
        <f aca="false">W16/12</f>
        <v>7.01402421230841</v>
      </c>
      <c r="X19" s="304" t="n">
        <f aca="false">X16/12</f>
        <v>7.07393566912187</v>
      </c>
      <c r="Y19" s="304" t="n">
        <f aca="false">Y16/12</f>
        <v>7.13112919155307</v>
      </c>
      <c r="Z19" s="304" t="n">
        <f aca="false">Z16/12</f>
        <v>7.18538778322793</v>
      </c>
      <c r="AA19" s="302"/>
    </row>
    <row r="20" customFormat="false" ht="15.75" hidden="false" customHeight="false" outlineLevel="0" collapsed="false">
      <c r="A20" s="23" t="n">
        <v>2</v>
      </c>
      <c r="B20" s="23" t="s">
        <v>259</v>
      </c>
      <c r="C20" s="23"/>
      <c r="D20" s="23"/>
      <c r="E20" s="304"/>
      <c r="F20" s="304" t="n">
        <f aca="false">F17/12</f>
        <v>4.508825</v>
      </c>
      <c r="G20" s="304" t="n">
        <f aca="false">G17/12</f>
        <v>4.73515033333333</v>
      </c>
      <c r="H20" s="304" t="n">
        <f aca="false">H17/12</f>
        <v>4.87720484333333</v>
      </c>
      <c r="I20" s="304" t="n">
        <f aca="false">I17/12</f>
        <v>5.02352098863333</v>
      </c>
      <c r="J20" s="304" t="n">
        <f aca="false">J17/12</f>
        <v>5.17422661829233</v>
      </c>
      <c r="K20" s="304" t="n">
        <f aca="false">K17/12</f>
        <v>5.3294534168411</v>
      </c>
      <c r="L20" s="304" t="n">
        <f aca="false">L17/12</f>
        <v>5.2782086724484</v>
      </c>
      <c r="M20" s="304" t="n">
        <f aca="false">M17/12</f>
        <v>5.21909273531698</v>
      </c>
      <c r="N20" s="304" t="n">
        <f aca="false">N17/12</f>
        <v>5.03968642254046</v>
      </c>
      <c r="O20" s="304" t="n">
        <f aca="false">O17/12</f>
        <v>4.96017137009593</v>
      </c>
      <c r="P20" s="304" t="n">
        <f aca="false">P17/12</f>
        <v>4.87134969672445</v>
      </c>
      <c r="Q20" s="304" t="n">
        <f aca="false">Q17/12</f>
        <v>4.89511237817188</v>
      </c>
      <c r="R20" s="304" t="n">
        <f aca="false">R17/12</f>
        <v>4.91591660577911</v>
      </c>
      <c r="S20" s="304" t="n">
        <f aca="false">S17/12</f>
        <v>4.80373286785236</v>
      </c>
      <c r="T20" s="304" t="n">
        <f aca="false">T17/12</f>
        <v>4.81411931729636</v>
      </c>
      <c r="U20" s="304" t="n">
        <f aca="false">U17/12</f>
        <v>4.82080559412594</v>
      </c>
      <c r="V20" s="304" t="n">
        <f aca="false">V17/12</f>
        <v>4.96542976194972</v>
      </c>
      <c r="W20" s="304" t="n">
        <f aca="false">W17/12</f>
        <v>5.11439265480821</v>
      </c>
      <c r="X20" s="304" t="n">
        <f aca="false">X17/12</f>
        <v>5.11731516489668</v>
      </c>
      <c r="Y20" s="304" t="n">
        <f aca="false">Y17/12</f>
        <v>5.27083461984358</v>
      </c>
      <c r="Z20" s="304" t="n">
        <f aca="false">Z17/12</f>
        <v>5.42895965843888</v>
      </c>
      <c r="AA20" s="302"/>
    </row>
    <row r="21" customFormat="false" ht="15.75" hidden="false" customHeight="false" outlineLevel="0" collapsed="false">
      <c r="A21" s="23" t="n">
        <v>3</v>
      </c>
      <c r="B21" s="23" t="s">
        <v>260</v>
      </c>
      <c r="C21" s="23"/>
      <c r="D21" s="23"/>
      <c r="E21" s="304"/>
      <c r="F21" s="305" t="n">
        <v>0</v>
      </c>
      <c r="G21" s="305" t="n">
        <v>0</v>
      </c>
      <c r="H21" s="305" t="n">
        <v>0</v>
      </c>
      <c r="I21" s="305" t="n">
        <v>0</v>
      </c>
      <c r="J21" s="305" t="n">
        <v>0</v>
      </c>
      <c r="K21" s="305" t="n">
        <v>0</v>
      </c>
      <c r="L21" s="305" t="n">
        <v>0</v>
      </c>
      <c r="M21" s="305" t="n">
        <v>0</v>
      </c>
      <c r="N21" s="305" t="n">
        <v>0</v>
      </c>
      <c r="O21" s="305" t="n">
        <v>0</v>
      </c>
      <c r="P21" s="305" t="n">
        <v>0</v>
      </c>
      <c r="Q21" s="305" t="n">
        <v>0</v>
      </c>
      <c r="R21" s="305" t="n">
        <v>0</v>
      </c>
      <c r="S21" s="305" t="n">
        <v>0</v>
      </c>
      <c r="T21" s="305" t="n">
        <v>0</v>
      </c>
      <c r="U21" s="305" t="n">
        <v>0</v>
      </c>
      <c r="V21" s="305" t="n">
        <v>0</v>
      </c>
      <c r="W21" s="305" t="n">
        <v>0</v>
      </c>
      <c r="X21" s="305" t="n">
        <v>0</v>
      </c>
      <c r="Y21" s="305" t="n">
        <v>0</v>
      </c>
      <c r="Z21" s="305" t="n">
        <v>0</v>
      </c>
      <c r="AA21" s="302"/>
    </row>
    <row r="22" customFormat="false" ht="15.75" hidden="false" customHeight="false" outlineLevel="0" collapsed="false">
      <c r="A22" s="23"/>
      <c r="B22" s="23"/>
      <c r="C22" s="23"/>
      <c r="D22" s="23"/>
      <c r="E22" s="304"/>
      <c r="F22" s="304"/>
      <c r="G22" s="304"/>
      <c r="H22" s="304"/>
      <c r="I22" s="304"/>
      <c r="J22" s="304"/>
      <c r="K22" s="304"/>
      <c r="L22" s="304"/>
      <c r="M22" s="304"/>
      <c r="N22" s="304"/>
      <c r="O22" s="304"/>
      <c r="P22" s="304"/>
      <c r="Q22" s="304"/>
      <c r="R22" s="304"/>
      <c r="S22" s="304"/>
      <c r="T22" s="304"/>
      <c r="U22" s="304"/>
      <c r="V22" s="304"/>
      <c r="W22" s="304"/>
      <c r="X22" s="304"/>
      <c r="Y22" s="304"/>
      <c r="Z22" s="304"/>
      <c r="AA22" s="302"/>
    </row>
    <row r="23" customFormat="false" ht="15.75" hidden="false" customHeight="false" outlineLevel="0" collapsed="false">
      <c r="A23" s="23"/>
      <c r="B23" s="23" t="s">
        <v>261</v>
      </c>
      <c r="C23" s="23"/>
      <c r="D23" s="23"/>
      <c r="E23" s="304" t="n">
        <v>4</v>
      </c>
      <c r="F23" s="304" t="n">
        <f aca="false">Assumptions!$L$25</f>
        <v>4</v>
      </c>
      <c r="G23" s="304" t="n">
        <f aca="false">Assumptions!$L$25</f>
        <v>4</v>
      </c>
      <c r="H23" s="304" t="n">
        <f aca="false">Assumptions!$L$25</f>
        <v>4</v>
      </c>
      <c r="I23" s="304" t="n">
        <f aca="false">Assumptions!$L$25</f>
        <v>4</v>
      </c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4"/>
      <c r="W23" s="304"/>
      <c r="X23" s="304"/>
      <c r="Y23" s="304"/>
      <c r="Z23" s="304"/>
      <c r="AA23" s="302"/>
    </row>
    <row r="24" customFormat="false" ht="15.75" hidden="false" customHeight="false" outlineLevel="0" collapsed="false">
      <c r="A24" s="23"/>
      <c r="B24" s="23"/>
      <c r="C24" s="23"/>
      <c r="D24" s="23"/>
      <c r="E24" s="304"/>
      <c r="F24" s="304"/>
      <c r="G24" s="304"/>
      <c r="H24" s="304"/>
      <c r="I24" s="306"/>
      <c r="J24" s="306"/>
      <c r="K24" s="306"/>
      <c r="L24" s="306"/>
      <c r="M24" s="306"/>
      <c r="N24" s="306"/>
      <c r="O24" s="306"/>
      <c r="P24" s="306"/>
      <c r="Q24" s="306"/>
      <c r="R24" s="306"/>
      <c r="S24" s="306"/>
      <c r="T24" s="306"/>
      <c r="U24" s="306"/>
      <c r="V24" s="306"/>
      <c r="W24" s="306"/>
      <c r="X24" s="306"/>
      <c r="Y24" s="306"/>
      <c r="Z24" s="306"/>
      <c r="AA24" s="302"/>
    </row>
    <row r="25" customFormat="false" ht="15.75" hidden="false" customHeight="false" outlineLevel="0" collapsed="false">
      <c r="A25" s="23"/>
      <c r="B25" s="9" t="s">
        <v>262</v>
      </c>
      <c r="C25" s="307" t="n">
        <f aca="false">'Preset Scenarios'!F40</f>
        <v>1</v>
      </c>
      <c r="D25" s="308"/>
      <c r="E25" s="309" t="n">
        <v>4</v>
      </c>
      <c r="F25" s="309" t="n">
        <f aca="false">F23</f>
        <v>4</v>
      </c>
      <c r="G25" s="309" t="n">
        <f aca="false">G23</f>
        <v>4</v>
      </c>
      <c r="H25" s="309" t="n">
        <f aca="false">H23</f>
        <v>4</v>
      </c>
      <c r="I25" s="309" t="n">
        <f aca="false">CHOOSE($C$25,I19,I20,I21)</f>
        <v>5.69976419864167</v>
      </c>
      <c r="J25" s="309" t="n">
        <f aca="false">CHOOSE($C$25,J19,J20,J21)</f>
        <v>5.77125276655683</v>
      </c>
      <c r="K25" s="309" t="n">
        <f aca="false">CHOOSE($C$25,K19,K20,K21)</f>
        <v>5.84190086076813</v>
      </c>
      <c r="L25" s="309" t="n">
        <f aca="false">CHOOSE($C$25,L19,L20,L21)</f>
        <v>5.91159371314221</v>
      </c>
      <c r="M25" s="309" t="n">
        <f aca="false">CHOOSE($C$25,M19,M20,M21)</f>
        <v>6.08894152453648</v>
      </c>
      <c r="N25" s="309" t="n">
        <f aca="false">CHOOSE($C$25,N19,N20,N21)</f>
        <v>6.15961673866056</v>
      </c>
      <c r="O25" s="309" t="n">
        <f aca="false">CHOOSE($C$25,O19,O20,O21)</f>
        <v>6.34440524082038</v>
      </c>
      <c r="P25" s="309" t="n">
        <f aca="false">CHOOSE($C$25,P19,P20,P21)</f>
        <v>6.41592399080781</v>
      </c>
      <c r="Q25" s="309" t="n">
        <f aca="false">CHOOSE($C$25,Q19,Q20,Q21)</f>
        <v>6.60840171053204</v>
      </c>
      <c r="R25" s="309" t="n">
        <f aca="false">CHOOSE($C$25,R19,R20,R21)</f>
        <v>6.68060461811008</v>
      </c>
      <c r="S25" s="309" t="n">
        <f aca="false">CHOOSE($C$25,S19,S20,S21)</f>
        <v>6.75119213860332</v>
      </c>
      <c r="T25" s="309" t="n">
        <f aca="false">CHOOSE($C$25,T19,T20,T21)</f>
        <v>6.82000236616985</v>
      </c>
      <c r="U25" s="309" t="n">
        <f aca="false">CHOOSE($C$25,U19,U20,U21)</f>
        <v>6.88686513446563</v>
      </c>
      <c r="V25" s="309" t="n">
        <f aca="false">CHOOSE($C$25,V19,V20,V21)</f>
        <v>6.95160166672961</v>
      </c>
      <c r="W25" s="309" t="n">
        <f aca="false">CHOOSE($C$25,W19,W20,W21)</f>
        <v>7.01402421230841</v>
      </c>
      <c r="X25" s="309" t="n">
        <f aca="false">CHOOSE($C$25,X19,X20,X21)</f>
        <v>7.07393566912187</v>
      </c>
      <c r="Y25" s="309" t="n">
        <f aca="false">CHOOSE($C$25,Y19,Y20,Y21)</f>
        <v>7.13112919155307</v>
      </c>
      <c r="Z25" s="309" t="n">
        <f aca="false">CHOOSE($C$25,Z19,Z20,Z21)</f>
        <v>7.18538778322793</v>
      </c>
    </row>
    <row r="26" customFormat="false" ht="15.75" hidden="false" customHeight="false" outlineLevel="0" collapsed="false">
      <c r="A26" s="23"/>
      <c r="B26" s="9"/>
      <c r="C26" s="308"/>
      <c r="D26" s="308"/>
      <c r="E26" s="310"/>
      <c r="F26" s="310"/>
      <c r="G26" s="310"/>
      <c r="H26" s="310"/>
      <c r="I26" s="310"/>
      <c r="J26" s="310"/>
      <c r="K26" s="310"/>
      <c r="L26" s="310"/>
      <c r="M26" s="310"/>
      <c r="N26" s="310"/>
      <c r="O26" s="310"/>
      <c r="P26" s="310"/>
      <c r="Q26" s="310"/>
      <c r="R26" s="310"/>
      <c r="S26" s="310"/>
      <c r="T26" s="310"/>
      <c r="U26" s="310"/>
      <c r="V26" s="310"/>
      <c r="W26" s="310"/>
      <c r="X26" s="310"/>
      <c r="Y26" s="310"/>
      <c r="Z26" s="310"/>
      <c r="AA26" s="302"/>
      <c r="AB26" s="311"/>
      <c r="AC26" s="311"/>
    </row>
    <row r="27" customFormat="false" ht="15.75" hidden="false" customHeight="false" outlineLevel="0" collapsed="false">
      <c r="A27" s="128" t="s">
        <v>263</v>
      </c>
      <c r="B27" s="9"/>
      <c r="C27" s="308"/>
      <c r="D27" s="308"/>
      <c r="E27" s="310"/>
      <c r="F27" s="310"/>
      <c r="G27" s="310"/>
      <c r="H27" s="310"/>
      <c r="I27" s="310"/>
      <c r="J27" s="310"/>
      <c r="K27" s="310"/>
      <c r="L27" s="310"/>
      <c r="M27" s="310"/>
      <c r="N27" s="310"/>
      <c r="O27" s="310"/>
      <c r="P27" s="310"/>
      <c r="Q27" s="310"/>
      <c r="R27" s="310"/>
      <c r="S27" s="310"/>
      <c r="T27" s="310"/>
      <c r="U27" s="310"/>
      <c r="V27" s="310"/>
      <c r="W27" s="310"/>
      <c r="X27" s="310"/>
      <c r="Y27" s="310"/>
      <c r="Z27" s="310"/>
      <c r="AA27" s="302"/>
      <c r="AB27" s="311"/>
      <c r="AC27" s="311"/>
    </row>
    <row r="28" customFormat="false" ht="15.75" hidden="false" customHeight="false" outlineLevel="0" collapsed="false">
      <c r="A28" s="23" t="s">
        <v>264</v>
      </c>
      <c r="B28" s="9"/>
      <c r="C28" s="308"/>
      <c r="D28" s="308"/>
      <c r="E28" s="310"/>
      <c r="F28" s="310"/>
      <c r="G28" s="310"/>
      <c r="H28" s="310"/>
      <c r="I28" s="310"/>
      <c r="J28" s="310"/>
      <c r="K28" s="310"/>
      <c r="L28" s="310"/>
      <c r="M28" s="310"/>
      <c r="N28" s="310"/>
      <c r="O28" s="310"/>
      <c r="P28" s="310"/>
      <c r="Q28" s="310"/>
      <c r="R28" s="310"/>
      <c r="S28" s="310"/>
      <c r="T28" s="310"/>
      <c r="U28" s="310"/>
      <c r="V28" s="310"/>
      <c r="W28" s="310"/>
      <c r="X28" s="310"/>
      <c r="Y28" s="310"/>
      <c r="Z28" s="310"/>
      <c r="AA28" s="302"/>
      <c r="AB28" s="311"/>
      <c r="AC28" s="311"/>
    </row>
    <row r="29" customFormat="false" ht="15.75" hidden="false" customHeight="false" outlineLevel="0" collapsed="false">
      <c r="A29" s="23"/>
      <c r="B29" s="9"/>
      <c r="C29" s="308"/>
      <c r="D29" s="308"/>
      <c r="E29" s="310"/>
      <c r="F29" s="310"/>
      <c r="G29" s="310"/>
      <c r="H29" s="310"/>
      <c r="I29" s="310"/>
      <c r="J29" s="310"/>
      <c r="K29" s="310"/>
      <c r="L29" s="310"/>
      <c r="M29" s="310"/>
      <c r="N29" s="310"/>
      <c r="O29" s="310"/>
      <c r="P29" s="310"/>
      <c r="Q29" s="310"/>
      <c r="R29" s="310"/>
      <c r="S29" s="310"/>
      <c r="T29" s="310"/>
      <c r="U29" s="310"/>
      <c r="V29" s="310"/>
      <c r="W29" s="310"/>
      <c r="X29" s="310"/>
      <c r="Y29" s="310"/>
      <c r="Z29" s="310"/>
      <c r="AA29" s="302"/>
      <c r="AB29" s="311"/>
      <c r="AC29" s="311"/>
    </row>
    <row r="30" customFormat="false" ht="15.75" hidden="false" customHeight="false" outlineLevel="0" collapsed="false">
      <c r="A30" s="299" t="s">
        <v>253</v>
      </c>
      <c r="B30" s="23"/>
      <c r="C30" s="308"/>
      <c r="D30" s="308"/>
      <c r="E30" s="310"/>
      <c r="F30" s="310"/>
      <c r="G30" s="310"/>
      <c r="H30" s="310"/>
      <c r="I30" s="310"/>
      <c r="J30" s="310"/>
      <c r="K30" s="310"/>
      <c r="L30" s="310"/>
      <c r="M30" s="310"/>
      <c r="N30" s="310"/>
      <c r="O30" s="310"/>
      <c r="P30" s="310"/>
      <c r="Q30" s="310"/>
      <c r="R30" s="310"/>
      <c r="S30" s="310"/>
      <c r="T30" s="310"/>
      <c r="U30" s="310"/>
      <c r="V30" s="310"/>
      <c r="W30" s="310"/>
      <c r="X30" s="310"/>
      <c r="Y30" s="310"/>
      <c r="Z30" s="310"/>
      <c r="AA30" s="302"/>
      <c r="AB30" s="311"/>
      <c r="AC30" s="311"/>
    </row>
    <row r="31" customFormat="false" ht="15.75" hidden="false" customHeight="false" outlineLevel="0" collapsed="false">
      <c r="A31" s="23"/>
      <c r="B31" s="23" t="s">
        <v>254</v>
      </c>
      <c r="C31" s="308"/>
      <c r="D31" s="308"/>
      <c r="E31" s="301"/>
      <c r="F31" s="301" t="n">
        <v>66</v>
      </c>
      <c r="G31" s="301" t="n">
        <v>65</v>
      </c>
      <c r="H31" s="301" t="n">
        <v>65</v>
      </c>
      <c r="I31" s="301" t="n">
        <v>65</v>
      </c>
      <c r="J31" s="301" t="n">
        <v>64</v>
      </c>
      <c r="K31" s="301" t="n">
        <v>64</v>
      </c>
      <c r="L31" s="301" t="n">
        <v>62</v>
      </c>
      <c r="M31" s="301" t="n">
        <v>61</v>
      </c>
      <c r="N31" s="301" t="n">
        <v>60</v>
      </c>
      <c r="O31" s="301" t="n">
        <v>59</v>
      </c>
      <c r="P31" s="301" t="n">
        <v>58</v>
      </c>
      <c r="Q31" s="301" t="n">
        <v>57</v>
      </c>
      <c r="R31" s="301" t="n">
        <v>56</v>
      </c>
      <c r="S31" s="301" t="n">
        <v>55</v>
      </c>
      <c r="T31" s="301" t="n">
        <v>54</v>
      </c>
      <c r="U31" s="301" t="n">
        <v>53</v>
      </c>
      <c r="V31" s="301" t="n">
        <v>52</v>
      </c>
      <c r="W31" s="301" t="n">
        <v>51</v>
      </c>
      <c r="X31" s="301" t="n">
        <v>50</v>
      </c>
      <c r="Y31" s="301" t="n">
        <v>48</v>
      </c>
      <c r="Z31" s="301" t="n">
        <v>47</v>
      </c>
      <c r="AC31" s="311"/>
    </row>
    <row r="32" customFormat="false" ht="15.75" hidden="false" customHeight="false" outlineLevel="0" collapsed="false">
      <c r="A32" s="23"/>
      <c r="B32" s="23" t="s">
        <v>255</v>
      </c>
      <c r="C32" s="23"/>
      <c r="D32" s="23"/>
      <c r="E32" s="301"/>
      <c r="F32" s="301" t="n">
        <v>54</v>
      </c>
      <c r="G32" s="301" t="n">
        <v>54</v>
      </c>
      <c r="H32" s="301" t="n">
        <v>54</v>
      </c>
      <c r="I32" s="301" t="n">
        <v>53</v>
      </c>
      <c r="J32" s="301" t="n">
        <v>53</v>
      </c>
      <c r="K32" s="301" t="n">
        <v>52</v>
      </c>
      <c r="L32" s="301" t="n">
        <v>51</v>
      </c>
      <c r="M32" s="301" t="n">
        <v>50</v>
      </c>
      <c r="N32" s="301" t="n">
        <v>49</v>
      </c>
      <c r="O32" s="301" t="n">
        <v>48</v>
      </c>
      <c r="P32" s="301" t="n">
        <v>47</v>
      </c>
      <c r="Q32" s="301" t="n">
        <v>46</v>
      </c>
      <c r="R32" s="301" t="n">
        <v>45</v>
      </c>
      <c r="S32" s="301" t="n">
        <v>43</v>
      </c>
      <c r="T32" s="301" t="n">
        <v>42</v>
      </c>
      <c r="U32" s="301" t="n">
        <v>41</v>
      </c>
      <c r="V32" s="301" t="n">
        <v>40</v>
      </c>
      <c r="W32" s="301" t="n">
        <v>39</v>
      </c>
      <c r="X32" s="301" t="n">
        <v>38</v>
      </c>
      <c r="Y32" s="301" t="n">
        <v>37</v>
      </c>
      <c r="Z32" s="301" t="n">
        <v>36</v>
      </c>
      <c r="AC32" s="311"/>
    </row>
    <row r="33" customFormat="false" ht="15.75" hidden="false" customHeight="false" outlineLevel="0" collapsed="false">
      <c r="A33" s="26"/>
      <c r="B33" s="23"/>
      <c r="C33" s="23"/>
      <c r="D33" s="23"/>
      <c r="E33" s="301"/>
      <c r="F33" s="301"/>
      <c r="G33" s="301"/>
      <c r="H33" s="301"/>
      <c r="I33" s="301"/>
      <c r="J33" s="301"/>
      <c r="K33" s="301"/>
      <c r="L33" s="301"/>
      <c r="M33" s="301"/>
      <c r="N33" s="301"/>
      <c r="O33" s="301"/>
      <c r="P33" s="301"/>
      <c r="Q33" s="301"/>
      <c r="R33" s="301"/>
      <c r="S33" s="301"/>
      <c r="T33" s="301"/>
      <c r="U33" s="301"/>
      <c r="V33" s="301"/>
      <c r="W33" s="301"/>
      <c r="X33" s="301"/>
      <c r="Y33" s="301"/>
      <c r="Z33" s="301"/>
      <c r="AC33" s="311"/>
    </row>
    <row r="34" customFormat="false" ht="15.75" hidden="false" customHeight="false" outlineLevel="0" collapsed="false">
      <c r="A34" s="299" t="s">
        <v>265</v>
      </c>
      <c r="B34" s="23"/>
      <c r="C34" s="23"/>
      <c r="D34" s="23"/>
      <c r="E34" s="301"/>
      <c r="F34" s="301"/>
      <c r="G34" s="301"/>
      <c r="H34" s="301"/>
      <c r="I34" s="301"/>
      <c r="J34" s="301"/>
      <c r="K34" s="301"/>
      <c r="L34" s="301"/>
      <c r="M34" s="301"/>
      <c r="N34" s="301"/>
      <c r="O34" s="301"/>
      <c r="P34" s="301"/>
      <c r="Q34" s="301"/>
      <c r="R34" s="301"/>
      <c r="S34" s="301"/>
      <c r="T34" s="301"/>
      <c r="U34" s="301"/>
      <c r="V34" s="301"/>
      <c r="W34" s="301"/>
      <c r="X34" s="301"/>
      <c r="Y34" s="301"/>
      <c r="Z34" s="301"/>
      <c r="AC34" s="311"/>
    </row>
    <row r="35" customFormat="false" ht="15.75" hidden="false" customHeight="false" outlineLevel="0" collapsed="false">
      <c r="A35" s="23"/>
      <c r="B35" s="23" t="s">
        <v>257</v>
      </c>
      <c r="C35" s="23"/>
      <c r="D35" s="23"/>
      <c r="E35" s="301"/>
      <c r="F35" s="301" t="n">
        <f aca="false">F31*(1+'Power Price Assumption'!$C$6)^(F9-1998)</f>
        <v>70.0194</v>
      </c>
      <c r="G35" s="301" t="n">
        <f aca="false">G31*(1+'Power Price Assumption'!$C$6)^(G9-1998)</f>
        <v>71.027255</v>
      </c>
      <c r="H35" s="301" t="n">
        <f aca="false">H31*(1+'Power Price Assumption'!$C$6)^(H9-1998)</f>
        <v>73.15807265</v>
      </c>
      <c r="I35" s="301" t="n">
        <f aca="false">I31*(1+'Power Price Assumption'!$C$6)^(I9-1998)</f>
        <v>75.3528148295</v>
      </c>
      <c r="J35" s="301" t="n">
        <f aca="false">J31*(1+'Power Price Assumption'!$C$6)^(J9-1998)</f>
        <v>76.419346977856</v>
      </c>
      <c r="K35" s="301" t="n">
        <f aca="false">K31*(1+'Power Price Assumption'!$C$6)^(K9-1998)</f>
        <v>78.7119273871917</v>
      </c>
      <c r="L35" s="301" t="n">
        <f aca="false">L31*(1+'Power Price Assumption'!$C$6)^(L9-1998)</f>
        <v>78.5397450460322</v>
      </c>
      <c r="M35" s="301" t="n">
        <f aca="false">M31*(1+'Power Price Assumption'!$C$6)^(M9-1998)</f>
        <v>79.5911642135839</v>
      </c>
      <c r="N35" s="301" t="n">
        <f aca="false">N31*(1+'Power Price Assumption'!$C$6)^(N9-1998)</f>
        <v>80.6349827606473</v>
      </c>
      <c r="O35" s="301" t="n">
        <f aca="false">O31*(1+'Power Price Assumption'!$C$6)^(O9-1998)</f>
        <v>81.6697983727423</v>
      </c>
      <c r="P35" s="301" t="n">
        <f aca="false">P31*(1+'Power Price Assumption'!$C$6)^(P9-1998)</f>
        <v>82.6941314370784</v>
      </c>
      <c r="Q35" s="301" t="n">
        <f aca="false">Q31*(1+'Power Price Assumption'!$C$6)^(Q9-1998)</f>
        <v>83.7064216667392</v>
      </c>
      <c r="R35" s="301" t="n">
        <f aca="false">R31*(1+'Power Price Assumption'!$C$6)^(R9-1998)</f>
        <v>84.7050245918863</v>
      </c>
      <c r="S35" s="301" t="n">
        <f aca="false">S31*(1+'Power Price Assumption'!$C$6)^(S9-1998)</f>
        <v>85.6882079130421</v>
      </c>
      <c r="T35" s="301" t="n">
        <f aca="false">T31*(1+'Power Price Assumption'!$C$6)^(T9-1998)</f>
        <v>86.6541477113346</v>
      </c>
      <c r="U35" s="301" t="n">
        <f aca="false">U31*(1+'Power Price Assumption'!$C$6)^(U9-1998)</f>
        <v>87.6009245104029</v>
      </c>
      <c r="V35" s="301" t="n">
        <f aca="false">V31*(1+'Power Price Assumption'!$C$6)^(V9-1998)</f>
        <v>88.526519184475</v>
      </c>
      <c r="W35" s="301" t="n">
        <f aca="false">W31*(1+'Power Price Assumption'!$C$6)^(W9-1998)</f>
        <v>89.4288087069322</v>
      </c>
      <c r="X35" s="301" t="n">
        <f aca="false">X31*(1+'Power Price Assumption'!$C$6)^(X9-1998)</f>
        <v>90.3055617334707</v>
      </c>
      <c r="Y35" s="301" t="n">
        <f aca="false">Y31*(1+'Power Price Assumption'!$C$6)^(Y9-1998)</f>
        <v>89.2941394420559</v>
      </c>
      <c r="Z35" s="301" t="n">
        <f aca="false">Z31*(1+'Power Price Assumption'!$C$6)^(Z9-1998)</f>
        <v>90.0568602164568</v>
      </c>
    </row>
    <row r="36" customFormat="false" ht="15.75" hidden="false" customHeight="false" outlineLevel="0" collapsed="false">
      <c r="A36" s="23"/>
      <c r="B36" s="23" t="s">
        <v>255</v>
      </c>
      <c r="C36" s="23"/>
      <c r="D36" s="23"/>
      <c r="E36" s="301"/>
      <c r="F36" s="301" t="n">
        <f aca="false">F32*(1+'Power Price Assumption'!$C$6)^(F9-1998)</f>
        <v>57.2886</v>
      </c>
      <c r="G36" s="301" t="n">
        <f aca="false">G32*(1+'Power Price Assumption'!$C$6)^(G9-1998)</f>
        <v>59.007258</v>
      </c>
      <c r="H36" s="301" t="n">
        <f aca="false">H32*(1+'Power Price Assumption'!$C$6)^(H9-1998)</f>
        <v>60.77747574</v>
      </c>
      <c r="I36" s="301" t="n">
        <f aca="false">I32*(1+'Power Price Assumption'!$C$6)^(I9-1998)</f>
        <v>61.4415259379</v>
      </c>
      <c r="J36" s="301" t="n">
        <f aca="false">J32*(1+'Power Price Assumption'!$C$6)^(J9-1998)</f>
        <v>63.284771716037</v>
      </c>
      <c r="K36" s="301" t="n">
        <f aca="false">K32*(1+'Power Price Assumption'!$C$6)^(K9-1998)</f>
        <v>63.9534410020933</v>
      </c>
      <c r="L36" s="301" t="n">
        <f aca="false">L32*(1+'Power Price Assumption'!$C$6)^(L9-1998)</f>
        <v>64.6052741507684</v>
      </c>
      <c r="M36" s="301" t="n">
        <f aca="false">M32*(1+'Power Price Assumption'!$C$6)^(M9-1998)</f>
        <v>65.2386591914623</v>
      </c>
      <c r="N36" s="301" t="n">
        <f aca="false">N32*(1+'Power Price Assumption'!$C$6)^(N9-1998)</f>
        <v>65.851902587862</v>
      </c>
      <c r="O36" s="301" t="n">
        <f aca="false">O32*(1+'Power Price Assumption'!$C$6)^(O9-1998)</f>
        <v>66.4432257947734</v>
      </c>
      <c r="P36" s="301" t="n">
        <f aca="false">P32*(1+'Power Price Assumption'!$C$6)^(P9-1998)</f>
        <v>67.0107616817704</v>
      </c>
      <c r="Q36" s="301" t="n">
        <f aca="false">Q32*(1+'Power Price Assumption'!$C$6)^(Q9-1998)</f>
        <v>67.552550818772</v>
      </c>
      <c r="R36" s="301" t="n">
        <f aca="false">R32*(1+'Power Price Assumption'!$C$6)^(R9-1998)</f>
        <v>68.06653761848</v>
      </c>
      <c r="S36" s="301" t="n">
        <f aca="false">S32*(1+'Power Price Assumption'!$C$6)^(S9-1998)</f>
        <v>66.9925989138329</v>
      </c>
      <c r="T36" s="301" t="n">
        <f aca="false">T32*(1+'Power Price Assumption'!$C$6)^(T9-1998)</f>
        <v>67.3976704421491</v>
      </c>
      <c r="U36" s="301" t="n">
        <f aca="false">U32*(1+'Power Price Assumption'!$C$6)^(U9-1998)</f>
        <v>67.7667529231418</v>
      </c>
      <c r="V36" s="301" t="n">
        <f aca="false">V32*(1+'Power Price Assumption'!$C$6)^(V9-1998)</f>
        <v>68.0973224495962</v>
      </c>
      <c r="W36" s="301" t="n">
        <f aca="false">W32*(1+'Power Price Assumption'!$C$6)^(W9-1998)</f>
        <v>68.386736070007</v>
      </c>
      <c r="X36" s="301" t="n">
        <f aca="false">X32*(1+'Power Price Assumption'!$C$6)^(X9-1998)</f>
        <v>68.6322269174378</v>
      </c>
      <c r="Y36" s="301" t="n">
        <f aca="false">Y32*(1+'Power Price Assumption'!$C$6)^(Y9-1998)</f>
        <v>68.8308991532514</v>
      </c>
      <c r="Z36" s="301" t="n">
        <f aca="false">Z32*(1+'Power Price Assumption'!$C$6)^(Z9-1998)</f>
        <v>68.9797227189882</v>
      </c>
    </row>
    <row r="37" customFormat="false" ht="15.75" hidden="false" customHeight="false" outlineLevel="0" collapsed="false">
      <c r="A37" s="23"/>
      <c r="B37" s="23"/>
      <c r="C37" s="23"/>
      <c r="D37" s="23"/>
      <c r="E37" s="23"/>
      <c r="F37" s="296"/>
      <c r="G37" s="296"/>
      <c r="H37" s="296"/>
      <c r="I37" s="296"/>
      <c r="J37" s="296"/>
      <c r="K37" s="296"/>
      <c r="L37" s="296"/>
      <c r="M37" s="296"/>
      <c r="N37" s="296"/>
      <c r="O37" s="296"/>
      <c r="P37" s="296"/>
      <c r="Q37" s="296"/>
      <c r="R37" s="296"/>
      <c r="S37" s="296"/>
      <c r="T37" s="296"/>
      <c r="U37" s="296"/>
      <c r="V37" s="296"/>
      <c r="W37" s="296"/>
      <c r="X37" s="296"/>
      <c r="Y37" s="296"/>
      <c r="Z37" s="296"/>
    </row>
    <row r="38" customFormat="false" ht="15.75" hidden="false" customHeight="false" outlineLevel="0" collapsed="false">
      <c r="A38" s="23" t="n">
        <v>1</v>
      </c>
      <c r="B38" s="23" t="s">
        <v>258</v>
      </c>
      <c r="C38" s="23"/>
      <c r="D38" s="23"/>
      <c r="E38" s="304"/>
      <c r="F38" s="304" t="n">
        <f aca="false">F35/12</f>
        <v>5.83495</v>
      </c>
      <c r="G38" s="304" t="n">
        <f aca="false">G35/12</f>
        <v>5.91893791666667</v>
      </c>
      <c r="H38" s="304" t="n">
        <f aca="false">H35/12</f>
        <v>6.09650605416667</v>
      </c>
      <c r="I38" s="304" t="n">
        <f aca="false">I35/12</f>
        <v>6.27940123579167</v>
      </c>
      <c r="J38" s="304" t="n">
        <f aca="false">J35/12</f>
        <v>6.36827891482133</v>
      </c>
      <c r="K38" s="304" t="n">
        <f aca="false">K35/12</f>
        <v>6.55932728226598</v>
      </c>
      <c r="L38" s="304" t="n">
        <f aca="false">L35/12</f>
        <v>6.54497875383602</v>
      </c>
      <c r="M38" s="304" t="n">
        <f aca="false">M35/12</f>
        <v>6.63259701779866</v>
      </c>
      <c r="N38" s="304" t="n">
        <f aca="false">N35/12</f>
        <v>6.71958189672061</v>
      </c>
      <c r="O38" s="304" t="n">
        <f aca="false">O35/12</f>
        <v>6.80581653106186</v>
      </c>
      <c r="P38" s="304" t="n">
        <f aca="false">P35/12</f>
        <v>6.89117761975653</v>
      </c>
      <c r="Q38" s="304" t="n">
        <f aca="false">Q35/12</f>
        <v>6.97553513889493</v>
      </c>
      <c r="R38" s="304" t="n">
        <f aca="false">R35/12</f>
        <v>7.05875204932386</v>
      </c>
      <c r="S38" s="304" t="n">
        <f aca="false">S35/12</f>
        <v>7.14068399275351</v>
      </c>
      <c r="T38" s="304" t="n">
        <f aca="false">T35/12</f>
        <v>7.22117897594455</v>
      </c>
      <c r="U38" s="304" t="n">
        <f aca="false">U35/12</f>
        <v>7.30007704253357</v>
      </c>
      <c r="V38" s="304" t="n">
        <f aca="false">V35/12</f>
        <v>7.37720993203959</v>
      </c>
      <c r="W38" s="304" t="n">
        <f aca="false">W35/12</f>
        <v>7.45240072557768</v>
      </c>
      <c r="X38" s="304" t="n">
        <f aca="false">X35/12</f>
        <v>7.52546347778923</v>
      </c>
      <c r="Y38" s="304" t="n">
        <f aca="false">Y35/12</f>
        <v>7.44117828683799</v>
      </c>
      <c r="Z38" s="304" t="n">
        <f aca="false">Z35/12</f>
        <v>7.5047383513714</v>
      </c>
    </row>
    <row r="39" customFormat="false" ht="15.75" hidden="false" customHeight="false" outlineLevel="0" collapsed="false">
      <c r="A39" s="23" t="n">
        <v>2</v>
      </c>
      <c r="B39" s="23" t="s">
        <v>259</v>
      </c>
      <c r="C39" s="23"/>
      <c r="D39" s="23"/>
      <c r="E39" s="304"/>
      <c r="F39" s="304" t="n">
        <f aca="false">F36/12</f>
        <v>4.77405</v>
      </c>
      <c r="G39" s="304" t="n">
        <f aca="false">G36/12</f>
        <v>4.9172715</v>
      </c>
      <c r="H39" s="304" t="n">
        <f aca="false">H36/12</f>
        <v>5.064789645</v>
      </c>
      <c r="I39" s="304" t="n">
        <f aca="false">I36/12</f>
        <v>5.12012716149167</v>
      </c>
      <c r="J39" s="304" t="n">
        <f aca="false">J36/12</f>
        <v>5.27373097633642</v>
      </c>
      <c r="K39" s="304" t="n">
        <f aca="false">K36/12</f>
        <v>5.3294534168411</v>
      </c>
      <c r="L39" s="304" t="n">
        <f aca="false">L36/12</f>
        <v>5.38377284589737</v>
      </c>
      <c r="M39" s="304" t="n">
        <f aca="false">M36/12</f>
        <v>5.43655493262185</v>
      </c>
      <c r="N39" s="304" t="n">
        <f aca="false">N36/12</f>
        <v>5.4876585489885</v>
      </c>
      <c r="O39" s="304" t="n">
        <f aca="false">O36/12</f>
        <v>5.53693548289779</v>
      </c>
      <c r="P39" s="304" t="n">
        <f aca="false">P36/12</f>
        <v>5.58423014014754</v>
      </c>
      <c r="Q39" s="304" t="n">
        <f aca="false">Q36/12</f>
        <v>5.62937923489767</v>
      </c>
      <c r="R39" s="304" t="n">
        <f aca="false">R36/12</f>
        <v>5.67221146820667</v>
      </c>
      <c r="S39" s="304" t="n">
        <f aca="false">S36/12</f>
        <v>5.58271657615274</v>
      </c>
      <c r="T39" s="304" t="n">
        <f aca="false">T36/12</f>
        <v>5.61647253684576</v>
      </c>
      <c r="U39" s="304" t="n">
        <f aca="false">U36/12</f>
        <v>5.64722941026182</v>
      </c>
      <c r="V39" s="304" t="n">
        <f aca="false">V36/12</f>
        <v>5.67477687079968</v>
      </c>
      <c r="W39" s="304" t="n">
        <f aca="false">W36/12</f>
        <v>5.69889467250058</v>
      </c>
      <c r="X39" s="304" t="n">
        <f aca="false">X36/12</f>
        <v>5.71935224311981</v>
      </c>
      <c r="Y39" s="304" t="n">
        <f aca="false">Y36/12</f>
        <v>5.73590826277095</v>
      </c>
      <c r="Z39" s="304" t="n">
        <f aca="false">Z36/12</f>
        <v>5.74831022658235</v>
      </c>
    </row>
    <row r="40" customFormat="false" ht="15.75" hidden="false" customHeight="false" outlineLevel="0" collapsed="false">
      <c r="A40" s="23" t="n">
        <v>3</v>
      </c>
      <c r="B40" s="23" t="s">
        <v>260</v>
      </c>
      <c r="C40" s="23"/>
      <c r="D40" s="23"/>
      <c r="E40" s="304"/>
      <c r="F40" s="305" t="n">
        <v>0</v>
      </c>
      <c r="G40" s="305" t="n">
        <v>0</v>
      </c>
      <c r="H40" s="305" t="n">
        <v>0</v>
      </c>
      <c r="I40" s="305" t="n">
        <v>0</v>
      </c>
      <c r="J40" s="305" t="n">
        <v>0</v>
      </c>
      <c r="K40" s="305" t="n">
        <v>0</v>
      </c>
      <c r="L40" s="305" t="n">
        <v>0</v>
      </c>
      <c r="M40" s="305" t="n">
        <v>0</v>
      </c>
      <c r="N40" s="305" t="n">
        <v>0</v>
      </c>
      <c r="O40" s="305" t="n">
        <v>0</v>
      </c>
      <c r="P40" s="305" t="n">
        <v>0</v>
      </c>
      <c r="Q40" s="305" t="n">
        <v>0</v>
      </c>
      <c r="R40" s="305" t="n">
        <v>0</v>
      </c>
      <c r="S40" s="305" t="n">
        <v>0</v>
      </c>
      <c r="T40" s="305" t="n">
        <v>0</v>
      </c>
      <c r="U40" s="305" t="n">
        <v>0</v>
      </c>
      <c r="V40" s="305" t="n">
        <v>0</v>
      </c>
      <c r="W40" s="305" t="n">
        <v>0</v>
      </c>
      <c r="X40" s="305" t="n">
        <v>0</v>
      </c>
      <c r="Y40" s="305" t="n">
        <v>0</v>
      </c>
      <c r="Z40" s="305" t="n">
        <v>0</v>
      </c>
    </row>
    <row r="41" customFormat="false" ht="15.75" hidden="false" customHeight="false" outlineLevel="0" collapsed="false">
      <c r="A41" s="23"/>
      <c r="B41" s="23"/>
      <c r="C41" s="23"/>
      <c r="D41" s="23"/>
      <c r="E41" s="304"/>
      <c r="F41" s="304"/>
      <c r="G41" s="304"/>
      <c r="H41" s="304"/>
      <c r="I41" s="304"/>
      <c r="J41" s="304"/>
      <c r="K41" s="304"/>
      <c r="L41" s="304"/>
      <c r="M41" s="304"/>
      <c r="N41" s="304"/>
      <c r="O41" s="304"/>
      <c r="P41" s="304"/>
      <c r="Q41" s="304"/>
      <c r="R41" s="304"/>
      <c r="S41" s="304"/>
      <c r="T41" s="304"/>
      <c r="U41" s="304"/>
      <c r="V41" s="304"/>
      <c r="W41" s="304"/>
      <c r="X41" s="304"/>
      <c r="Y41" s="304"/>
      <c r="Z41" s="304"/>
    </row>
    <row r="42" customFormat="false" ht="15.75" hidden="false" customHeight="false" outlineLevel="0" collapsed="false">
      <c r="A42" s="23"/>
      <c r="B42" s="23" t="s">
        <v>261</v>
      </c>
      <c r="C42" s="23"/>
      <c r="D42" s="23"/>
      <c r="E42" s="304" t="n">
        <v>4</v>
      </c>
      <c r="F42" s="304" t="n">
        <f aca="false">Assumptions!$L$25</f>
        <v>4</v>
      </c>
      <c r="G42" s="304" t="n">
        <f aca="false">Assumptions!$L$25</f>
        <v>4</v>
      </c>
      <c r="H42" s="304" t="n">
        <f aca="false">Assumptions!$L$25</f>
        <v>4</v>
      </c>
      <c r="I42" s="304" t="n">
        <f aca="false">Assumptions!$L$25</f>
        <v>4</v>
      </c>
      <c r="J42" s="304"/>
      <c r="K42" s="304"/>
      <c r="L42" s="304"/>
      <c r="M42" s="304"/>
      <c r="N42" s="304"/>
      <c r="O42" s="304"/>
      <c r="P42" s="304"/>
      <c r="Q42" s="304"/>
      <c r="R42" s="304"/>
      <c r="S42" s="304"/>
      <c r="T42" s="304"/>
      <c r="U42" s="304"/>
      <c r="V42" s="304"/>
      <c r="W42" s="304"/>
      <c r="X42" s="304"/>
      <c r="Y42" s="304"/>
      <c r="Z42" s="304"/>
    </row>
    <row r="43" customFormat="false" ht="15.75" hidden="false" customHeight="false" outlineLevel="0" collapsed="false">
      <c r="A43" s="23"/>
      <c r="B43" s="23"/>
      <c r="C43" s="23"/>
      <c r="D43" s="23"/>
      <c r="E43" s="304"/>
      <c r="F43" s="304"/>
      <c r="G43" s="304"/>
      <c r="H43" s="304"/>
      <c r="I43" s="306"/>
      <c r="J43" s="306"/>
      <c r="K43" s="306"/>
      <c r="L43" s="306"/>
      <c r="M43" s="306"/>
      <c r="N43" s="306"/>
      <c r="O43" s="306"/>
      <c r="P43" s="306"/>
      <c r="Q43" s="306"/>
      <c r="R43" s="306"/>
      <c r="S43" s="306"/>
      <c r="T43" s="306"/>
      <c r="U43" s="306"/>
      <c r="V43" s="306"/>
      <c r="W43" s="306"/>
      <c r="X43" s="306"/>
      <c r="Y43" s="306"/>
      <c r="Z43" s="306"/>
    </row>
    <row r="44" customFormat="false" ht="15.75" hidden="false" customHeight="false" outlineLevel="0" collapsed="false">
      <c r="A44" s="23"/>
      <c r="B44" s="9" t="s">
        <v>262</v>
      </c>
      <c r="C44" s="307" t="n">
        <f aca="false">C25</f>
        <v>1</v>
      </c>
      <c r="D44" s="308"/>
      <c r="E44" s="309" t="n">
        <v>4</v>
      </c>
      <c r="F44" s="309" t="n">
        <f aca="false">F42</f>
        <v>4</v>
      </c>
      <c r="G44" s="309" t="n">
        <f aca="false">G42</f>
        <v>4</v>
      </c>
      <c r="H44" s="309" t="n">
        <f aca="false">H42</f>
        <v>4</v>
      </c>
      <c r="I44" s="309" t="n">
        <f aca="false">CHOOSE($C$44,I38,I39,I40)</f>
        <v>6.27940123579167</v>
      </c>
      <c r="J44" s="309" t="n">
        <f aca="false">CHOOSE($C$44,J38,J39,J40)</f>
        <v>6.36827891482133</v>
      </c>
      <c r="K44" s="309" t="n">
        <f aca="false">CHOOSE($C$44,K38,K39,K40)</f>
        <v>6.55932728226598</v>
      </c>
      <c r="L44" s="309" t="n">
        <f aca="false">CHOOSE($C$44,L38,L39,L40)</f>
        <v>6.54497875383602</v>
      </c>
      <c r="M44" s="309" t="n">
        <f aca="false">CHOOSE($C$44,M38,M39,M40)</f>
        <v>6.63259701779866</v>
      </c>
      <c r="N44" s="309" t="n">
        <f aca="false">CHOOSE($C$44,N38,N39,N40)</f>
        <v>6.71958189672061</v>
      </c>
      <c r="O44" s="309" t="n">
        <f aca="false">CHOOSE($C$44,O38,O39,O40)</f>
        <v>6.80581653106186</v>
      </c>
      <c r="P44" s="309" t="n">
        <f aca="false">CHOOSE($C$44,P38,P39,P40)</f>
        <v>6.89117761975653</v>
      </c>
      <c r="Q44" s="309" t="n">
        <f aca="false">CHOOSE($C$44,Q38,Q39,Q40)</f>
        <v>6.97553513889493</v>
      </c>
      <c r="R44" s="309" t="n">
        <f aca="false">CHOOSE($C$44,R38,R39,R40)</f>
        <v>7.05875204932386</v>
      </c>
      <c r="S44" s="309" t="n">
        <f aca="false">CHOOSE($C$44,S38,S39,S40)</f>
        <v>7.14068399275351</v>
      </c>
      <c r="T44" s="309" t="n">
        <f aca="false">CHOOSE($C$44,T38,T39,T40)</f>
        <v>7.22117897594455</v>
      </c>
      <c r="U44" s="309" t="n">
        <f aca="false">CHOOSE($C$44,U38,U39,U40)</f>
        <v>7.30007704253357</v>
      </c>
      <c r="V44" s="309" t="n">
        <f aca="false">CHOOSE($C$44,V38,V39,V40)</f>
        <v>7.37720993203959</v>
      </c>
      <c r="W44" s="309" t="n">
        <f aca="false">CHOOSE($C$44,W38,W39,W40)</f>
        <v>7.45240072557768</v>
      </c>
      <c r="X44" s="309" t="n">
        <f aca="false">CHOOSE($C$44,X38,X39,X40)</f>
        <v>7.52546347778923</v>
      </c>
      <c r="Y44" s="309" t="n">
        <f aca="false">CHOOSE($C$44,Y38,Y39,Y40)</f>
        <v>7.44117828683799</v>
      </c>
      <c r="Z44" s="309" t="n">
        <f aca="false">CHOOSE($C$44,Z38,Z39,Z40)</f>
        <v>7.5047383513714</v>
      </c>
    </row>
    <row r="45" customFormat="false" ht="15.75" hidden="false" customHeight="false" outlineLevel="0" collapsed="false">
      <c r="A45" s="23"/>
      <c r="B45" s="9"/>
      <c r="C45" s="308"/>
      <c r="D45" s="308"/>
      <c r="E45" s="310"/>
      <c r="F45" s="310"/>
      <c r="G45" s="310"/>
      <c r="H45" s="310"/>
      <c r="I45" s="310"/>
      <c r="J45" s="310"/>
      <c r="K45" s="310"/>
      <c r="L45" s="310"/>
      <c r="M45" s="310"/>
      <c r="N45" s="310"/>
      <c r="O45" s="310"/>
      <c r="P45" s="310"/>
      <c r="Q45" s="310"/>
      <c r="R45" s="310"/>
      <c r="S45" s="310"/>
      <c r="T45" s="310"/>
      <c r="U45" s="310"/>
      <c r="V45" s="310"/>
      <c r="W45" s="310"/>
      <c r="X45" s="310"/>
      <c r="Y45" s="310"/>
      <c r="Z45" s="310"/>
    </row>
    <row r="46" customFormat="false" ht="15.75" hidden="false" customHeight="false" outlineLevel="0" collapsed="false">
      <c r="A46" s="128" t="s">
        <v>266</v>
      </c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customFormat="false" ht="15.75" hidden="false" customHeight="false" outlineLevel="0" collapsed="false">
      <c r="A47" s="23" t="s">
        <v>267</v>
      </c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customFormat="false" ht="15.75" hidden="false" customHeight="false" outlineLevel="0" collapsed="false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customFormat="false" ht="15.75" hidden="false" customHeight="false" outlineLevel="0" collapsed="false">
      <c r="A49" s="299" t="s">
        <v>253</v>
      </c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customFormat="false" ht="15.75" hidden="false" customHeight="false" outlineLevel="0" collapsed="false">
      <c r="A50" s="23"/>
      <c r="B50" s="23" t="s">
        <v>254</v>
      </c>
      <c r="C50" s="308"/>
      <c r="D50" s="308"/>
      <c r="E50" s="312"/>
      <c r="F50" s="301" t="n">
        <v>66</v>
      </c>
      <c r="G50" s="301" t="n">
        <v>66</v>
      </c>
      <c r="H50" s="301" t="n">
        <v>65</v>
      </c>
      <c r="I50" s="301" t="n">
        <v>65</v>
      </c>
      <c r="J50" s="301" t="n">
        <v>65</v>
      </c>
      <c r="K50" s="301" t="n">
        <v>65</v>
      </c>
      <c r="L50" s="301" t="n">
        <v>64</v>
      </c>
      <c r="M50" s="301" t="n">
        <v>63</v>
      </c>
      <c r="N50" s="301" t="n">
        <v>62</v>
      </c>
      <c r="O50" s="301" t="n">
        <v>61</v>
      </c>
      <c r="P50" s="301" t="n">
        <v>60</v>
      </c>
      <c r="Q50" s="301" t="n">
        <v>59</v>
      </c>
      <c r="R50" s="301" t="n">
        <v>58</v>
      </c>
      <c r="S50" s="301" t="n">
        <v>56</v>
      </c>
      <c r="T50" s="301" t="n">
        <v>55</v>
      </c>
      <c r="U50" s="301" t="n">
        <v>54</v>
      </c>
      <c r="V50" s="301" t="n">
        <v>53</v>
      </c>
      <c r="W50" s="301" t="n">
        <v>52</v>
      </c>
      <c r="X50" s="301" t="n">
        <v>51</v>
      </c>
      <c r="Y50" s="301" t="n">
        <v>49</v>
      </c>
      <c r="Z50" s="301" t="n">
        <v>48</v>
      </c>
    </row>
    <row r="51" customFormat="false" ht="15.75" hidden="false" customHeight="false" outlineLevel="0" collapsed="false">
      <c r="A51" s="23"/>
      <c r="B51" s="23" t="s">
        <v>255</v>
      </c>
      <c r="C51" s="308"/>
      <c r="D51" s="308"/>
      <c r="E51" s="312"/>
      <c r="F51" s="312" t="n">
        <v>54</v>
      </c>
      <c r="G51" s="312" t="n">
        <v>54</v>
      </c>
      <c r="H51" s="312" t="n">
        <v>54</v>
      </c>
      <c r="I51" s="312" t="n">
        <v>54</v>
      </c>
      <c r="J51" s="312" t="n">
        <v>54</v>
      </c>
      <c r="K51" s="312" t="n">
        <v>53</v>
      </c>
      <c r="L51" s="312" t="n">
        <v>53</v>
      </c>
      <c r="M51" s="312" t="n">
        <v>52</v>
      </c>
      <c r="N51" s="312" t="n">
        <v>51</v>
      </c>
      <c r="O51" s="312" t="n">
        <v>50</v>
      </c>
      <c r="P51" s="312" t="n">
        <v>49</v>
      </c>
      <c r="Q51" s="312" t="n">
        <v>48</v>
      </c>
      <c r="R51" s="312" t="n">
        <v>46</v>
      </c>
      <c r="S51" s="312" t="n">
        <v>44</v>
      </c>
      <c r="T51" s="312" t="n">
        <v>43</v>
      </c>
      <c r="U51" s="312" t="n">
        <v>41</v>
      </c>
      <c r="V51" s="312" t="n">
        <v>40</v>
      </c>
      <c r="W51" s="312" t="n">
        <v>39</v>
      </c>
      <c r="X51" s="312" t="n">
        <v>39</v>
      </c>
      <c r="Y51" s="312" t="n">
        <v>38</v>
      </c>
      <c r="Z51" s="312" t="n">
        <v>37</v>
      </c>
    </row>
    <row r="52" customFormat="false" ht="15.75" hidden="false" customHeight="false" outlineLevel="0" collapsed="false">
      <c r="A52" s="23"/>
      <c r="B52" s="23"/>
      <c r="C52" s="308"/>
      <c r="D52" s="308"/>
      <c r="E52" s="312"/>
      <c r="F52" s="312"/>
      <c r="G52" s="312"/>
      <c r="H52" s="312"/>
      <c r="I52" s="312"/>
      <c r="J52" s="312"/>
      <c r="K52" s="312"/>
      <c r="L52" s="312"/>
      <c r="M52" s="312"/>
      <c r="N52" s="312"/>
      <c r="O52" s="312"/>
      <c r="P52" s="312"/>
      <c r="Q52" s="312"/>
      <c r="R52" s="312"/>
      <c r="S52" s="312"/>
      <c r="T52" s="312"/>
      <c r="U52" s="312"/>
      <c r="V52" s="312"/>
      <c r="W52" s="312"/>
      <c r="X52" s="312"/>
      <c r="Y52" s="312"/>
      <c r="Z52" s="312"/>
    </row>
    <row r="53" customFormat="false" ht="15.75" hidden="false" customHeight="false" outlineLevel="0" collapsed="false">
      <c r="A53" s="299" t="s">
        <v>256</v>
      </c>
      <c r="B53" s="23"/>
      <c r="C53" s="308"/>
      <c r="D53" s="308"/>
      <c r="E53" s="312"/>
      <c r="F53" s="312"/>
      <c r="G53" s="312"/>
      <c r="H53" s="312"/>
      <c r="I53" s="312"/>
      <c r="J53" s="312"/>
      <c r="K53" s="312"/>
      <c r="L53" s="312"/>
      <c r="M53" s="312"/>
      <c r="N53" s="312"/>
      <c r="O53" s="312"/>
      <c r="P53" s="312"/>
      <c r="Q53" s="312"/>
      <c r="R53" s="312"/>
      <c r="S53" s="312"/>
      <c r="T53" s="312"/>
      <c r="U53" s="312"/>
      <c r="V53" s="312"/>
      <c r="W53" s="312"/>
      <c r="X53" s="312"/>
      <c r="Y53" s="312"/>
      <c r="Z53" s="312"/>
    </row>
    <row r="54" customFormat="false" ht="15.75" hidden="false" customHeight="false" outlineLevel="0" collapsed="false">
      <c r="A54" s="23"/>
      <c r="B54" s="23" t="s">
        <v>257</v>
      </c>
      <c r="C54" s="308"/>
      <c r="D54" s="308"/>
      <c r="E54" s="312"/>
      <c r="F54" s="312" t="n">
        <f aca="false">F50*(1+'Power Price Assumption'!$C$6)^(F9-1998)</f>
        <v>70.0194</v>
      </c>
      <c r="G54" s="312" t="n">
        <f aca="false">G50*(1+'Power Price Assumption'!$C$6)^(G9-1998)</f>
        <v>72.119982</v>
      </c>
      <c r="H54" s="312" t="n">
        <f aca="false">H50*(1+'Power Price Assumption'!$C$6)^(H9-1998)</f>
        <v>73.15807265</v>
      </c>
      <c r="I54" s="312" t="n">
        <f aca="false">I50*(1+'Power Price Assumption'!$C$6)^(I9-1998)</f>
        <v>75.3528148295</v>
      </c>
      <c r="J54" s="312" t="n">
        <f aca="false">J50*(1+'Power Price Assumption'!$C$6)^(J9-1998)</f>
        <v>77.613399274385</v>
      </c>
      <c r="K54" s="312" t="n">
        <f aca="false">K50*(1+'Power Price Assumption'!$C$6)^(K9-1998)</f>
        <v>79.9418012526166</v>
      </c>
      <c r="L54" s="312" t="n">
        <f aca="false">L50*(1+'Power Price Assumption'!$C$6)^(L9-1998)</f>
        <v>81.0732852088075</v>
      </c>
      <c r="M54" s="312" t="n">
        <f aca="false">M50*(1+'Power Price Assumption'!$C$6)^(M9-1998)</f>
        <v>82.2007105812424</v>
      </c>
      <c r="N54" s="312" t="n">
        <f aca="false">N50*(1+'Power Price Assumption'!$C$6)^(N9-1998)</f>
        <v>83.3228155193356</v>
      </c>
      <c r="O54" s="312" t="n">
        <f aca="false">O50*(1+'Power Price Assumption'!$C$6)^(O9-1998)</f>
        <v>84.4382661141912</v>
      </c>
      <c r="P54" s="312" t="n">
        <f aca="false">P50*(1+'Power Price Assumption'!$C$6)^(P9-1998)</f>
        <v>85.5456532107708</v>
      </c>
      <c r="Q54" s="312" t="n">
        <f aca="false">Q50*(1+'Power Price Assumption'!$C$6)^(Q9-1998)</f>
        <v>86.6434890936423</v>
      </c>
      <c r="R54" s="312" t="n">
        <f aca="false">R50*(1+'Power Price Assumption'!$C$6)^(R9-1998)</f>
        <v>87.7302040415965</v>
      </c>
      <c r="S54" s="312" t="n">
        <f aca="false">S50*(1+'Power Price Assumption'!$C$6)^(S9-1998)</f>
        <v>87.2461753296429</v>
      </c>
      <c r="T54" s="312" t="n">
        <f aca="false">T50*(1+'Power Price Assumption'!$C$6)^(T9-1998)</f>
        <v>88.2588541504334</v>
      </c>
      <c r="U54" s="312" t="n">
        <f aca="false">U50*(1+'Power Price Assumption'!$C$6)^(U9-1998)</f>
        <v>89.2537721426746</v>
      </c>
      <c r="V54" s="312" t="n">
        <f aca="false">V50*(1+'Power Price Assumption'!$C$6)^(V9-1998)</f>
        <v>90.2289522457149</v>
      </c>
      <c r="W54" s="312" t="n">
        <f aca="false">W50*(1+'Power Price Assumption'!$C$6)^(W9-1998)</f>
        <v>91.1823147600093</v>
      </c>
      <c r="X54" s="312" t="n">
        <f aca="false">X50*(1+'Power Price Assumption'!$C$6)^(X9-1998)</f>
        <v>92.1116729681402</v>
      </c>
      <c r="Y54" s="312" t="n">
        <f aca="false">Y50*(1+'Power Price Assumption'!$C$6)^(Y9-1998)</f>
        <v>91.1544340137654</v>
      </c>
      <c r="Z54" s="312" t="n">
        <f aca="false">Z50*(1+'Power Price Assumption'!$C$6)^(Z9-1998)</f>
        <v>91.9729636253176</v>
      </c>
    </row>
    <row r="55" customFormat="false" ht="15.75" hidden="false" customHeight="false" outlineLevel="0" collapsed="false">
      <c r="A55" s="23"/>
      <c r="B55" s="23" t="s">
        <v>255</v>
      </c>
      <c r="C55" s="308"/>
      <c r="D55" s="308"/>
      <c r="E55" s="312"/>
      <c r="F55" s="312" t="n">
        <f aca="false">F51*(1+'Power Price Assumption'!$C$6)^(F9-1998)</f>
        <v>57.2886</v>
      </c>
      <c r="G55" s="312" t="n">
        <f aca="false">G51*(1+'Power Price Assumption'!$C$6)^(G9-1998)</f>
        <v>59.007258</v>
      </c>
      <c r="H55" s="312" t="n">
        <f aca="false">H51*(1+'Power Price Assumption'!$C$6)^(H9-1998)</f>
        <v>60.77747574</v>
      </c>
      <c r="I55" s="312" t="n">
        <f aca="false">I51*(1+'Power Price Assumption'!$C$6)^(I9-1998)</f>
        <v>62.6008000122</v>
      </c>
      <c r="J55" s="312" t="n">
        <f aca="false">J51*(1+'Power Price Assumption'!$C$6)^(J9-1998)</f>
        <v>64.478824012566</v>
      </c>
      <c r="K55" s="312" t="n">
        <f aca="false">K51*(1+'Power Price Assumption'!$C$6)^(K9-1998)</f>
        <v>65.1833148675181</v>
      </c>
      <c r="L55" s="312" t="n">
        <f aca="false">L51*(1+'Power Price Assumption'!$C$6)^(L9-1998)</f>
        <v>67.1388143135437</v>
      </c>
      <c r="M55" s="312" t="n">
        <f aca="false">M51*(1+'Power Price Assumption'!$C$6)^(M9-1998)</f>
        <v>67.8482055591207</v>
      </c>
      <c r="N55" s="312" t="n">
        <f aca="false">N51*(1+'Power Price Assumption'!$C$6)^(N9-1998)</f>
        <v>68.5397353465502</v>
      </c>
      <c r="O55" s="312" t="n">
        <f aca="false">O51*(1+'Power Price Assumption'!$C$6)^(O9-1998)</f>
        <v>69.2116935362223</v>
      </c>
      <c r="P55" s="312" t="n">
        <f aca="false">P51*(1+'Power Price Assumption'!$C$6)^(P9-1998)</f>
        <v>69.8622834554628</v>
      </c>
      <c r="Q55" s="312" t="n">
        <f aca="false">Q51*(1+'Power Price Assumption'!$C$6)^(Q9-1998)</f>
        <v>70.4896182456751</v>
      </c>
      <c r="R55" s="312" t="n">
        <f aca="false">R51*(1+'Power Price Assumption'!$C$6)^(R9-1998)</f>
        <v>69.5791273433351</v>
      </c>
      <c r="S55" s="312" t="n">
        <f aca="false">S51*(1+'Power Price Assumption'!$C$6)^(S9-1998)</f>
        <v>68.5505663304337</v>
      </c>
      <c r="T55" s="312" t="n">
        <f aca="false">T51*(1+'Power Price Assumption'!$C$6)^(T9-1998)</f>
        <v>69.0023768812479</v>
      </c>
      <c r="U55" s="312" t="n">
        <f aca="false">U51*(1+'Power Price Assumption'!$C$6)^(U9-1998)</f>
        <v>67.7667529231418</v>
      </c>
      <c r="V55" s="312" t="n">
        <f aca="false">V51*(1+'Power Price Assumption'!$C$6)^(V9-1998)</f>
        <v>68.0973224495962</v>
      </c>
      <c r="W55" s="312" t="n">
        <f aca="false">W51*(1+'Power Price Assumption'!$C$6)^(W9-1998)</f>
        <v>68.386736070007</v>
      </c>
      <c r="X55" s="312" t="n">
        <f aca="false">X51*(1+'Power Price Assumption'!$C$6)^(X9-1998)</f>
        <v>70.4383381521072</v>
      </c>
      <c r="Y55" s="312" t="n">
        <f aca="false">Y51*(1+'Power Price Assumption'!$C$6)^(Y9-1998)</f>
        <v>70.6911937249609</v>
      </c>
      <c r="Z55" s="312" t="n">
        <f aca="false">Z51*(1+'Power Price Assumption'!$C$6)^(Z9-1998)</f>
        <v>70.895826127849</v>
      </c>
    </row>
    <row r="56" customFormat="false" ht="15.75" hidden="false" customHeight="false" outlineLevel="0" collapsed="false">
      <c r="A56" s="23"/>
      <c r="B56" s="23"/>
      <c r="C56" s="23"/>
      <c r="D56" s="23"/>
      <c r="E56" s="23"/>
      <c r="F56" s="296"/>
      <c r="G56" s="296"/>
      <c r="H56" s="296"/>
      <c r="I56" s="296"/>
      <c r="J56" s="296"/>
      <c r="K56" s="296"/>
      <c r="L56" s="296"/>
      <c r="M56" s="296"/>
      <c r="N56" s="296"/>
      <c r="O56" s="296"/>
      <c r="P56" s="296"/>
      <c r="Q56" s="296"/>
      <c r="R56" s="296"/>
      <c r="S56" s="296"/>
      <c r="T56" s="296"/>
      <c r="U56" s="296"/>
      <c r="V56" s="296"/>
      <c r="W56" s="296"/>
      <c r="X56" s="296"/>
      <c r="Y56" s="296"/>
      <c r="Z56" s="296"/>
    </row>
    <row r="57" customFormat="false" ht="15.75" hidden="false" customHeight="false" outlineLevel="0" collapsed="false">
      <c r="A57" s="23" t="n">
        <v>1</v>
      </c>
      <c r="B57" s="23" t="s">
        <v>258</v>
      </c>
      <c r="C57" s="23"/>
      <c r="D57" s="23"/>
      <c r="E57" s="304"/>
      <c r="F57" s="304" t="n">
        <f aca="false">F54/12</f>
        <v>5.83495</v>
      </c>
      <c r="G57" s="304" t="n">
        <f aca="false">G54/12</f>
        <v>6.0099985</v>
      </c>
      <c r="H57" s="304" t="n">
        <f aca="false">H54/12</f>
        <v>6.09650605416667</v>
      </c>
      <c r="I57" s="304" t="n">
        <f aca="false">I54/12</f>
        <v>6.27940123579167</v>
      </c>
      <c r="J57" s="304" t="n">
        <f aca="false">J54/12</f>
        <v>6.46778327286542</v>
      </c>
      <c r="K57" s="304" t="n">
        <f aca="false">K54/12</f>
        <v>6.66181677105138</v>
      </c>
      <c r="L57" s="304" t="n">
        <f aca="false">L54/12</f>
        <v>6.75610710073395</v>
      </c>
      <c r="M57" s="304" t="n">
        <f aca="false">M54/12</f>
        <v>6.85005921510354</v>
      </c>
      <c r="N57" s="304" t="n">
        <f aca="false">N54/12</f>
        <v>6.94356795994463</v>
      </c>
      <c r="O57" s="304" t="n">
        <f aca="false">O54/12</f>
        <v>7.0365221761826</v>
      </c>
      <c r="P57" s="304" t="n">
        <f aca="false">P54/12</f>
        <v>7.1288044342309</v>
      </c>
      <c r="Q57" s="304" t="n">
        <f aca="false">Q54/12</f>
        <v>7.22029075780353</v>
      </c>
      <c r="R57" s="304" t="n">
        <f aca="false">R54/12</f>
        <v>7.31085033679971</v>
      </c>
      <c r="S57" s="304" t="n">
        <f aca="false">S54/12</f>
        <v>7.27051461080357</v>
      </c>
      <c r="T57" s="304" t="n">
        <f aca="false">T54/12</f>
        <v>7.35490451253611</v>
      </c>
      <c r="U57" s="304" t="n">
        <f aca="false">U54/12</f>
        <v>7.43781434522288</v>
      </c>
      <c r="V57" s="304" t="n">
        <f aca="false">V54/12</f>
        <v>7.51907935380958</v>
      </c>
      <c r="W57" s="304" t="n">
        <f aca="false">W54/12</f>
        <v>7.59852623000077</v>
      </c>
      <c r="X57" s="304" t="n">
        <f aca="false">X54/12</f>
        <v>7.67597274734501</v>
      </c>
      <c r="Y57" s="304" t="n">
        <f aca="false">Y54/12</f>
        <v>7.59620283448045</v>
      </c>
      <c r="Z57" s="304" t="n">
        <f aca="false">Z54/12</f>
        <v>7.66441363544313</v>
      </c>
    </row>
    <row r="58" customFormat="false" ht="15.75" hidden="false" customHeight="false" outlineLevel="0" collapsed="false">
      <c r="A58" s="23" t="n">
        <v>2</v>
      </c>
      <c r="B58" s="23" t="s">
        <v>259</v>
      </c>
      <c r="C58" s="23"/>
      <c r="D58" s="23"/>
      <c r="E58" s="304"/>
      <c r="F58" s="304" t="n">
        <f aca="false">F55/12</f>
        <v>4.77405</v>
      </c>
      <c r="G58" s="304" t="n">
        <f aca="false">G55/12</f>
        <v>4.9172715</v>
      </c>
      <c r="H58" s="304" t="n">
        <f aca="false">H55/12</f>
        <v>5.064789645</v>
      </c>
      <c r="I58" s="304" t="n">
        <f aca="false">I55/12</f>
        <v>5.21673333435</v>
      </c>
      <c r="J58" s="304" t="n">
        <f aca="false">J55/12</f>
        <v>5.3732353343805</v>
      </c>
      <c r="K58" s="304" t="n">
        <f aca="false">K55/12</f>
        <v>5.43194290562651</v>
      </c>
      <c r="L58" s="304" t="n">
        <f aca="false">L55/12</f>
        <v>5.59490119279531</v>
      </c>
      <c r="M58" s="304" t="n">
        <f aca="false">M55/12</f>
        <v>5.65401712992673</v>
      </c>
      <c r="N58" s="304" t="n">
        <f aca="false">N55/12</f>
        <v>5.71164461221252</v>
      </c>
      <c r="O58" s="304" t="n">
        <f aca="false">O55/12</f>
        <v>5.76764112801853</v>
      </c>
      <c r="P58" s="304" t="n">
        <f aca="false">P55/12</f>
        <v>5.8218569546219</v>
      </c>
      <c r="Q58" s="304" t="n">
        <f aca="false">Q55/12</f>
        <v>5.87413485380626</v>
      </c>
      <c r="R58" s="304" t="n">
        <f aca="false">R55/12</f>
        <v>5.7982606119446</v>
      </c>
      <c r="S58" s="304" t="n">
        <f aca="false">S55/12</f>
        <v>5.71254719420281</v>
      </c>
      <c r="T58" s="304" t="n">
        <f aca="false">T55/12</f>
        <v>5.75019807343733</v>
      </c>
      <c r="U58" s="304" t="n">
        <f aca="false">U55/12</f>
        <v>5.64722941026182</v>
      </c>
      <c r="V58" s="304" t="n">
        <f aca="false">V55/12</f>
        <v>5.67477687079968</v>
      </c>
      <c r="W58" s="304" t="n">
        <f aca="false">W55/12</f>
        <v>5.69889467250058</v>
      </c>
      <c r="X58" s="304" t="n">
        <f aca="false">X55/12</f>
        <v>5.8698615126756</v>
      </c>
      <c r="Y58" s="304" t="n">
        <f aca="false">Y55/12</f>
        <v>5.89093281041341</v>
      </c>
      <c r="Z58" s="304" t="n">
        <f aca="false">Z55/12</f>
        <v>5.90798551065408</v>
      </c>
    </row>
    <row r="59" customFormat="false" ht="15.75" hidden="false" customHeight="false" outlineLevel="0" collapsed="false">
      <c r="A59" s="23" t="n">
        <v>3</v>
      </c>
      <c r="B59" s="23" t="s">
        <v>260</v>
      </c>
      <c r="C59" s="23"/>
      <c r="D59" s="23"/>
      <c r="E59" s="304"/>
      <c r="F59" s="305" t="n">
        <v>0</v>
      </c>
      <c r="G59" s="305" t="n">
        <v>0</v>
      </c>
      <c r="H59" s="305" t="n">
        <v>0</v>
      </c>
      <c r="I59" s="305" t="n">
        <v>0</v>
      </c>
      <c r="J59" s="305" t="n">
        <v>0</v>
      </c>
      <c r="K59" s="305" t="n">
        <v>0</v>
      </c>
      <c r="L59" s="305" t="n">
        <v>0</v>
      </c>
      <c r="M59" s="305" t="n">
        <v>0</v>
      </c>
      <c r="N59" s="305" t="n">
        <v>0</v>
      </c>
      <c r="O59" s="305" t="n">
        <v>0</v>
      </c>
      <c r="P59" s="305" t="n">
        <v>0</v>
      </c>
      <c r="Q59" s="305" t="n">
        <v>0</v>
      </c>
      <c r="R59" s="305" t="n">
        <v>0</v>
      </c>
      <c r="S59" s="305" t="n">
        <v>0</v>
      </c>
      <c r="T59" s="305" t="n">
        <v>0</v>
      </c>
      <c r="U59" s="305" t="n">
        <v>0</v>
      </c>
      <c r="V59" s="305" t="n">
        <v>0</v>
      </c>
      <c r="W59" s="305" t="n">
        <v>0</v>
      </c>
      <c r="X59" s="305" t="n">
        <v>0</v>
      </c>
      <c r="Y59" s="305" t="n">
        <v>0</v>
      </c>
      <c r="Z59" s="305" t="n">
        <v>0</v>
      </c>
    </row>
    <row r="60" customFormat="false" ht="15.75" hidden="false" customHeight="false" outlineLevel="0" collapsed="false">
      <c r="A60" s="23"/>
      <c r="B60" s="23"/>
      <c r="C60" s="23"/>
      <c r="D60" s="23"/>
      <c r="E60" s="304"/>
      <c r="F60" s="304"/>
      <c r="G60" s="304"/>
      <c r="H60" s="304"/>
      <c r="I60" s="304"/>
      <c r="J60" s="306"/>
      <c r="K60" s="306"/>
      <c r="L60" s="306"/>
      <c r="M60" s="306"/>
      <c r="N60" s="306"/>
      <c r="O60" s="306"/>
      <c r="P60" s="306"/>
      <c r="Q60" s="306"/>
      <c r="R60" s="306"/>
      <c r="S60" s="306"/>
      <c r="T60" s="306"/>
      <c r="U60" s="306"/>
      <c r="V60" s="306"/>
      <c r="W60" s="306"/>
      <c r="X60" s="306"/>
      <c r="Y60" s="306"/>
      <c r="Z60" s="306"/>
    </row>
    <row r="61" customFormat="false" ht="15.75" hidden="false" customHeight="false" outlineLevel="0" collapsed="false">
      <c r="A61" s="23"/>
      <c r="B61" s="23" t="s">
        <v>261</v>
      </c>
      <c r="C61" s="23"/>
      <c r="D61" s="23"/>
      <c r="E61" s="304" t="n">
        <v>4</v>
      </c>
      <c r="F61" s="304" t="n">
        <f aca="false">Assumptions!$L$25</f>
        <v>4</v>
      </c>
      <c r="G61" s="304" t="n">
        <f aca="false">Assumptions!$L$25</f>
        <v>4</v>
      </c>
      <c r="H61" s="304" t="n">
        <f aca="false">Assumptions!$L$25</f>
        <v>4</v>
      </c>
      <c r="I61" s="304" t="n">
        <f aca="false">Assumptions!$L$25</f>
        <v>4</v>
      </c>
      <c r="J61" s="306"/>
      <c r="K61" s="306"/>
      <c r="L61" s="306"/>
      <c r="M61" s="306"/>
      <c r="N61" s="306"/>
      <c r="O61" s="306"/>
      <c r="P61" s="306"/>
      <c r="Q61" s="306"/>
      <c r="R61" s="306"/>
      <c r="S61" s="306"/>
      <c r="T61" s="306"/>
      <c r="U61" s="306"/>
      <c r="V61" s="306"/>
      <c r="W61" s="306"/>
      <c r="X61" s="306"/>
      <c r="Y61" s="306"/>
      <c r="Z61" s="306"/>
    </row>
    <row r="62" customFormat="false" ht="15.75" hidden="false" customHeight="false" outlineLevel="0" collapsed="false">
      <c r="A62" s="23"/>
      <c r="B62" s="23"/>
      <c r="C62" s="23"/>
      <c r="D62" s="23"/>
      <c r="E62" s="304"/>
      <c r="F62" s="304"/>
      <c r="G62" s="304"/>
      <c r="H62" s="304"/>
      <c r="I62" s="306"/>
      <c r="J62" s="306"/>
      <c r="K62" s="306"/>
      <c r="L62" s="306"/>
      <c r="M62" s="306"/>
      <c r="N62" s="306"/>
      <c r="O62" s="306"/>
      <c r="P62" s="306"/>
      <c r="Q62" s="306"/>
      <c r="R62" s="306"/>
      <c r="S62" s="306"/>
      <c r="T62" s="306"/>
      <c r="U62" s="306"/>
      <c r="V62" s="306"/>
      <c r="W62" s="306"/>
      <c r="X62" s="306"/>
      <c r="Y62" s="306"/>
      <c r="Z62" s="306"/>
    </row>
    <row r="63" customFormat="false" ht="15.75" hidden="false" customHeight="false" outlineLevel="0" collapsed="false">
      <c r="A63" s="23"/>
      <c r="B63" s="9" t="s">
        <v>262</v>
      </c>
      <c r="C63" s="307" t="n">
        <f aca="false">C25</f>
        <v>1</v>
      </c>
      <c r="D63" s="308"/>
      <c r="E63" s="309" t="n">
        <v>4</v>
      </c>
      <c r="F63" s="309" t="n">
        <f aca="false">F61</f>
        <v>4</v>
      </c>
      <c r="G63" s="309" t="n">
        <f aca="false">G61</f>
        <v>4</v>
      </c>
      <c r="H63" s="309" t="n">
        <f aca="false">H61</f>
        <v>4</v>
      </c>
      <c r="I63" s="309" t="n">
        <f aca="false">CHOOSE($C$63,I57,I58,I59)</f>
        <v>6.27940123579167</v>
      </c>
      <c r="J63" s="309" t="n">
        <f aca="false">CHOOSE($C$63,J57,J58,J59)</f>
        <v>6.46778327286542</v>
      </c>
      <c r="K63" s="309" t="n">
        <f aca="false">CHOOSE($C$63,K57,K58,K59)</f>
        <v>6.66181677105138</v>
      </c>
      <c r="L63" s="309" t="n">
        <f aca="false">CHOOSE($C$63,L57,L58,L59)</f>
        <v>6.75610710073395</v>
      </c>
      <c r="M63" s="309" t="n">
        <f aca="false">CHOOSE($C$63,M57,M58,M59)</f>
        <v>6.85005921510354</v>
      </c>
      <c r="N63" s="309" t="n">
        <f aca="false">CHOOSE($C$63,N57,N58,N59)</f>
        <v>6.94356795994463</v>
      </c>
      <c r="O63" s="309" t="n">
        <f aca="false">CHOOSE($C$63,O57,O58,O59)</f>
        <v>7.0365221761826</v>
      </c>
      <c r="P63" s="309" t="n">
        <f aca="false">CHOOSE($C$63,P57,P58,P59)</f>
        <v>7.1288044342309</v>
      </c>
      <c r="Q63" s="309" t="n">
        <f aca="false">CHOOSE($C$63,Q57,Q58,Q59)</f>
        <v>7.22029075780353</v>
      </c>
      <c r="R63" s="309" t="n">
        <f aca="false">CHOOSE($C$63,R57,R58,R59)</f>
        <v>7.31085033679971</v>
      </c>
      <c r="S63" s="309" t="n">
        <f aca="false">CHOOSE($C$63,S57,S58,S59)</f>
        <v>7.27051461080357</v>
      </c>
      <c r="T63" s="309" t="n">
        <f aca="false">CHOOSE($C$63,T57,T58,T59)</f>
        <v>7.35490451253611</v>
      </c>
      <c r="U63" s="309" t="n">
        <f aca="false">CHOOSE($C$63,U57,U58,U59)</f>
        <v>7.43781434522288</v>
      </c>
      <c r="V63" s="309" t="n">
        <f aca="false">CHOOSE($C$63,V57,V58,V59)</f>
        <v>7.51907935380958</v>
      </c>
      <c r="W63" s="309" t="n">
        <f aca="false">CHOOSE($C$63,W57,W58,W59)</f>
        <v>7.59852623000077</v>
      </c>
      <c r="X63" s="309" t="n">
        <f aca="false">CHOOSE($C$63,X57,X58,X59)</f>
        <v>7.67597274734501</v>
      </c>
      <c r="Y63" s="309" t="n">
        <f aca="false">CHOOSE($C$63,Y57,Y58,Y59)</f>
        <v>7.59620283448045</v>
      </c>
      <c r="Z63" s="309" t="n">
        <f aca="false">CHOOSE($C$63,Z57,Z58,Z59)</f>
        <v>7.66441363544313</v>
      </c>
    </row>
    <row r="64" customFormat="false" ht="15.75" hidden="false" customHeight="false" outlineLevel="0" collapsed="false">
      <c r="A64" s="23"/>
      <c r="B64" s="9"/>
      <c r="C64" s="308"/>
      <c r="D64" s="308"/>
      <c r="E64" s="313"/>
      <c r="F64" s="313"/>
      <c r="G64" s="313"/>
      <c r="H64" s="313"/>
      <c r="I64" s="313"/>
      <c r="J64" s="313"/>
      <c r="K64" s="313"/>
      <c r="L64" s="313"/>
      <c r="M64" s="313"/>
      <c r="N64" s="313"/>
      <c r="O64" s="313"/>
      <c r="P64" s="313"/>
      <c r="Q64" s="313"/>
      <c r="R64" s="313"/>
      <c r="S64" s="313"/>
      <c r="T64" s="313"/>
      <c r="U64" s="313"/>
      <c r="V64" s="313"/>
      <c r="W64" s="313"/>
      <c r="X64" s="313"/>
      <c r="Y64" s="313"/>
      <c r="Z64" s="313"/>
    </row>
    <row r="65" customFormat="false" ht="15.75" hidden="false" customHeight="false" outlineLevel="0" collapsed="false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customFormat="false" ht="15.75" hidden="false" customHeight="false" outlineLevel="0" collapsed="false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customFormat="false" ht="15.75" hidden="false" customHeight="false" outlineLevel="0" collapsed="false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customFormat="false" ht="15.75" hidden="false" customHeight="false" outlineLevel="0" collapsed="false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customFormat="false" ht="15.75" hidden="false" customHeight="false" outlineLevel="0" collapsed="false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customFormat="false" ht="15.75" hidden="false" customHeight="false" outlineLevel="0" collapsed="false">
      <c r="A70" s="23"/>
      <c r="B70" s="23"/>
      <c r="C70" s="308"/>
      <c r="D70" s="308"/>
      <c r="E70" s="314"/>
      <c r="F70" s="315"/>
      <c r="G70" s="315"/>
      <c r="H70" s="315"/>
      <c r="I70" s="315"/>
      <c r="J70" s="315"/>
      <c r="K70" s="315"/>
      <c r="L70" s="315"/>
      <c r="M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</row>
    <row r="71" customFormat="false" ht="15.75" hidden="false" customHeight="false" outlineLevel="0" collapsed="false">
      <c r="A71" s="23"/>
      <c r="B71" s="23"/>
      <c r="C71" s="308"/>
      <c r="D71" s="308"/>
      <c r="E71" s="314"/>
      <c r="F71" s="315"/>
      <c r="G71" s="315"/>
      <c r="H71" s="315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T71" s="315"/>
      <c r="U71" s="315"/>
      <c r="V71" s="315"/>
      <c r="W71" s="315"/>
      <c r="X71" s="315"/>
      <c r="Y71" s="315"/>
      <c r="Z71" s="315"/>
    </row>
    <row r="72" customFormat="false" ht="15.75" hidden="false" customHeight="false" outlineLevel="0" collapsed="false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customFormat="false" ht="15.75" hidden="false" customHeight="false" outlineLevel="0" collapsed="false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customFormat="false" ht="15.75" hidden="false" customHeight="false" outlineLevel="0" collapsed="false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customFormat="false" ht="15.75" hidden="false" customHeight="false" outlineLevel="0" collapsed="false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customFormat="false" ht="15.75" hidden="false" customHeight="false" outlineLevel="0" collapsed="false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customFormat="false" ht="15.75" hidden="false" customHeight="false" outlineLevel="0" collapsed="false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customFormat="false" ht="15.75" hidden="false" customHeight="false" outlineLevel="0" collapsed="false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customFormat="false" ht="15.75" hidden="false" customHeight="false" outlineLevel="0" collapsed="false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customFormat="false" ht="15.75" hidden="false" customHeight="false" outlineLevel="0" collapsed="false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customFormat="false" ht="15.75" hidden="false" customHeight="false" outlineLevel="0" collapsed="false">
      <c r="A81" s="23"/>
      <c r="B81" s="23"/>
      <c r="C81" s="23"/>
      <c r="D81" s="23"/>
    </row>
    <row r="82" customFormat="false" ht="15.75" hidden="false" customHeight="false" outlineLevel="0" collapsed="false">
      <c r="A82" s="23"/>
      <c r="B82" s="23"/>
      <c r="C82" s="23"/>
      <c r="D82" s="23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V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21" activeCellId="0" sqref="I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75.99"/>
    <col collapsed="false" customWidth="true" hidden="false" outlineLevel="0" max="25" min="4" style="0" width="12.56"/>
    <col collapsed="false" customWidth="true" hidden="false" outlineLevel="0" max="27" min="26" style="316" width="12.56"/>
  </cols>
  <sheetData>
    <row r="2" customFormat="false" ht="18.75" hidden="false" customHeight="false" outlineLevel="0" collapsed="false">
      <c r="A2" s="317" t="s">
        <v>268</v>
      </c>
      <c r="B2" s="318"/>
    </row>
    <row r="4" customFormat="false" ht="13.5" hidden="false" customHeight="false" outlineLevel="0" collapsed="false">
      <c r="A4" s="319" t="s">
        <v>269</v>
      </c>
      <c r="B4" s="320"/>
      <c r="C4" s="320"/>
      <c r="D4" s="320" t="n">
        <v>1999</v>
      </c>
      <c r="E4" s="320" t="n">
        <f aca="false">D4+1</f>
        <v>2000</v>
      </c>
      <c r="F4" s="320" t="n">
        <f aca="false">E4+1</f>
        <v>2001</v>
      </c>
      <c r="G4" s="320" t="n">
        <f aca="false">F4+1</f>
        <v>2002</v>
      </c>
      <c r="H4" s="320" t="n">
        <f aca="false">G4+1</f>
        <v>2003</v>
      </c>
      <c r="I4" s="320" t="n">
        <f aca="false">H4+1</f>
        <v>2004</v>
      </c>
      <c r="J4" s="320" t="n">
        <f aca="false">I4+1</f>
        <v>2005</v>
      </c>
      <c r="K4" s="320" t="n">
        <f aca="false">J4+1</f>
        <v>2006</v>
      </c>
      <c r="L4" s="320" t="n">
        <f aca="false">K4+1</f>
        <v>2007</v>
      </c>
      <c r="M4" s="320" t="n">
        <f aca="false">L4+1</f>
        <v>2008</v>
      </c>
      <c r="N4" s="320" t="n">
        <f aca="false">M4+1</f>
        <v>2009</v>
      </c>
      <c r="O4" s="320" t="n">
        <f aca="false">N4+1</f>
        <v>2010</v>
      </c>
      <c r="P4" s="320" t="n">
        <f aca="false">O4+1</f>
        <v>2011</v>
      </c>
      <c r="Q4" s="320" t="n">
        <f aca="false">P4+1</f>
        <v>2012</v>
      </c>
      <c r="R4" s="320" t="n">
        <f aca="false">Q4+1</f>
        <v>2013</v>
      </c>
      <c r="S4" s="320" t="n">
        <f aca="false">R4+1</f>
        <v>2014</v>
      </c>
      <c r="T4" s="320" t="n">
        <f aca="false">S4+1</f>
        <v>2015</v>
      </c>
      <c r="U4" s="320" t="n">
        <f aca="false">T4+1</f>
        <v>2016</v>
      </c>
      <c r="V4" s="320" t="n">
        <f aca="false">U4+1</f>
        <v>2017</v>
      </c>
      <c r="W4" s="320" t="n">
        <f aca="false">V4+1</f>
        <v>2018</v>
      </c>
      <c r="X4" s="320" t="n">
        <f aca="false">W4+1</f>
        <v>2019</v>
      </c>
      <c r="Y4" s="320" t="n">
        <f aca="false">X4+1</f>
        <v>2020</v>
      </c>
      <c r="Z4" s="321"/>
      <c r="AA4" s="321"/>
    </row>
    <row r="5" customFormat="false" ht="12.75" hidden="false" customHeight="false" outlineLevel="0" collapsed="false">
      <c r="A5" s="322"/>
    </row>
    <row r="6" customFormat="false" ht="12.75" hidden="false" customHeight="false" outlineLevel="0" collapsed="false">
      <c r="A6" s="323" t="s">
        <v>270</v>
      </c>
      <c r="D6" s="324"/>
      <c r="E6" s="324"/>
      <c r="F6" s="324"/>
      <c r="G6" s="324"/>
      <c r="H6" s="324"/>
      <c r="I6" s="324"/>
      <c r="J6" s="324"/>
      <c r="K6" s="324"/>
      <c r="L6" s="324"/>
      <c r="M6" s="324"/>
      <c r="N6" s="324"/>
      <c r="O6" s="324"/>
      <c r="P6" s="324"/>
      <c r="Q6" s="324"/>
      <c r="R6" s="324"/>
      <c r="S6" s="324"/>
      <c r="T6" s="324"/>
      <c r="U6" s="324"/>
      <c r="V6" s="324"/>
      <c r="W6" s="324"/>
      <c r="X6" s="324"/>
      <c r="Y6" s="324"/>
      <c r="Z6" s="325"/>
      <c r="AA6" s="325"/>
    </row>
    <row r="7" customFormat="false" ht="12.75" hidden="false" customHeight="false" outlineLevel="0" collapsed="false">
      <c r="A7" s="326" t="s">
        <v>271</v>
      </c>
      <c r="D7" s="324"/>
      <c r="E7" s="324"/>
      <c r="F7" s="324"/>
      <c r="G7" s="324"/>
      <c r="H7" s="324"/>
      <c r="I7" s="324"/>
      <c r="J7" s="324"/>
      <c r="K7" s="324"/>
      <c r="L7" s="324"/>
      <c r="M7" s="324"/>
      <c r="N7" s="324"/>
      <c r="O7" s="324"/>
      <c r="P7" s="324"/>
      <c r="Q7" s="324"/>
      <c r="R7" s="324"/>
      <c r="S7" s="324"/>
      <c r="T7" s="324"/>
      <c r="U7" s="324"/>
      <c r="V7" s="324"/>
      <c r="W7" s="324"/>
      <c r="X7" s="324"/>
      <c r="Y7" s="324"/>
      <c r="Z7" s="325"/>
      <c r="AA7" s="325"/>
    </row>
    <row r="8" customFormat="false" ht="12.75" hidden="false" customHeight="false" outlineLevel="0" collapsed="false">
      <c r="A8" s="327" t="s">
        <v>272</v>
      </c>
      <c r="D8" s="324" t="n">
        <f aca="false">Caledonia!E10+'New Albany'!E10+Brownsville!E10+Calvert!E10+Wheatland!E10+Wilton!E10</f>
        <v>0</v>
      </c>
      <c r="E8" s="324" t="n">
        <f aca="false">Caledonia!F10+'New Albany'!F10+Brownsville!F10+Calvert!F10+Wheatland!F10+Wilton!F10</f>
        <v>102116</v>
      </c>
      <c r="F8" s="324" t="n">
        <f aca="false">Caledonia!G10+'New Albany'!G10+Brownsville!G10+Calvert!G10+Wheatland!G10+Wilton!G10</f>
        <v>138336</v>
      </c>
      <c r="G8" s="324" t="n">
        <f aca="false">Caledonia!H10+'New Albany'!H10+Brownsville!H10+Calvert!H10+Wheatland!H10+Wilton!H10</f>
        <v>138336</v>
      </c>
      <c r="H8" s="324" t="n">
        <f aca="false">Caledonia!I10+'New Albany'!I10+Brownsville!I10+Calvert!I10+Wheatland!I10+Wilton!I10</f>
        <v>0</v>
      </c>
      <c r="I8" s="324" t="n">
        <f aca="false">Caledonia!J10+'New Albany'!J10+Brownsville!J10+Calvert!J10+Wheatland!J10+Wilton!J10</f>
        <v>0</v>
      </c>
      <c r="J8" s="324" t="n">
        <f aca="false">Caledonia!K10+'New Albany'!K10+Brownsville!K10+Calvert!K10+Wheatland!K10+Wilton!K10</f>
        <v>0</v>
      </c>
      <c r="K8" s="324" t="n">
        <f aca="false">Caledonia!L10+'New Albany'!L10+Brownsville!L10+Calvert!L10+Wheatland!L10+Wilton!L10</f>
        <v>0</v>
      </c>
      <c r="L8" s="324" t="n">
        <f aca="false">Caledonia!M10+'New Albany'!M10+Brownsville!M10+Calvert!M10+Wheatland!M10+Wilton!M10</f>
        <v>0</v>
      </c>
      <c r="M8" s="324" t="n">
        <f aca="false">Caledonia!N10+'New Albany'!N10+Brownsville!N10+Calvert!N10+Wheatland!N10+Wilton!N10</f>
        <v>0</v>
      </c>
      <c r="N8" s="324" t="n">
        <f aca="false">Caledonia!O10+'New Albany'!O10+Brownsville!O10+Calvert!O10+Wheatland!O10+Wilton!O10</f>
        <v>0</v>
      </c>
      <c r="O8" s="324" t="n">
        <f aca="false">Caledonia!P10+'New Albany'!P10+Brownsville!P10+Calvert!P10+Wheatland!P10+Wilton!P10</f>
        <v>0</v>
      </c>
      <c r="P8" s="324" t="n">
        <f aca="false">Caledonia!Q10+'New Albany'!Q10+Brownsville!Q10+Calvert!Q10+Wheatland!Q10+Wilton!Q10</f>
        <v>0</v>
      </c>
      <c r="Q8" s="324" t="n">
        <f aca="false">Caledonia!R10+'New Albany'!R10+Brownsville!R10+Calvert!R10+Wheatland!R10+Wilton!R10</f>
        <v>0</v>
      </c>
      <c r="R8" s="324" t="n">
        <f aca="false">Caledonia!S10+'New Albany'!S10+Brownsville!S10+Calvert!S10+Wheatland!S10+Wilton!S10</f>
        <v>0</v>
      </c>
      <c r="S8" s="324" t="n">
        <f aca="false">Caledonia!T10+'New Albany'!T10+Brownsville!T10+Calvert!T10+Wheatland!T10+Wilton!T10</f>
        <v>0</v>
      </c>
      <c r="T8" s="324" t="n">
        <f aca="false">Caledonia!U10+'New Albany'!U10+Brownsville!U10+Calvert!U10+Wheatland!U10+Wilton!U10</f>
        <v>0</v>
      </c>
      <c r="U8" s="324" t="n">
        <f aca="false">Caledonia!V10+'New Albany'!V10+Brownsville!V10+Calvert!V10+Wheatland!V10+Wilton!V10</f>
        <v>0</v>
      </c>
      <c r="V8" s="324" t="n">
        <f aca="false">Caledonia!W10+'New Albany'!W10+Brownsville!W10+Calvert!W10+Wheatland!W10+Wilton!W10</f>
        <v>0</v>
      </c>
      <c r="W8" s="324" t="n">
        <f aca="false">Caledonia!X10+'New Albany'!X10+Brownsville!X10+Calvert!X10+Wheatland!X10+Wilton!X10</f>
        <v>0</v>
      </c>
      <c r="X8" s="324" t="n">
        <f aca="false">Caledonia!Y10+'New Albany'!Y10+Brownsville!Y10+Calvert!Y10+Wheatland!Y10+Wilton!Y10</f>
        <v>0</v>
      </c>
      <c r="Y8" s="324" t="n">
        <f aca="false">Caledonia!Z10+'New Albany'!Z10+Brownsville!Z10+Calvert!Z10+Wheatland!Z10+Wilton!Z10</f>
        <v>0</v>
      </c>
      <c r="Z8" s="325"/>
      <c r="AA8" s="325"/>
    </row>
    <row r="9" customFormat="false" ht="12.75" hidden="false" customHeight="false" outlineLevel="0" collapsed="false">
      <c r="A9" s="327" t="s">
        <v>273</v>
      </c>
      <c r="D9" s="324" t="n">
        <f aca="false">Caledonia!E11+'New Albany'!E11+Brownsville!E11+Calvert!E11+Wheatland!E11+Wilton!E11</f>
        <v>0</v>
      </c>
      <c r="E9" s="324" t="n">
        <f aca="false">Caledonia!F11+'New Albany'!F11+Brownsville!F11+Calvert!F11+Wheatland!F11+Wilton!F11</f>
        <v>3806.2811488195</v>
      </c>
      <c r="F9" s="324" t="n">
        <f aca="false">Caledonia!G11+'New Albany'!G11+Brownsville!G11+Calvert!G11+Wheatland!G11+Wilton!G11</f>
        <v>3940.09637307167</v>
      </c>
      <c r="G9" s="324" t="n">
        <f aca="false">Caledonia!H11+'New Albany'!H11+Brownsville!H11+Calvert!H11+Wheatland!H11+Wilton!H11</f>
        <v>4058.29926426382</v>
      </c>
      <c r="H9" s="324" t="n">
        <f aca="false">Caledonia!I11+'New Albany'!I11+Brownsville!I11+Calvert!I11+Wheatland!I11+Wilton!I11</f>
        <v>0</v>
      </c>
      <c r="I9" s="324" t="n">
        <f aca="false">Caledonia!J11+'New Albany'!J11+Brownsville!J11+Calvert!J11+Wheatland!J11+Wilton!J11</f>
        <v>0</v>
      </c>
      <c r="J9" s="324" t="n">
        <f aca="false">Caledonia!K11+'New Albany'!K11+Brownsville!K11+Calvert!K11+Wheatland!K11+Wilton!K11</f>
        <v>0</v>
      </c>
      <c r="K9" s="324" t="n">
        <f aca="false">Caledonia!L11+'New Albany'!L11+Brownsville!L11+Calvert!L11+Wheatland!L11+Wilton!L11</f>
        <v>0</v>
      </c>
      <c r="L9" s="324" t="n">
        <f aca="false">Caledonia!M11+'New Albany'!M11+Brownsville!M11+Calvert!M11+Wheatland!M11+Wilton!M11</f>
        <v>0</v>
      </c>
      <c r="M9" s="324" t="n">
        <f aca="false">Caledonia!N11+'New Albany'!N11+Brownsville!N11+Calvert!N11+Wheatland!N11+Wilton!N11</f>
        <v>0</v>
      </c>
      <c r="N9" s="324" t="n">
        <f aca="false">Caledonia!O11+'New Albany'!O11+Brownsville!O11+Calvert!O11+Wheatland!O11+Wilton!O11</f>
        <v>0</v>
      </c>
      <c r="O9" s="324" t="n">
        <f aca="false">Caledonia!P11+'New Albany'!P11+Brownsville!P11+Calvert!P11+Wheatland!P11+Wilton!P11</f>
        <v>0</v>
      </c>
      <c r="P9" s="324" t="n">
        <f aca="false">Caledonia!Q11+'New Albany'!Q11+Brownsville!Q11+Calvert!Q11+Wheatland!Q11+Wilton!Q11</f>
        <v>0</v>
      </c>
      <c r="Q9" s="324" t="n">
        <f aca="false">Caledonia!R11+'New Albany'!R11+Brownsville!R11+Calvert!R11+Wheatland!R11+Wilton!R11</f>
        <v>0</v>
      </c>
      <c r="R9" s="324" t="n">
        <f aca="false">Caledonia!S11+'New Albany'!S11+Brownsville!S11+Calvert!S11+Wheatland!S11+Wilton!S11</f>
        <v>0</v>
      </c>
      <c r="S9" s="324" t="n">
        <f aca="false">Caledonia!T11+'New Albany'!T11+Brownsville!T11+Calvert!T11+Wheatland!T11+Wilton!T11</f>
        <v>0</v>
      </c>
      <c r="T9" s="324" t="n">
        <f aca="false">Caledonia!U11+'New Albany'!U11+Brownsville!U11+Calvert!U11+Wheatland!U11+Wilton!U11</f>
        <v>0</v>
      </c>
      <c r="U9" s="324" t="n">
        <f aca="false">Caledonia!V11+'New Albany'!V11+Brownsville!V11+Calvert!V11+Wheatland!V11+Wilton!V11</f>
        <v>0</v>
      </c>
      <c r="V9" s="324" t="n">
        <f aca="false">Caledonia!W11+'New Albany'!W11+Brownsville!W11+Calvert!W11+Wheatland!W11+Wilton!W11</f>
        <v>0</v>
      </c>
      <c r="W9" s="324" t="n">
        <f aca="false">Caledonia!X11+'New Albany'!X11+Brownsville!X11+Calvert!X11+Wheatland!X11+Wilton!X11</f>
        <v>0</v>
      </c>
      <c r="X9" s="324" t="n">
        <f aca="false">Caledonia!Y11+'New Albany'!Y11+Brownsville!Y11+Calvert!Y11+Wheatland!Y11+Wilton!Y11</f>
        <v>0</v>
      </c>
      <c r="Y9" s="324" t="n">
        <f aca="false">Caledonia!Z11+'New Albany'!Z11+Brownsville!Z11+Calvert!Z11+Wheatland!Z11+Wilton!Z11</f>
        <v>0</v>
      </c>
      <c r="Z9" s="325"/>
      <c r="AA9" s="325"/>
    </row>
    <row r="10" customFormat="false" ht="12.75" hidden="false" customHeight="false" outlineLevel="0" collapsed="false">
      <c r="A10" s="327" t="s">
        <v>274</v>
      </c>
      <c r="D10" s="324" t="n">
        <f aca="false">Caledonia!E12+'New Albany'!E12+Brownsville!E12+Calvert!E12+Wheatland!E12+Wilton!E12</f>
        <v>0</v>
      </c>
      <c r="E10" s="324" t="n">
        <f aca="false">Caledonia!F12+'New Albany'!F12+Brownsville!F12+Calvert!F12+Wheatland!F12+Wilton!F12</f>
        <v>11171.0916</v>
      </c>
      <c r="F10" s="324" t="n">
        <f aca="false">Caledonia!G12+'New Albany'!G12+Brownsville!G12+Calvert!G12+Wheatland!G12+Wilton!G12</f>
        <v>11506.224348</v>
      </c>
      <c r="G10" s="324" t="n">
        <f aca="false">Caledonia!H12+'New Albany'!H12+Brownsville!H12+Calvert!H12+Wheatland!H12+Wilton!H12</f>
        <v>11851.41107844</v>
      </c>
      <c r="H10" s="324" t="n">
        <f aca="false">Caledonia!I12+'New Albany'!I12+Brownsville!I12+Calvert!I12+Wheatland!I12+Wilton!I12</f>
        <v>0</v>
      </c>
      <c r="I10" s="324" t="n">
        <f aca="false">Caledonia!J12+'New Albany'!J12+Brownsville!J12+Calvert!J12+Wheatland!J12+Wilton!J12</f>
        <v>0</v>
      </c>
      <c r="J10" s="324" t="n">
        <f aca="false">Caledonia!K12+'New Albany'!K12+Brownsville!K12+Calvert!K12+Wheatland!K12+Wilton!K12</f>
        <v>0</v>
      </c>
      <c r="K10" s="324" t="n">
        <f aca="false">Caledonia!L12+'New Albany'!L12+Brownsville!L12+Calvert!L12+Wheatland!L12+Wilton!L12</f>
        <v>0</v>
      </c>
      <c r="L10" s="324" t="n">
        <f aca="false">Caledonia!M12+'New Albany'!M12+Brownsville!M12+Calvert!M12+Wheatland!M12+Wilton!M12</f>
        <v>0</v>
      </c>
      <c r="M10" s="324" t="n">
        <f aca="false">Caledonia!N12+'New Albany'!N12+Brownsville!N12+Calvert!N12+Wheatland!N12+Wilton!N12</f>
        <v>0</v>
      </c>
      <c r="N10" s="324" t="n">
        <f aca="false">Caledonia!O12+'New Albany'!O12+Brownsville!O12+Calvert!O12+Wheatland!O12+Wilton!O12</f>
        <v>0</v>
      </c>
      <c r="O10" s="324" t="n">
        <f aca="false">Caledonia!P12+'New Albany'!P12+Brownsville!P12+Calvert!P12+Wheatland!P12+Wilton!P12</f>
        <v>0</v>
      </c>
      <c r="P10" s="324" t="n">
        <f aca="false">Caledonia!Q12+'New Albany'!Q12+Brownsville!Q12+Calvert!Q12+Wheatland!Q12+Wilton!Q12</f>
        <v>0</v>
      </c>
      <c r="Q10" s="324" t="n">
        <f aca="false">Caledonia!R12+'New Albany'!R12+Brownsville!R12+Calvert!R12+Wheatland!R12+Wilton!R12</f>
        <v>0</v>
      </c>
      <c r="R10" s="324" t="n">
        <f aca="false">Caledonia!S12+'New Albany'!S12+Brownsville!S12+Calvert!S12+Wheatland!S12+Wilton!S12</f>
        <v>0</v>
      </c>
      <c r="S10" s="324" t="n">
        <f aca="false">Caledonia!T12+'New Albany'!T12+Brownsville!T12+Calvert!T12+Wheatland!T12+Wilton!T12</f>
        <v>0</v>
      </c>
      <c r="T10" s="324" t="n">
        <f aca="false">Caledonia!U12+'New Albany'!U12+Brownsville!U12+Calvert!U12+Wheatland!U12+Wilton!U12</f>
        <v>0</v>
      </c>
      <c r="U10" s="324" t="n">
        <f aca="false">Caledonia!V12+'New Albany'!V12+Brownsville!V12+Calvert!V12+Wheatland!V12+Wilton!V12</f>
        <v>0</v>
      </c>
      <c r="V10" s="324" t="n">
        <f aca="false">Caledonia!W12+'New Albany'!W12+Brownsville!W12+Calvert!W12+Wheatland!W12+Wilton!W12</f>
        <v>0</v>
      </c>
      <c r="W10" s="324" t="n">
        <f aca="false">Caledonia!X12+'New Albany'!X12+Brownsville!X12+Calvert!X12+Wheatland!X12+Wilton!X12</f>
        <v>0</v>
      </c>
      <c r="X10" s="324" t="n">
        <f aca="false">Caledonia!Y12+'New Albany'!Y12+Brownsville!Y12+Calvert!Y12+Wheatland!Y12+Wilton!Y12</f>
        <v>0</v>
      </c>
      <c r="Y10" s="324" t="n">
        <f aca="false">Caledonia!Z12+'New Albany'!Z12+Brownsville!Z12+Calvert!Z12+Wheatland!Z12+Wilton!Z12</f>
        <v>0</v>
      </c>
      <c r="Z10" s="325"/>
      <c r="AA10" s="325"/>
    </row>
    <row r="11" customFormat="false" ht="12.75" hidden="false" customHeight="false" outlineLevel="0" collapsed="false">
      <c r="A11" s="70"/>
      <c r="Z11" s="325"/>
      <c r="AA11" s="325"/>
    </row>
    <row r="12" customFormat="false" ht="12.75" hidden="false" customHeight="false" outlineLevel="0" collapsed="false">
      <c r="A12" s="326" t="s">
        <v>275</v>
      </c>
      <c r="Z12" s="325"/>
      <c r="AA12" s="325"/>
    </row>
    <row r="13" customFormat="false" ht="12.75" hidden="false" customHeight="false" outlineLevel="0" collapsed="false">
      <c r="A13" s="327" t="s">
        <v>272</v>
      </c>
      <c r="D13" s="324" t="n">
        <f aca="false">Caledonia!E15+'New Albany'!E15+Brownsville!E15+Calvert!E15+Wheatland!E15+Wilton!E15</f>
        <v>0</v>
      </c>
      <c r="E13" s="324" t="n">
        <f aca="false">Caledonia!F15+'New Albany'!F15+Brownsville!F15+Calvert!F15+Wheatland!F15+Wilton!F15</f>
        <v>0</v>
      </c>
      <c r="F13" s="324" t="n">
        <f aca="false">Caledonia!G15+'New Albany'!G15+Brownsville!G15+Calvert!G15+Wheatland!G15+Wilton!G15</f>
        <v>0</v>
      </c>
      <c r="G13" s="324" t="n">
        <f aca="false">Caledonia!H15+'New Albany'!H15+Brownsville!H15+Calvert!H15+Wheatland!H15+Wilton!H15</f>
        <v>0</v>
      </c>
      <c r="H13" s="324" t="n">
        <f aca="false">Caledonia!I15+'New Albany'!I15+Brownsville!I15+Calvert!I15+Wheatland!I15+Wilton!I15</f>
        <v>214608.134940526</v>
      </c>
      <c r="I13" s="324" t="n">
        <f aca="false">Caledonia!J15+'New Albany'!J15+Brownsville!J15+Calvert!J15+Wheatland!J15+Wilton!J15</f>
        <v>218027.627364668</v>
      </c>
      <c r="J13" s="324" t="n">
        <f aca="false">Caledonia!K15+'New Albany'!K15+Brownsville!K15+Calvert!K15+Wheatland!K15+Wilton!K15</f>
        <v>222245.683688722</v>
      </c>
      <c r="K13" s="324" t="n">
        <f aca="false">Caledonia!L15+'New Albany'!L15+Brownsville!L15+Calvert!L15+Wheatland!L15+Wilton!L15</f>
        <v>224274.257234737</v>
      </c>
      <c r="L13" s="324" t="n">
        <f aca="false">Caledonia!M15+'New Albany'!M15+Brownsville!M15+Calvert!M15+Wheatland!M15+Wilton!M15</f>
        <v>229523.195484111</v>
      </c>
      <c r="M13" s="324" t="n">
        <f aca="false">Caledonia!N15+'New Albany'!N15+Brownsville!N15+Calvert!N15+Wheatland!N15+Wilton!N15</f>
        <v>232347.066974732</v>
      </c>
      <c r="N13" s="324" t="n">
        <f aca="false">Caledonia!O15+'New Albany'!O15+Brownsville!O15+Calvert!O15+Wheatland!O15+Wilton!O15</f>
        <v>237748.100787726</v>
      </c>
      <c r="O13" s="324" t="n">
        <f aca="false">Caledonia!P15+'New Albany'!P15+Brownsville!P15+Calvert!P15+Wheatland!P15+Wilton!P15</f>
        <v>240571.354333084</v>
      </c>
      <c r="P13" s="324" t="n">
        <f aca="false">Caledonia!Q15+'New Albany'!Q15+Brownsville!Q15+Calvert!Q15+Wheatland!Q15+Wilton!Q15</f>
        <v>246123.541634677</v>
      </c>
      <c r="Q13" s="324" t="n">
        <f aca="false">Caledonia!R15+'New Albany'!R15+Brownsville!R15+Calvert!R15+Wheatland!R15+Wilton!R15</f>
        <v>248935.628766218</v>
      </c>
      <c r="R13" s="324" t="n">
        <f aca="false">Caledonia!S15+'New Albany'!S15+Brownsville!S15+Calvert!S15+Wheatland!S15+Wilton!S15</f>
        <v>250924.948414887</v>
      </c>
      <c r="S13" s="324" t="n">
        <f aca="false">Caledonia!T15+'New Albany'!T15+Brownsville!T15+Calvert!T15+Wheatland!T15+Wilton!T15</f>
        <v>253602.666145578</v>
      </c>
      <c r="T13" s="324" t="n">
        <f aca="false">Caledonia!U15+'New Albany'!U15+Brownsville!U15+Calvert!U15+Wheatland!U15+Wilton!U15</f>
        <v>256215.214486537</v>
      </c>
      <c r="U13" s="324" t="n">
        <f aca="false">Caledonia!V15+'New Albany'!V15+Brownsville!V15+Calvert!V15+Wheatland!V15+Wilton!V15</f>
        <v>258756.273328422</v>
      </c>
      <c r="V13" s="324" t="n">
        <f aca="false">Caledonia!W15+'New Albany'!W15+Brownsville!W15+Calvert!W15+Wheatland!W15+Wilton!W15</f>
        <v>261219.202007783</v>
      </c>
      <c r="W13" s="324" t="n">
        <f aca="false">Caledonia!X15+'New Albany'!X15+Brownsville!X15+Calvert!X15+Wheatland!X15+Wilton!X15</f>
        <v>263597.02576191</v>
      </c>
      <c r="X13" s="324" t="n">
        <f aca="false">Caledonia!Y15+'New Albany'!Y15+Brownsville!Y15+Calvert!Y15+Wheatland!Y15+Wilton!Y15</f>
        <v>263773.308596153</v>
      </c>
      <c r="Y13" s="324" t="n">
        <f aca="false">Caledonia!Z15+'New Albany'!Z15+Brownsville!Z15+Calvert!Z15+Wheatland!Z15+Wilton!Z15</f>
        <v>265895.31753249</v>
      </c>
      <c r="Z13" s="325"/>
      <c r="AA13" s="325"/>
    </row>
    <row r="14" customFormat="false" ht="12.75" hidden="false" customHeight="false" outlineLevel="0" collapsed="false">
      <c r="A14" s="327" t="s">
        <v>276</v>
      </c>
      <c r="D14" s="324" t="n">
        <f aca="false">Caledonia!E16+'New Albany'!E16+Brownsville!E16+Calvert!E16+Wheatland!E16+Wilton!E16</f>
        <v>0</v>
      </c>
      <c r="E14" s="324" t="n">
        <f aca="false">Caledonia!F16+'New Albany'!F16+Brownsville!F16+Calvert!F16+Wheatland!F16+Wilton!F16</f>
        <v>0</v>
      </c>
      <c r="F14" s="324" t="n">
        <f aca="false">Caledonia!G16+'New Albany'!G16+Brownsville!G16+Calvert!G16+Wheatland!G16+Wilton!G16</f>
        <v>0</v>
      </c>
      <c r="G14" s="324" t="n">
        <f aca="false">Caledonia!H16+'New Albany'!H16+Brownsville!H16+Calvert!H16+Wheatland!H16+Wilton!H16</f>
        <v>0</v>
      </c>
      <c r="H14" s="324" t="n">
        <f aca="false">Caledonia!I16+'New Albany'!I16+Brownsville!I16+Calvert!I16+Wheatland!I16+Wilton!I16</f>
        <v>8532.10722485597</v>
      </c>
      <c r="I14" s="324" t="n">
        <f aca="false">Caledonia!J16+'New Albany'!J16+Brownsville!J16+Calvert!J16+Wheatland!J16+Wilton!J16</f>
        <v>8788.07044160165</v>
      </c>
      <c r="J14" s="324" t="n">
        <f aca="false">Caledonia!K16+'New Albany'!K16+Brownsville!K16+Calvert!K16+Wheatland!K16+Wilton!K16</f>
        <v>9051.7125548497</v>
      </c>
      <c r="K14" s="324" t="n">
        <f aca="false">Caledonia!L16+'New Albany'!L16+Brownsville!L16+Calvert!L16+Wheatland!L16+Wilton!L16</f>
        <v>9323.26393149519</v>
      </c>
      <c r="L14" s="324" t="n">
        <f aca="false">Caledonia!M16+'New Albany'!M16+Brownsville!M16+Calvert!M16+Wheatland!M16+Wilton!M16</f>
        <v>9602.96184944005</v>
      </c>
      <c r="M14" s="324" t="n">
        <f aca="false">Caledonia!N16+'New Albany'!N16+Brownsville!N16+Calvert!N16+Wheatland!N16+Wilton!N16</f>
        <v>9891.05070492325</v>
      </c>
      <c r="N14" s="324" t="n">
        <f aca="false">Caledonia!O16+'New Albany'!O16+Brownsville!O16+Calvert!O16+Wheatland!O16+Wilton!O16</f>
        <v>10187.7822260709</v>
      </c>
      <c r="O14" s="324" t="n">
        <f aca="false">Caledonia!P16+'New Albany'!P16+Brownsville!P16+Calvert!P16+Wheatland!P16+Wilton!P16</f>
        <v>10493.4156928531</v>
      </c>
      <c r="P14" s="324" t="n">
        <f aca="false">Caledonia!Q16+'New Albany'!Q16+Brownsville!Q16+Calvert!Q16+Wheatland!Q16+Wilton!Q16</f>
        <v>10808.2181636387</v>
      </c>
      <c r="Q14" s="324" t="n">
        <f aca="false">Caledonia!R16+'New Albany'!R16+Brownsville!R16+Calvert!R16+Wheatland!R16+Wilton!R16</f>
        <v>11132.4647085478</v>
      </c>
      <c r="R14" s="324" t="n">
        <f aca="false">Caledonia!S16+'New Albany'!S16+Brownsville!S16+Calvert!S16+Wheatland!S16+Wilton!S16</f>
        <v>11466.4386498043</v>
      </c>
      <c r="S14" s="324" t="n">
        <f aca="false">Caledonia!T16+'New Albany'!T16+Brownsville!T16+Calvert!T16+Wheatland!T16+Wilton!T16</f>
        <v>11810.4318092984</v>
      </c>
      <c r="T14" s="324" t="n">
        <f aca="false">Caledonia!U16+'New Albany'!U16+Brownsville!U16+Calvert!U16+Wheatland!U16+Wilton!U16</f>
        <v>12164.7447635773</v>
      </c>
      <c r="U14" s="324" t="n">
        <f aca="false">Caledonia!V16+'New Albany'!V16+Brownsville!V16+Calvert!V16+Wheatland!V16+Wilton!V16</f>
        <v>12529.6871064847</v>
      </c>
      <c r="V14" s="324" t="n">
        <f aca="false">Caledonia!W16+'New Albany'!W16+Brownsville!W16+Calvert!W16+Wheatland!W16+Wilton!W16</f>
        <v>12905.5777196792</v>
      </c>
      <c r="W14" s="324" t="n">
        <f aca="false">Caledonia!X16+'New Albany'!X16+Brownsville!X16+Calvert!X16+Wheatland!X16+Wilton!X16</f>
        <v>13292.7450512696</v>
      </c>
      <c r="X14" s="324" t="n">
        <f aca="false">Caledonia!Y16+'New Albany'!Y16+Brownsville!Y16+Calvert!Y16+Wheatland!Y16+Wilton!Y16</f>
        <v>13691.5274028077</v>
      </c>
      <c r="Y14" s="324" t="n">
        <f aca="false">Caledonia!Z16+'New Albany'!Z16+Brownsville!Z16+Calvert!Z16+Wheatland!Z16+Wilton!Z16</f>
        <v>14102.2732248919</v>
      </c>
      <c r="Z14" s="325"/>
      <c r="AA14" s="325"/>
    </row>
    <row r="15" customFormat="false" ht="12.75" hidden="false" customHeight="false" outlineLevel="0" collapsed="false">
      <c r="A15" s="327" t="s">
        <v>277</v>
      </c>
      <c r="D15" s="324" t="n">
        <f aca="false">Caledonia!E17+'New Albany'!E17+Brownsville!E17+Calvert!E17+Wheatland!E17+Wilton!E17</f>
        <v>0</v>
      </c>
      <c r="E15" s="324" t="n">
        <f aca="false">Caledonia!F17+'New Albany'!F17+Brownsville!F17+Calvert!F17+Wheatland!F17+Wilton!F17</f>
        <v>0</v>
      </c>
      <c r="F15" s="324" t="n">
        <f aca="false">Caledonia!G17+'New Albany'!G17+Brownsville!G17+Calvert!G17+Wheatland!G17+Wilton!G17</f>
        <v>0</v>
      </c>
      <c r="G15" s="324" t="n">
        <f aca="false">Caledonia!H17+'New Albany'!H17+Brownsville!H17+Calvert!H17+Wheatland!H17+Wilton!H17</f>
        <v>0</v>
      </c>
      <c r="H15" s="324" t="n">
        <f aca="false">Caledonia!I17+'New Albany'!I17+Brownsville!I17+Calvert!I17+Wheatland!I17+Wilton!I17</f>
        <v>72.90442656</v>
      </c>
      <c r="I15" s="324" t="n">
        <f aca="false">Caledonia!J17+'New Albany'!J17+Brownsville!J17+Calvert!J17+Wheatland!J17+Wilton!J17</f>
        <v>72.90442656</v>
      </c>
      <c r="J15" s="324" t="n">
        <f aca="false">Caledonia!K17+'New Albany'!K17+Brownsville!K17+Calvert!K17+Wheatland!K17+Wilton!K17</f>
        <v>72.90442656</v>
      </c>
      <c r="K15" s="324" t="n">
        <f aca="false">Caledonia!L17+'New Albany'!L17+Brownsville!L17+Calvert!L17+Wheatland!L17+Wilton!L17</f>
        <v>72.90442656</v>
      </c>
      <c r="L15" s="324" t="n">
        <f aca="false">Caledonia!M17+'New Albany'!M17+Brownsville!M17+Calvert!M17+Wheatland!M17+Wilton!M17</f>
        <v>72.90442656</v>
      </c>
      <c r="M15" s="324" t="n">
        <f aca="false">Caledonia!N17+'New Albany'!N17+Brownsville!N17+Calvert!N17+Wheatland!N17+Wilton!N17</f>
        <v>72.90442656</v>
      </c>
      <c r="N15" s="324" t="n">
        <f aca="false">Caledonia!O17+'New Albany'!O17+Brownsville!O17+Calvert!O17+Wheatland!O17+Wilton!O17</f>
        <v>72.90442656</v>
      </c>
      <c r="O15" s="324" t="n">
        <f aca="false">Caledonia!P17+'New Albany'!P17+Brownsville!P17+Calvert!P17+Wheatland!P17+Wilton!P17</f>
        <v>72.90442656</v>
      </c>
      <c r="P15" s="324" t="n">
        <f aca="false">Caledonia!Q17+'New Albany'!Q17+Brownsville!Q17+Calvert!Q17+Wheatland!Q17+Wilton!Q17</f>
        <v>72.90442656</v>
      </c>
      <c r="Q15" s="324" t="n">
        <f aca="false">Caledonia!R17+'New Albany'!R17+Brownsville!R17+Calvert!R17+Wheatland!R17+Wilton!R17</f>
        <v>72.90442656</v>
      </c>
      <c r="R15" s="324" t="n">
        <f aca="false">Caledonia!S17+'New Albany'!S17+Brownsville!S17+Calvert!S17+Wheatland!S17+Wilton!S17</f>
        <v>72.90442656</v>
      </c>
      <c r="S15" s="324" t="n">
        <f aca="false">Caledonia!T17+'New Albany'!T17+Brownsville!T17+Calvert!T17+Wheatland!T17+Wilton!T17</f>
        <v>72.90442656</v>
      </c>
      <c r="T15" s="324" t="n">
        <f aca="false">Caledonia!U17+'New Albany'!U17+Brownsville!U17+Calvert!U17+Wheatland!U17+Wilton!U17</f>
        <v>72.90442656</v>
      </c>
      <c r="U15" s="324" t="n">
        <f aca="false">Caledonia!V17+'New Albany'!V17+Brownsville!V17+Calvert!V17+Wheatland!V17+Wilton!V17</f>
        <v>72.90442656</v>
      </c>
      <c r="V15" s="324" t="n">
        <f aca="false">Caledonia!W17+'New Albany'!W17+Brownsville!W17+Calvert!W17+Wheatland!W17+Wilton!W17</f>
        <v>72.90442656</v>
      </c>
      <c r="W15" s="324" t="n">
        <f aca="false">Caledonia!X17+'New Albany'!X17+Brownsville!X17+Calvert!X17+Wheatland!X17+Wilton!X17</f>
        <v>72.90442656</v>
      </c>
      <c r="X15" s="324" t="n">
        <f aca="false">Caledonia!Y17+'New Albany'!Y17+Brownsville!Y17+Calvert!Y17+Wheatland!Y17+Wilton!Y17</f>
        <v>72.90442656</v>
      </c>
      <c r="Y15" s="324" t="n">
        <f aca="false">Caledonia!Z17+'New Albany'!Z17+Brownsville!Z17+Calvert!Z17+Wheatland!Z17+Wilton!Z17</f>
        <v>72.90442656</v>
      </c>
      <c r="Z15" s="325"/>
      <c r="AA15" s="325"/>
    </row>
    <row r="16" customFormat="false" ht="12.75" hidden="false" customHeight="false" outlineLevel="0" collapsed="false">
      <c r="A16" s="70"/>
      <c r="D16" s="324"/>
      <c r="E16" s="324"/>
      <c r="F16" s="324"/>
      <c r="G16" s="324"/>
      <c r="H16" s="324"/>
      <c r="I16" s="324"/>
      <c r="J16" s="324"/>
      <c r="K16" s="324"/>
      <c r="L16" s="324"/>
      <c r="M16" s="324"/>
      <c r="N16" s="324"/>
      <c r="O16" s="324"/>
      <c r="P16" s="324"/>
      <c r="Q16" s="324"/>
      <c r="R16" s="324"/>
      <c r="S16" s="324"/>
      <c r="T16" s="324"/>
      <c r="U16" s="324"/>
      <c r="V16" s="324"/>
      <c r="W16" s="324"/>
      <c r="X16" s="324"/>
      <c r="Y16" s="324"/>
      <c r="Z16" s="325"/>
      <c r="AA16" s="325"/>
    </row>
    <row r="17" customFormat="false" ht="12.75" hidden="false" customHeight="false" outlineLevel="0" collapsed="false">
      <c r="A17" s="70" t="s">
        <v>278</v>
      </c>
      <c r="D17" s="324" t="n">
        <v>0</v>
      </c>
      <c r="E17" s="324" t="n">
        <v>0</v>
      </c>
      <c r="F17" s="324" t="n">
        <v>0</v>
      </c>
      <c r="G17" s="324" t="n">
        <v>0</v>
      </c>
      <c r="H17" s="324" t="n">
        <v>0</v>
      </c>
      <c r="I17" s="324" t="n">
        <v>0</v>
      </c>
      <c r="J17" s="324" t="n">
        <v>0</v>
      </c>
      <c r="K17" s="324" t="n">
        <v>0</v>
      </c>
      <c r="L17" s="324" t="n">
        <v>0</v>
      </c>
      <c r="M17" s="324" t="n">
        <v>0</v>
      </c>
      <c r="N17" s="324" t="n">
        <v>0</v>
      </c>
      <c r="O17" s="324" t="n">
        <v>0</v>
      </c>
      <c r="P17" s="324" t="n">
        <v>0</v>
      </c>
      <c r="Q17" s="324" t="n">
        <v>0</v>
      </c>
      <c r="R17" s="324" t="n">
        <v>0</v>
      </c>
      <c r="S17" s="324" t="n">
        <v>0</v>
      </c>
      <c r="T17" s="324" t="n">
        <v>0</v>
      </c>
      <c r="U17" s="324" t="n">
        <v>0</v>
      </c>
      <c r="V17" s="324" t="n">
        <v>0</v>
      </c>
      <c r="W17" s="324" t="n">
        <v>0</v>
      </c>
      <c r="X17" s="324" t="n">
        <v>0</v>
      </c>
      <c r="Y17" s="324" t="n">
        <v>0</v>
      </c>
      <c r="Z17" s="325"/>
      <c r="AA17" s="325"/>
    </row>
    <row r="18" customFormat="false" ht="12.75" hidden="false" customHeight="false" outlineLevel="0" collapsed="false">
      <c r="A18" s="327" t="s">
        <v>279</v>
      </c>
      <c r="D18" s="328" t="n">
        <f aca="false">Caledonia!E19+'New Albany'!E19+Brownsville!E19+Calvert!E19+Wheatland!E19+Wilton!E19</f>
        <v>0</v>
      </c>
      <c r="E18" s="328" t="n">
        <f aca="false">Caledonia!F19+'New Albany'!F19+Brownsville!F19+Calvert!F19+Wheatland!F19+Wilton!F19</f>
        <v>1107.60300575872</v>
      </c>
      <c r="F18" s="328" t="n">
        <f aca="false">Caledonia!G19+'New Albany'!G19+Brownsville!G19+Calvert!G19+Wheatland!G19+Wilton!G19</f>
        <v>1510.76686426123</v>
      </c>
      <c r="G18" s="328" t="n">
        <f aca="false">Caledonia!H19+'New Albany'!H19+Brownsville!H19+Calvert!H19+Wheatland!H19+Wilton!H19</f>
        <v>1504.45274855302</v>
      </c>
      <c r="H18" s="328" t="n">
        <f aca="false">Caledonia!I19+'New Albany'!I19+Brownsville!I19+Calvert!I19+Wheatland!I19+Wilton!I19</f>
        <v>2316.68691542139</v>
      </c>
      <c r="I18" s="328" t="n">
        <f aca="false">Caledonia!J19+'New Albany'!J19+Brownsville!J19+Calvert!J19+Wheatland!J19+Wilton!J19</f>
        <v>2347.02595277791</v>
      </c>
      <c r="J18" s="328" t="n">
        <f aca="false">Caledonia!K19+'New Albany'!K19+Brownsville!K19+Calvert!K19+Wheatland!K19+Wilton!K19</f>
        <v>2390.02460448188</v>
      </c>
      <c r="K18" s="328" t="n">
        <f aca="false">Caledonia!L19+'New Albany'!L19+Brownsville!L19+Calvert!L19+Wheatland!L19+Wilton!L19</f>
        <v>2404.79089873315</v>
      </c>
      <c r="L18" s="328" t="n">
        <f aca="false">Caledonia!M19+'New Albany'!M19+Brownsville!M19+Calvert!M19+Wheatland!M19+Wilton!M19</f>
        <v>2459.29815087111</v>
      </c>
      <c r="M18" s="328" t="n">
        <f aca="false">Caledonia!N19+'New Albany'!N19+Brownsville!N19+Calvert!N19+Wheatland!N19+Wilton!N19</f>
        <v>2483.67324199468</v>
      </c>
      <c r="N18" s="328" t="n">
        <f aca="false">Caledonia!O19+'New Albany'!O19+Brownsville!O19+Calvert!O19+Wheatland!O19+Wilton!O19</f>
        <v>2541.43204233705</v>
      </c>
      <c r="O18" s="328" t="n">
        <f aca="false">Caledonia!P19+'New Albany'!P19+Brownsville!P19+Calvert!P19+Wheatland!P19+Wilton!P19</f>
        <v>2551.1840276333</v>
      </c>
      <c r="P18" s="328" t="n">
        <f aca="false">Caledonia!Q19+'New Albany'!Q19+Brownsville!Q19+Calvert!Q19+Wheatland!Q19+Wilton!Q19</f>
        <v>2610.05602507541</v>
      </c>
      <c r="Q18" s="328" t="n">
        <f aca="false">Caledonia!R19+'New Albany'!R19+Brownsville!R19+Calvert!R19+Wheatland!R19+Wilton!R19</f>
        <v>2635.88625497211</v>
      </c>
      <c r="R18" s="328" t="n">
        <f aca="false">Caledonia!S19+'New Albany'!S19+Brownsville!S19+Calvert!S19+Wheatland!S19+Wilton!S19</f>
        <v>2652.29071130177</v>
      </c>
      <c r="S18" s="328" t="n">
        <f aca="false">Caledonia!T19+'New Albany'!T19+Brownsville!T19+Calvert!T19+Wheatland!T19+Wilton!T19</f>
        <v>2672.44893167944</v>
      </c>
      <c r="T18" s="328" t="n">
        <f aca="false">Caledonia!U19+'New Albany'!U19+Brownsville!U19+Calvert!U19+Wheatland!U19+Wilton!U19</f>
        <v>2696.13833286606</v>
      </c>
      <c r="U18" s="328" t="n">
        <f aca="false">Caledonia!V19+'New Albany'!V19+Brownsville!V19+Calvert!V19+Wheatland!V19+Wilton!V19</f>
        <v>2719.81988005487</v>
      </c>
      <c r="V18" s="328" t="n">
        <f aca="false">Caledonia!W19+'New Albany'!W19+Brownsville!W19+Calvert!W19+Wheatland!W19+Wilton!W19</f>
        <v>2743.10134548735</v>
      </c>
      <c r="W18" s="328" t="n">
        <f aca="false">Caledonia!X19+'New Albany'!X19+Brownsville!X19+Calvert!X19+Wheatland!X19+Wilton!X19</f>
        <v>2763.0655477854</v>
      </c>
      <c r="X18" s="328" t="n">
        <f aca="false">Caledonia!Y19+'New Albany'!Y19+Brownsville!Y19+Calvert!Y19+Wheatland!Y19+Wilton!Y19</f>
        <v>2754.16802711594</v>
      </c>
      <c r="Y18" s="328" t="n">
        <f aca="false">Caledonia!Z19+'New Albany'!Z19+Brownsville!Z19+Calvert!Z19+Wheatland!Z19+Wilton!Z19</f>
        <v>2790.46576524148</v>
      </c>
      <c r="Z18" s="325"/>
      <c r="AA18" s="325"/>
    </row>
    <row r="19" customFormat="false" ht="12.75" hidden="false" customHeight="false" outlineLevel="0" collapsed="false">
      <c r="A19" s="327" t="s">
        <v>280</v>
      </c>
      <c r="D19" s="324" t="n">
        <f aca="false">SUM(D8:D18)</f>
        <v>0</v>
      </c>
      <c r="E19" s="324" t="n">
        <f aca="false">SUM(E8:E18)</f>
        <v>118200.975754578</v>
      </c>
      <c r="F19" s="324" t="n">
        <f aca="false">SUM(F8:F18)</f>
        <v>155293.087585333</v>
      </c>
      <c r="G19" s="324" t="n">
        <f aca="false">SUM(G8:G18)</f>
        <v>155750.163091257</v>
      </c>
      <c r="H19" s="324" t="n">
        <f aca="false">SUM(H8:H18)</f>
        <v>225529.833507364</v>
      </c>
      <c r="I19" s="324" t="n">
        <f aca="false">SUM(I8:I18)</f>
        <v>229235.628185608</v>
      </c>
      <c r="J19" s="324" t="n">
        <f aca="false">SUM(J8:J18)</f>
        <v>233760.325274614</v>
      </c>
      <c r="K19" s="324" t="n">
        <f aca="false">SUM(K8:K18)</f>
        <v>236075.216491525</v>
      </c>
      <c r="L19" s="324" t="n">
        <f aca="false">SUM(L8:L18)</f>
        <v>241658.359910982</v>
      </c>
      <c r="M19" s="324" t="n">
        <f aca="false">SUM(M8:M18)</f>
        <v>244794.69534821</v>
      </c>
      <c r="N19" s="324" t="n">
        <f aca="false">SUM(N8:N18)</f>
        <v>250550.219482694</v>
      </c>
      <c r="O19" s="324" t="n">
        <f aca="false">SUM(O8:O18)</f>
        <v>253688.858480131</v>
      </c>
      <c r="P19" s="324" t="n">
        <f aca="false">SUM(P8:P18)</f>
        <v>259614.720249951</v>
      </c>
      <c r="Q19" s="324" t="n">
        <f aca="false">SUM(Q8:Q18)</f>
        <v>262776.884156298</v>
      </c>
      <c r="R19" s="324" t="n">
        <f aca="false">SUM(R8:R18)</f>
        <v>265116.582202553</v>
      </c>
      <c r="S19" s="324" t="n">
        <f aca="false">SUM(S8:S18)</f>
        <v>268158.451313115</v>
      </c>
      <c r="T19" s="324" t="n">
        <f aca="false">SUM(T8:T18)</f>
        <v>271149.00200954</v>
      </c>
      <c r="U19" s="324" t="n">
        <f aca="false">SUM(U8:U18)</f>
        <v>274078.684741522</v>
      </c>
      <c r="V19" s="324" t="n">
        <f aca="false">SUM(V8:V18)</f>
        <v>276940.785499509</v>
      </c>
      <c r="W19" s="324" t="n">
        <f aca="false">SUM(W8:W18)</f>
        <v>279725.740787525</v>
      </c>
      <c r="X19" s="324" t="n">
        <f aca="false">SUM(X8:X18)</f>
        <v>280291.908452637</v>
      </c>
      <c r="Y19" s="324" t="n">
        <f aca="false">SUM(Y8:Y18)</f>
        <v>282860.960949183</v>
      </c>
      <c r="Z19" s="325"/>
      <c r="AA19" s="325"/>
    </row>
    <row r="20" customFormat="false" ht="12.75" hidden="false" customHeight="false" outlineLevel="0" collapsed="false">
      <c r="A20" s="327"/>
      <c r="D20" s="329"/>
      <c r="E20" s="329"/>
      <c r="F20" s="329"/>
      <c r="G20" s="329"/>
      <c r="H20" s="329"/>
      <c r="I20" s="329"/>
      <c r="J20" s="329"/>
      <c r="K20" s="329"/>
      <c r="L20" s="329"/>
      <c r="M20" s="329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329"/>
      <c r="Y20" s="329"/>
      <c r="Z20" s="330"/>
      <c r="AA20" s="330"/>
    </row>
    <row r="21" customFormat="false" ht="12.75" hidden="false" customHeight="false" outlineLevel="0" collapsed="false">
      <c r="A21" s="331"/>
      <c r="Z21" s="325"/>
      <c r="AA21" s="325"/>
    </row>
    <row r="22" customFormat="false" ht="12.75" hidden="false" customHeight="false" outlineLevel="0" collapsed="false">
      <c r="A22" s="323" t="s">
        <v>281</v>
      </c>
      <c r="Z22" s="325"/>
      <c r="AA22" s="325"/>
    </row>
    <row r="23" customFormat="false" ht="12.75" hidden="false" customHeight="false" outlineLevel="0" collapsed="false">
      <c r="A23" s="327" t="s">
        <v>282</v>
      </c>
      <c r="D23" s="324" t="n">
        <f aca="false">Wheatland!E24+'New Albany'!E24+Wilton!E24+Calvert!E24+Brownsville!E24+Caledonia!E24</f>
        <v>0</v>
      </c>
      <c r="E23" s="324" t="n">
        <f aca="false">Wheatland!F24+'New Albany'!F24+Wilton!F24+Calvert!F24+Brownsville!F24+Caledonia!F24</f>
        <v>0</v>
      </c>
      <c r="F23" s="324" t="n">
        <f aca="false">Wheatland!G24+'New Albany'!G24+Wilton!G24+Calvert!G24+Brownsville!G24+Caledonia!G24</f>
        <v>0</v>
      </c>
      <c r="G23" s="324" t="n">
        <f aca="false">Wheatland!H24+'New Albany'!H24+Wilton!H24+Calvert!H24+Brownsville!H24+Caledonia!H24</f>
        <v>0</v>
      </c>
      <c r="H23" s="324" t="n">
        <f aca="false">Wheatland!I24+'New Albany'!I24+Wilton!I24+Calvert!I24+Brownsville!I24+Caledonia!I24</f>
        <v>0</v>
      </c>
      <c r="I23" s="324" t="n">
        <f aca="false">Wheatland!J24+'New Albany'!J24+Wilton!J24+Calvert!J24+Brownsville!J24+Caledonia!J24</f>
        <v>0</v>
      </c>
      <c r="J23" s="324" t="n">
        <f aca="false">Wheatland!K24+'New Albany'!K24+Wilton!K24+Calvert!K24+Brownsville!K24+Caledonia!K24</f>
        <v>0</v>
      </c>
      <c r="K23" s="324" t="n">
        <f aca="false">Wheatland!L24+'New Albany'!L24+Wilton!L24+Calvert!L24+Brownsville!L24+Caledonia!L24</f>
        <v>0</v>
      </c>
      <c r="L23" s="324" t="n">
        <f aca="false">Wheatland!M24+'New Albany'!M24+Wilton!M24+Calvert!M24+Brownsville!M24+Caledonia!M24</f>
        <v>0</v>
      </c>
      <c r="M23" s="324" t="n">
        <f aca="false">Wheatland!N24+'New Albany'!N24+Wilton!N24+Calvert!N24+Brownsville!N24+Caledonia!N24</f>
        <v>0</v>
      </c>
      <c r="N23" s="324" t="n">
        <f aca="false">Wheatland!O24+'New Albany'!O24+Wilton!O24+Calvert!O24+Brownsville!O24+Caledonia!O24</f>
        <v>0</v>
      </c>
      <c r="O23" s="324" t="n">
        <f aca="false">Wheatland!P24+'New Albany'!P24+Wilton!P24+Calvert!P24+Brownsville!P24+Caledonia!P24</f>
        <v>0</v>
      </c>
      <c r="P23" s="324" t="n">
        <f aca="false">Wheatland!Q24+'New Albany'!Q24+Wilton!Q24+Calvert!Q24+Brownsville!Q24+Caledonia!Q24</f>
        <v>0</v>
      </c>
      <c r="Q23" s="324" t="n">
        <f aca="false">Wheatland!R24+'New Albany'!R24+Wilton!R24+Calvert!R24+Brownsville!R24+Caledonia!R24</f>
        <v>0</v>
      </c>
      <c r="R23" s="324" t="n">
        <f aca="false">Wheatland!S24+'New Albany'!S24+Wilton!S24+Calvert!S24+Brownsville!S24+Caledonia!S24</f>
        <v>0</v>
      </c>
      <c r="S23" s="324" t="n">
        <f aca="false">Wheatland!T24+'New Albany'!T24+Wilton!T24+Calvert!T24+Brownsville!T24+Caledonia!T24</f>
        <v>0</v>
      </c>
      <c r="T23" s="324" t="n">
        <f aca="false">Wheatland!U24+'New Albany'!U24+Wilton!U24+Calvert!U24+Brownsville!U24+Caledonia!U24</f>
        <v>0</v>
      </c>
      <c r="U23" s="324" t="n">
        <f aca="false">Wheatland!V24+'New Albany'!V24+Wilton!V24+Calvert!V24+Brownsville!V24+Caledonia!V24</f>
        <v>0</v>
      </c>
      <c r="V23" s="324" t="n">
        <f aca="false">Wheatland!W24+'New Albany'!W24+Wilton!W24+Calvert!W24+Brownsville!W24+Caledonia!W24</f>
        <v>0</v>
      </c>
      <c r="W23" s="324" t="n">
        <f aca="false">Wheatland!X24+'New Albany'!X24+Wilton!X24+Calvert!X24+Brownsville!X24+Caledonia!X24</f>
        <v>0</v>
      </c>
      <c r="X23" s="324" t="n">
        <f aca="false">Wheatland!Y24+'New Albany'!Y24+Wilton!Y24+Calvert!Y24+Brownsville!Y24+Caledonia!Y24</f>
        <v>0</v>
      </c>
      <c r="Y23" s="324" t="n">
        <f aca="false">Wheatland!Z24+'New Albany'!Z24+Wilton!Z24+Calvert!Z24+Brownsville!Z24+Caledonia!Z24</f>
        <v>0</v>
      </c>
      <c r="Z23" s="325"/>
      <c r="AA23" s="325"/>
    </row>
    <row r="24" customFormat="false" ht="12.75" hidden="false" customHeight="false" outlineLevel="0" collapsed="false">
      <c r="A24" s="327" t="s">
        <v>217</v>
      </c>
      <c r="C24" s="324"/>
      <c r="D24" s="324" t="n">
        <f aca="false">Wheatland!E25+'New Albany'!E25+Wilton!E25+Calvert!E25+Brownsville!E25+Caledonia!E25</f>
        <v>0</v>
      </c>
      <c r="E24" s="324" t="n">
        <f aca="false">Wheatland!F25+'New Albany'!F25+Wilton!F25+Calvert!F25+Brownsville!F25+Caledonia!F25</f>
        <v>4214.63159333333</v>
      </c>
      <c r="F24" s="324" t="n">
        <f aca="false">Wheatland!G25+'New Albany'!G25+Wilton!G25+Calvert!G25+Brownsville!G25+Caledonia!G25</f>
        <v>5928.6189828</v>
      </c>
      <c r="G24" s="324" t="n">
        <f aca="false">Wheatland!H25+'New Albany'!H25+Wilton!H25+Calvert!H25+Brownsville!H25+Caledonia!H25</f>
        <v>6106.477552284</v>
      </c>
      <c r="H24" s="324" t="n">
        <f aca="false">Wheatland!I25+'New Albany'!I25+Wilton!I25+Calvert!I25+Brownsville!I25+Caledonia!I25</f>
        <v>6289.67187885252</v>
      </c>
      <c r="I24" s="324" t="n">
        <f aca="false">Wheatland!J25+'New Albany'!J25+Wilton!J25+Calvert!J25+Brownsville!J25+Caledonia!J25</f>
        <v>6478.3620352181</v>
      </c>
      <c r="J24" s="324" t="n">
        <f aca="false">Wheatland!K25+'New Albany'!K25+Wilton!K25+Calvert!K25+Brownsville!K25+Caledonia!K25</f>
        <v>6672.71289627464</v>
      </c>
      <c r="K24" s="324" t="n">
        <f aca="false">Wheatland!L25+'New Albany'!L25+Wilton!L25+Calvert!L25+Brownsville!L25+Caledonia!L25</f>
        <v>6872.89428316288</v>
      </c>
      <c r="L24" s="324" t="n">
        <f aca="false">Wheatland!M25+'New Albany'!M25+Wilton!M25+Calvert!M25+Brownsville!M25+Caledonia!M25</f>
        <v>7079.08111165776</v>
      </c>
      <c r="M24" s="324" t="n">
        <f aca="false">Wheatland!N25+'New Albany'!N25+Wilton!N25+Calvert!N25+Brownsville!N25+Caledonia!N25</f>
        <v>7291.4535450075</v>
      </c>
      <c r="N24" s="324" t="n">
        <f aca="false">Wheatland!O25+'New Albany'!O25+Wilton!O25+Calvert!O25+Brownsville!O25+Caledonia!O25</f>
        <v>7510.19715135772</v>
      </c>
      <c r="O24" s="324" t="n">
        <f aca="false">Wheatland!P25+'New Albany'!P25+Wilton!P25+Calvert!P25+Brownsville!P25+Caledonia!P25</f>
        <v>7735.50306589846</v>
      </c>
      <c r="P24" s="324" t="n">
        <f aca="false">Wheatland!Q25+'New Albany'!Q25+Wilton!Q25+Calvert!Q25+Brownsville!Q25+Caledonia!Q25</f>
        <v>7967.56815787541</v>
      </c>
      <c r="Q24" s="324" t="n">
        <f aca="false">Wheatland!R25+'New Albany'!R25+Wilton!R25+Calvert!R25+Brownsville!R25+Caledonia!R25</f>
        <v>8206.59520261167</v>
      </c>
      <c r="R24" s="324" t="n">
        <f aca="false">Wheatland!S25+'New Albany'!S25+Wilton!S25+Calvert!S25+Brownsville!S25+Caledonia!S25</f>
        <v>8452.79305869002</v>
      </c>
      <c r="S24" s="324" t="n">
        <f aca="false">Wheatland!T25+'New Albany'!T25+Wilton!T25+Calvert!T25+Brownsville!T25+Caledonia!T25</f>
        <v>8706.37685045072</v>
      </c>
      <c r="T24" s="324" t="n">
        <f aca="false">Wheatland!U25+'New Albany'!U25+Wilton!U25+Calvert!U25+Brownsville!U25+Caledonia!U25</f>
        <v>8967.56815596424</v>
      </c>
      <c r="U24" s="324" t="n">
        <f aca="false">Wheatland!V25+'New Albany'!V25+Wilton!V25+Calvert!V25+Brownsville!V25+Caledonia!V25</f>
        <v>9236.59520064317</v>
      </c>
      <c r="V24" s="324" t="n">
        <f aca="false">Wheatland!W25+'New Albany'!W25+Wilton!W25+Calvert!W25+Brownsville!W25+Caledonia!W25</f>
        <v>9513.69305666247</v>
      </c>
      <c r="W24" s="324" t="n">
        <f aca="false">Wheatland!X25+'New Albany'!X25+Wilton!X25+Calvert!X25+Brownsville!X25+Caledonia!X25</f>
        <v>9799.10384836234</v>
      </c>
      <c r="X24" s="324" t="n">
        <f aca="false">Wheatland!Y25+'New Albany'!Y25+Wilton!Y25+Calvert!Y25+Brownsville!Y25+Caledonia!Y25</f>
        <v>10093.0769638132</v>
      </c>
      <c r="Y24" s="324" t="n">
        <f aca="false">Wheatland!Z25+'New Albany'!Z25+Wilton!Z25+Calvert!Z25+Brownsville!Z25+Caledonia!Z25</f>
        <v>10395.8692727276</v>
      </c>
      <c r="Z24" s="325"/>
      <c r="AA24" s="325"/>
    </row>
    <row r="25" customFormat="false" ht="12.75" hidden="false" customHeight="false" outlineLevel="0" collapsed="false">
      <c r="A25" s="327" t="s">
        <v>283</v>
      </c>
      <c r="C25" s="324"/>
      <c r="D25" s="324" t="n">
        <f aca="false">Wheatland!E26+'New Albany'!E26+Wilton!E26+Calvert!E26+Brownsville!E26+Caledonia!E26</f>
        <v>0</v>
      </c>
      <c r="E25" s="324" t="n">
        <f aca="false">Wheatland!F26+'New Albany'!F26+Wilton!F26+Calvert!F26+Brownsville!F26+Caledonia!F26</f>
        <v>3806.2811488195</v>
      </c>
      <c r="F25" s="324" t="n">
        <f aca="false">Wheatland!G26+'New Albany'!G26+Wilton!G26+Calvert!G26+Brownsville!G26+Caledonia!G26</f>
        <v>3940.09637307167</v>
      </c>
      <c r="G25" s="324" t="n">
        <f aca="false">Wheatland!H26+'New Albany'!H26+Wilton!H26+Calvert!H26+Brownsville!H26+Caledonia!H26</f>
        <v>4058.29926426382</v>
      </c>
      <c r="H25" s="324" t="n">
        <f aca="false">Wheatland!I26+'New Albany'!I26+Wilton!I26+Calvert!I26+Brownsville!I26+Caledonia!I26</f>
        <v>4463.12275459157</v>
      </c>
      <c r="I25" s="324" t="n">
        <f aca="false">Wheatland!J26+'New Albany'!J26+Wilton!J26+Calvert!J26+Brownsville!J26+Caledonia!J26</f>
        <v>4597.01643722932</v>
      </c>
      <c r="J25" s="324" t="n">
        <f aca="false">Wheatland!K26+'New Albany'!K26+Wilton!K26+Calvert!K26+Brownsville!K26+Caledonia!K26</f>
        <v>4734.9269303462</v>
      </c>
      <c r="K25" s="324" t="n">
        <f aca="false">Wheatland!L26+'New Albany'!L26+Wilton!L26+Calvert!L26+Brownsville!L26+Caledonia!L26</f>
        <v>4876.97473825658</v>
      </c>
      <c r="L25" s="324" t="n">
        <f aca="false">Wheatland!M26+'New Albany'!M26+Wilton!M26+Calvert!M26+Brownsville!M26+Caledonia!M26</f>
        <v>5023.28398040428</v>
      </c>
      <c r="M25" s="324" t="n">
        <f aca="false">Wheatland!N26+'New Albany'!N26+Wilton!N26+Calvert!N26+Brownsville!N26+Caledonia!N26</f>
        <v>5173.98249981641</v>
      </c>
      <c r="N25" s="324" t="n">
        <f aca="false">Wheatland!O26+'New Albany'!O26+Wilton!O26+Calvert!O26+Brownsville!O26+Caledonia!O26</f>
        <v>5329.2019748109</v>
      </c>
      <c r="O25" s="324" t="n">
        <f aca="false">Wheatland!P26+'New Albany'!P26+Wilton!P26+Calvert!P26+Brownsville!P26+Caledonia!P26</f>
        <v>5489.07803405523</v>
      </c>
      <c r="P25" s="324" t="n">
        <f aca="false">Wheatland!Q26+'New Albany'!Q26+Wilton!Q26+Calvert!Q26+Brownsville!Q26+Caledonia!Q26</f>
        <v>5653.75037507689</v>
      </c>
      <c r="Q25" s="324" t="n">
        <f aca="false">Wheatland!R26+'New Albany'!R26+Wilton!R26+Calvert!R26+Brownsville!R26+Caledonia!R26</f>
        <v>5823.36288632919</v>
      </c>
      <c r="R25" s="324" t="n">
        <f aca="false">Wheatland!S26+'New Albany'!S26+Wilton!S26+Calvert!S26+Brownsville!S26+Caledonia!S26</f>
        <v>5998.06377291907</v>
      </c>
      <c r="S25" s="324" t="n">
        <f aca="false">Wheatland!T26+'New Albany'!T26+Wilton!T26+Calvert!T26+Brownsville!T26+Caledonia!T26</f>
        <v>6178.00568610664</v>
      </c>
      <c r="T25" s="324" t="n">
        <f aca="false">Wheatland!U26+'New Albany'!U26+Wilton!U26+Calvert!U26+Brownsville!U26+Caledonia!U26</f>
        <v>6363.34585668984</v>
      </c>
      <c r="U25" s="324" t="n">
        <f aca="false">Wheatland!V26+'New Albany'!V26+Wilton!V26+Calvert!V26+Brownsville!V26+Caledonia!V26</f>
        <v>6554.24623239054</v>
      </c>
      <c r="V25" s="324" t="n">
        <f aca="false">Wheatland!W26+'New Albany'!W26+Wilton!W26+Calvert!W26+Brownsville!W26+Caledonia!W26</f>
        <v>6750.87361936225</v>
      </c>
      <c r="W25" s="324" t="n">
        <f aca="false">Wheatland!X26+'New Albany'!X26+Wilton!X26+Calvert!X26+Brownsville!X26+Caledonia!X26</f>
        <v>6953.39982794312</v>
      </c>
      <c r="X25" s="324" t="n">
        <f aca="false">Wheatland!Y26+'New Albany'!Y26+Wilton!Y26+Calvert!Y26+Brownsville!Y26+Caledonia!Y26</f>
        <v>7162.00182278141</v>
      </c>
      <c r="Y25" s="324" t="n">
        <f aca="false">Wheatland!Z26+'New Albany'!Z26+Wilton!Z26+Calvert!Z26+Brownsville!Z26+Caledonia!Z26</f>
        <v>7376.86187746486</v>
      </c>
      <c r="Z25" s="325"/>
      <c r="AA25" s="325"/>
    </row>
    <row r="26" customFormat="false" ht="12.75" hidden="false" customHeight="false" outlineLevel="0" collapsed="false">
      <c r="A26" s="327" t="s">
        <v>222</v>
      </c>
      <c r="C26" s="324"/>
      <c r="D26" s="324" t="n">
        <f aca="false">Wheatland!E27+'New Albany'!E27+Wilton!E27+Calvert!E27+Brownsville!E27+Caledonia!E27</f>
        <v>0</v>
      </c>
      <c r="E26" s="324" t="n">
        <f aca="false">Wheatland!F27+'New Albany'!F27+Wilton!F27+Calvert!F27+Brownsville!F27+Caledonia!F27</f>
        <v>11171.0916</v>
      </c>
      <c r="F26" s="324" t="n">
        <f aca="false">Wheatland!G27+'New Albany'!G27+Wilton!G27+Calvert!G27+Brownsville!G27+Caledonia!G27</f>
        <v>11506.224348</v>
      </c>
      <c r="G26" s="324" t="n">
        <f aca="false">Wheatland!H27+'New Albany'!H27+Wilton!H27+Calvert!H27+Brownsville!H27+Caledonia!H27</f>
        <v>11851.41107844</v>
      </c>
      <c r="H26" s="324" t="n">
        <f aca="false">Wheatland!I27+'New Albany'!I27+Wilton!I27+Calvert!I27+Brownsville!I27+Caledonia!I27</f>
        <v>12206.9534107932</v>
      </c>
      <c r="I26" s="324" t="n">
        <f aca="false">Wheatland!J27+'New Albany'!J27+Wilton!J27+Calvert!J27+Brownsville!J27+Caledonia!J27</f>
        <v>12573.162013117</v>
      </c>
      <c r="J26" s="324" t="n">
        <f aca="false">Wheatland!K27+'New Albany'!K27+Wilton!K27+Calvert!K27+Brownsville!K27+Caledonia!K27</f>
        <v>12950.3568735105</v>
      </c>
      <c r="K26" s="324" t="n">
        <f aca="false">Wheatland!L27+'New Albany'!L27+Wilton!L27+Calvert!L27+Brownsville!L27+Caledonia!L27</f>
        <v>13338.8675797158</v>
      </c>
      <c r="L26" s="324" t="n">
        <f aca="false">Wheatland!M27+'New Albany'!M27+Wilton!M27+Calvert!M27+Brownsville!M27+Caledonia!M27</f>
        <v>13739.0336071073</v>
      </c>
      <c r="M26" s="324" t="n">
        <f aca="false">Wheatland!N27+'New Albany'!N27+Wilton!N27+Calvert!N27+Brownsville!N27+Caledonia!N27</f>
        <v>14151.2046153205</v>
      </c>
      <c r="N26" s="324" t="n">
        <f aca="false">Wheatland!O27+'New Albany'!O27+Wilton!O27+Calvert!O27+Brownsville!O27+Caledonia!O27</f>
        <v>14575.7407537801</v>
      </c>
      <c r="O26" s="324" t="n">
        <f aca="false">Wheatland!P27+'New Albany'!P27+Wilton!P27+Calvert!P27+Brownsville!P27+Caledonia!P27</f>
        <v>15013.0129763935</v>
      </c>
      <c r="P26" s="324" t="n">
        <f aca="false">Wheatland!Q27+'New Albany'!Q27+Wilton!Q27+Calvert!Q27+Brownsville!Q27+Caledonia!Q27</f>
        <v>15463.4033656853</v>
      </c>
      <c r="Q26" s="324" t="n">
        <f aca="false">Wheatland!R27+'New Albany'!R27+Wilton!R27+Calvert!R27+Brownsville!R27+Caledonia!R27</f>
        <v>15927.3054666559</v>
      </c>
      <c r="R26" s="324" t="n">
        <f aca="false">Wheatland!S27+'New Albany'!S27+Wilton!S27+Calvert!S27+Brownsville!S27+Caledonia!S27</f>
        <v>16405.1246306556</v>
      </c>
      <c r="S26" s="324" t="n">
        <f aca="false">Wheatland!T27+'New Albany'!T27+Wilton!T27+Calvert!T27+Brownsville!T27+Caledonia!T27</f>
        <v>16897.2783695753</v>
      </c>
      <c r="T26" s="324" t="n">
        <f aca="false">Wheatland!U27+'New Albany'!U27+Wilton!U27+Calvert!U27+Brownsville!U27+Caledonia!U27</f>
        <v>17404.1967206625</v>
      </c>
      <c r="U26" s="324" t="n">
        <f aca="false">Wheatland!V27+'New Albany'!V27+Wilton!V27+Calvert!V27+Brownsville!V27+Caledonia!V27</f>
        <v>17926.3226222824</v>
      </c>
      <c r="V26" s="324" t="n">
        <f aca="false">Wheatland!W27+'New Albany'!W27+Wilton!W27+Calvert!W27+Brownsville!W27+Caledonia!W27</f>
        <v>18464.1123009509</v>
      </c>
      <c r="W26" s="324" t="n">
        <f aca="false">Wheatland!X27+'New Albany'!X27+Wilton!X27+Calvert!X27+Brownsville!X27+Caledonia!X27</f>
        <v>19018.0356699794</v>
      </c>
      <c r="X26" s="324" t="n">
        <f aca="false">Wheatland!Y27+'New Albany'!Y27+Wilton!Y27+Calvert!Y27+Brownsville!Y27+Caledonia!Y27</f>
        <v>19588.5767400788</v>
      </c>
      <c r="Y26" s="324" t="n">
        <f aca="false">Wheatland!Z27+'New Albany'!Z27+Wilton!Z27+Calvert!Z27+Brownsville!Z27+Caledonia!Z27</f>
        <v>20176.2340422811</v>
      </c>
      <c r="Z26" s="325"/>
      <c r="AA26" s="325"/>
    </row>
    <row r="27" customFormat="false" ht="12.75" hidden="false" customHeight="false" outlineLevel="0" collapsed="false">
      <c r="A27" s="327" t="s">
        <v>224</v>
      </c>
      <c r="C27" s="324"/>
      <c r="D27" s="324" t="n">
        <f aca="false">Wheatland!E28+'New Albany'!E28+Wilton!E28+Calvert!E28+Brownsville!E28+Caledonia!E28</f>
        <v>0</v>
      </c>
      <c r="E27" s="324" t="n">
        <f aca="false">Wheatland!F28+'New Albany'!F28+Wilton!F28+Calvert!F28+Brownsville!F28+Caledonia!F28</f>
        <v>1175.9098</v>
      </c>
      <c r="F27" s="324" t="n">
        <f aca="false">Wheatland!G28+'New Albany'!G28+Wilton!G28+Calvert!G28+Brownsville!G28+Caledonia!G28</f>
        <v>1647.747444</v>
      </c>
      <c r="G27" s="324" t="n">
        <f aca="false">Wheatland!H28+'New Albany'!H28+Wilton!H28+Calvert!H28+Brownsville!H28+Caledonia!H28</f>
        <v>1697.17986732</v>
      </c>
      <c r="H27" s="324" t="n">
        <f aca="false">Wheatland!I28+'New Albany'!I28+Wilton!I28+Calvert!I28+Brownsville!I28+Caledonia!I28</f>
        <v>1748.0952633396</v>
      </c>
      <c r="I27" s="324" t="n">
        <f aca="false">Wheatland!J28+'New Albany'!J28+Wilton!J28+Calvert!J28+Brownsville!J28+Caledonia!J28</f>
        <v>1800.53812123979</v>
      </c>
      <c r="J27" s="324" t="n">
        <f aca="false">Wheatland!K28+'New Albany'!K28+Wilton!K28+Calvert!K28+Brownsville!K28+Caledonia!K28</f>
        <v>1854.55426487698</v>
      </c>
      <c r="K27" s="324" t="n">
        <f aca="false">Wheatland!L28+'New Albany'!L28+Wilton!L28+Calvert!L28+Brownsville!L28+Caledonia!L28</f>
        <v>1910.19089282329</v>
      </c>
      <c r="L27" s="324" t="n">
        <f aca="false">Wheatland!M28+'New Albany'!M28+Wilton!M28+Calvert!M28+Brownsville!M28+Caledonia!M28</f>
        <v>1967.49661960799</v>
      </c>
      <c r="M27" s="324" t="n">
        <f aca="false">Wheatland!N28+'New Albany'!N28+Wilton!N28+Calvert!N28+Brownsville!N28+Caledonia!N28</f>
        <v>2026.52151819623</v>
      </c>
      <c r="N27" s="324" t="n">
        <f aca="false">Wheatland!O28+'New Albany'!O28+Wilton!O28+Calvert!O28+Brownsville!O28+Caledonia!O28</f>
        <v>2087.31716374212</v>
      </c>
      <c r="O27" s="324" t="n">
        <f aca="false">Wheatland!P28+'New Albany'!P28+Wilton!P28+Calvert!P28+Brownsville!P28+Caledonia!P28</f>
        <v>2149.93667865438</v>
      </c>
      <c r="P27" s="324" t="n">
        <f aca="false">Wheatland!Q28+'New Albany'!Q28+Wilton!Q28+Calvert!Q28+Brownsville!Q28+Caledonia!Q28</f>
        <v>2214.43477901401</v>
      </c>
      <c r="Q27" s="324" t="n">
        <f aca="false">Wheatland!R28+'New Albany'!R28+Wilton!R28+Calvert!R28+Brownsville!R28+Caledonia!R28</f>
        <v>2280.86782238443</v>
      </c>
      <c r="R27" s="324" t="n">
        <f aca="false">Wheatland!S28+'New Albany'!S28+Wilton!S28+Calvert!S28+Brownsville!S28+Caledonia!S28</f>
        <v>2349.29385705597</v>
      </c>
      <c r="S27" s="324" t="n">
        <f aca="false">Wheatland!T28+'New Albany'!T28+Wilton!T28+Calvert!T28+Brownsville!T28+Caledonia!T28</f>
        <v>2419.77267276764</v>
      </c>
      <c r="T27" s="324" t="n">
        <f aca="false">Wheatland!U28+'New Albany'!U28+Wilton!U28+Calvert!U28+Brownsville!U28+Caledonia!U28</f>
        <v>2492.36585295067</v>
      </c>
      <c r="U27" s="324" t="n">
        <f aca="false">Wheatland!V28+'New Albany'!V28+Wilton!V28+Calvert!V28+Brownsville!V28+Caledonia!V28</f>
        <v>2567.13682853919</v>
      </c>
      <c r="V27" s="324" t="n">
        <f aca="false">Wheatland!W28+'New Albany'!W28+Wilton!W28+Calvert!W28+Brownsville!W28+Caledonia!W28</f>
        <v>2644.15093339537</v>
      </c>
      <c r="W27" s="324" t="n">
        <f aca="false">Wheatland!X28+'New Albany'!X28+Wilton!X28+Calvert!X28+Brownsville!X28+Caledonia!X28</f>
        <v>2723.47546139723</v>
      </c>
      <c r="X27" s="324" t="n">
        <f aca="false">Wheatland!Y28+'New Albany'!Y28+Wilton!Y28+Calvert!Y28+Brownsville!Y28+Caledonia!Y28</f>
        <v>2805.17972523915</v>
      </c>
      <c r="Y27" s="324" t="n">
        <f aca="false">Wheatland!Z28+'New Albany'!Z28+Wilton!Z28+Calvert!Z28+Brownsville!Z28+Caledonia!Z28</f>
        <v>2889.33511699632</v>
      </c>
      <c r="Z27" s="325"/>
      <c r="AA27" s="325"/>
    </row>
    <row r="28" customFormat="false" ht="12.75" hidden="false" customHeight="false" outlineLevel="0" collapsed="false">
      <c r="A28" s="327" t="s">
        <v>226</v>
      </c>
      <c r="C28" s="324"/>
      <c r="D28" s="332" t="n">
        <f aca="false">Wheatland!E29+'New Albany'!E29+Wilton!E29+Calvert!E29+Brownsville!E29+Caledonia!E29</f>
        <v>0</v>
      </c>
      <c r="E28" s="332" t="n">
        <f aca="false">Wheatland!F29+'New Albany'!F29+Wilton!F29+Calvert!F29+Brownsville!F29+Caledonia!F29</f>
        <v>1784.67890566667</v>
      </c>
      <c r="F28" s="332" t="n">
        <f aca="false">Wheatland!G29+'New Albany'!G29+Wilton!G29+Calvert!G29+Brownsville!G29+Caledonia!G29</f>
        <v>2401.11513117</v>
      </c>
      <c r="G28" s="332" t="n">
        <f aca="false">Wheatland!H29+'New Albany'!H29+Wilton!H29+Calvert!H29+Brownsville!H29+Caledonia!H29</f>
        <v>2473.1485851051</v>
      </c>
      <c r="H28" s="332" t="n">
        <f aca="false">Wheatland!I29+'New Albany'!I29+Wilton!I29+Calvert!I29+Brownsville!I29+Caledonia!I29</f>
        <v>2547.34304265825</v>
      </c>
      <c r="I28" s="332" t="n">
        <f aca="false">Wheatland!J29+'New Albany'!J29+Wilton!J29+Calvert!J29+Brownsville!J29+Caledonia!J29</f>
        <v>2623.763333938</v>
      </c>
      <c r="J28" s="332" t="n">
        <f aca="false">Wheatland!K29+'New Albany'!K29+Wilton!K29+Calvert!K29+Brownsville!K29+Caledonia!K29</f>
        <v>2702.47623395614</v>
      </c>
      <c r="K28" s="332" t="n">
        <f aca="false">Wheatland!L29+'New Albany'!L29+Wilton!L29+Calvert!L29+Brownsville!L29+Caledonia!L29</f>
        <v>2783.55052097483</v>
      </c>
      <c r="L28" s="332" t="n">
        <f aca="false">Wheatland!M29+'New Albany'!M29+Wilton!M29+Calvert!M29+Brownsville!M29+Caledonia!M29</f>
        <v>2867.05703660407</v>
      </c>
      <c r="M28" s="332" t="n">
        <f aca="false">Wheatland!N29+'New Albany'!N29+Wilton!N29+Calvert!N29+Brownsville!N29+Caledonia!N29</f>
        <v>2953.06874770219</v>
      </c>
      <c r="N28" s="332" t="n">
        <f aca="false">Wheatland!O29+'New Albany'!O29+Wilton!O29+Calvert!O29+Brownsville!O29+Caledonia!O29</f>
        <v>3041.66081013326</v>
      </c>
      <c r="O28" s="332" t="n">
        <f aca="false">Wheatland!P29+'New Albany'!P29+Wilton!P29+Calvert!P29+Brownsville!P29+Caledonia!P29</f>
        <v>3132.91063443726</v>
      </c>
      <c r="P28" s="332" t="n">
        <f aca="false">Wheatland!Q29+'New Albany'!Q29+Wilton!Q29+Calvert!Q29+Brownsville!Q29+Caledonia!Q29</f>
        <v>3226.89795347037</v>
      </c>
      <c r="Q28" s="332" t="n">
        <f aca="false">Wheatland!R29+'New Albany'!R29+Wilton!R29+Calvert!R29+Brownsville!R29+Caledonia!R29</f>
        <v>3323.70489207448</v>
      </c>
      <c r="R28" s="332" t="n">
        <f aca="false">Wheatland!S29+'New Albany'!S29+Wilton!S29+Calvert!S29+Brownsville!S29+Caledonia!S29</f>
        <v>3423.41603883672</v>
      </c>
      <c r="S28" s="332" t="n">
        <f aca="false">Wheatland!T29+'New Albany'!T29+Wilton!T29+Calvert!T29+Brownsville!T29+Caledonia!T29</f>
        <v>3526.11852000182</v>
      </c>
      <c r="T28" s="332" t="n">
        <f aca="false">Wheatland!U29+'New Albany'!U29+Wilton!U29+Calvert!U29+Brownsville!U29+Caledonia!U29</f>
        <v>3631.90207560188</v>
      </c>
      <c r="U28" s="332" t="n">
        <f aca="false">Wheatland!V29+'New Albany'!V29+Wilton!V29+Calvert!V29+Brownsville!V29+Caledonia!V29</f>
        <v>3740.85913786993</v>
      </c>
      <c r="V28" s="332" t="n">
        <f aca="false">Wheatland!W29+'New Albany'!W29+Wilton!W29+Calvert!W29+Brownsville!W29+Caledonia!W29</f>
        <v>3853.08491200603</v>
      </c>
      <c r="W28" s="332" t="n">
        <f aca="false">Wheatland!X29+'New Albany'!X29+Wilton!X29+Calvert!X29+Brownsville!X29+Caledonia!X29</f>
        <v>3968.67745936621</v>
      </c>
      <c r="X28" s="332" t="n">
        <f aca="false">Wheatland!Y29+'New Albany'!Y29+Wilton!Y29+Calvert!Y29+Brownsville!Y29+Caledonia!Y29</f>
        <v>4087.7377831472</v>
      </c>
      <c r="Y28" s="332" t="n">
        <f aca="false">Wheatland!Z29+'New Albany'!Z29+Wilton!Z29+Calvert!Z29+Brownsville!Z29+Caledonia!Z29</f>
        <v>4210.36991664161</v>
      </c>
      <c r="Z28" s="330"/>
      <c r="AA28" s="330"/>
    </row>
    <row r="29" customFormat="false" ht="12.75" hidden="false" customHeight="false" outlineLevel="0" collapsed="false">
      <c r="A29" s="327" t="s">
        <v>284</v>
      </c>
      <c r="C29" s="324"/>
      <c r="D29" s="332" t="n">
        <f aca="false">Wheatland!E30+'New Albany'!E30+Wilton!E30+Calvert!E30+Brownsville!E30+Caledonia!E30</f>
        <v>0</v>
      </c>
      <c r="E29" s="332" t="n">
        <f aca="false">Wheatland!F30+'New Albany'!F30+Wilton!F30+Calvert!F30+Brownsville!F30+Caledonia!F30</f>
        <v>456.8266609</v>
      </c>
      <c r="F29" s="332" t="n">
        <f aca="false">Wheatland!G30+'New Albany'!G30+Wilton!G30+Calvert!G30+Brownsville!G30+Caledonia!G30</f>
        <v>470.531460727</v>
      </c>
      <c r="G29" s="332" t="n">
        <f aca="false">Wheatland!H30+'New Albany'!H30+Wilton!H30+Calvert!H30+Brownsville!H30+Caledonia!H30</f>
        <v>484.64740454881</v>
      </c>
      <c r="H29" s="332" t="n">
        <f aca="false">Wheatland!I30+'New Albany'!I30+Wilton!I30+Calvert!I30+Brownsville!I30+Caledonia!I30</f>
        <v>499.186826685274</v>
      </c>
      <c r="I29" s="332" t="n">
        <f aca="false">Wheatland!J30+'New Albany'!J30+Wilton!J30+Calvert!J30+Brownsville!J30+Caledonia!J30</f>
        <v>514.162431485833</v>
      </c>
      <c r="J29" s="332" t="n">
        <f aca="false">Wheatland!K30+'New Albany'!K30+Wilton!K30+Calvert!K30+Brownsville!K30+Caledonia!K30</f>
        <v>529.587304430408</v>
      </c>
      <c r="K29" s="332" t="n">
        <f aca="false">Wheatland!L30+'New Albany'!L30+Wilton!L30+Calvert!L30+Brownsville!L30+Caledonia!L30</f>
        <v>545.47492356332</v>
      </c>
      <c r="L29" s="332" t="n">
        <f aca="false">Wheatland!M30+'New Albany'!M30+Wilton!M30+Calvert!M30+Brownsville!M30+Caledonia!M30</f>
        <v>561.839171270219</v>
      </c>
      <c r="M29" s="332" t="n">
        <f aca="false">Wheatland!N30+'New Albany'!N30+Wilton!N30+Calvert!N30+Brownsville!N30+Caledonia!N30</f>
        <v>578.694346408326</v>
      </c>
      <c r="N29" s="332" t="n">
        <f aca="false">Wheatland!O30+'New Albany'!O30+Wilton!O30+Calvert!O30+Brownsville!O30+Caledonia!O30</f>
        <v>596.055176800576</v>
      </c>
      <c r="O29" s="332" t="n">
        <f aca="false">Wheatland!P30+'New Albany'!P30+Wilton!P30+Calvert!P30+Brownsville!P30+Caledonia!P30</f>
        <v>613.936832104593</v>
      </c>
      <c r="P29" s="332" t="n">
        <f aca="false">Wheatland!Q30+'New Albany'!Q30+Wilton!Q30+Calvert!Q30+Brownsville!Q30+Caledonia!Q30</f>
        <v>632.354937067731</v>
      </c>
      <c r="Q29" s="332" t="n">
        <f aca="false">Wheatland!R30+'New Albany'!R30+Wilton!R30+Calvert!R30+Brownsville!R30+Caledonia!R30</f>
        <v>651.325585179763</v>
      </c>
      <c r="R29" s="332" t="n">
        <f aca="false">Wheatland!S30+'New Albany'!S30+Wilton!S30+Calvert!S30+Brownsville!S30+Caledonia!S30</f>
        <v>670.865352735156</v>
      </c>
      <c r="S29" s="332" t="n">
        <f aca="false">Wheatland!T30+'New Albany'!T30+Wilton!T30+Calvert!T30+Brownsville!T30+Caledonia!T30</f>
        <v>690.991313317211</v>
      </c>
      <c r="T29" s="332" t="n">
        <f aca="false">Wheatland!U30+'New Albany'!U30+Wilton!U30+Calvert!U30+Brownsville!U30+Caledonia!U30</f>
        <v>711.721052716727</v>
      </c>
      <c r="U29" s="332" t="n">
        <f aca="false">Wheatland!V30+'New Albany'!V30+Wilton!V30+Calvert!V30+Brownsville!V30+Caledonia!V30</f>
        <v>733.072684298229</v>
      </c>
      <c r="V29" s="332" t="n">
        <f aca="false">Wheatland!W30+'New Albany'!W30+Wilton!W30+Calvert!W30+Brownsville!W30+Caledonia!W30</f>
        <v>755.064864827176</v>
      </c>
      <c r="W29" s="332" t="n">
        <f aca="false">Wheatland!X30+'New Albany'!X30+Wilton!X30+Calvert!X30+Brownsville!X30+Caledonia!X30</f>
        <v>777.716810771991</v>
      </c>
      <c r="X29" s="332" t="n">
        <f aca="false">Wheatland!Y30+'New Albany'!Y30+Wilton!Y30+Calvert!Y30+Brownsville!Y30+Caledonia!Y30</f>
        <v>801.04831509515</v>
      </c>
      <c r="Y29" s="332" t="n">
        <f aca="false">Wheatland!Z30+'New Albany'!Z30+Wilton!Z30+Calvert!Z30+Brownsville!Z30+Caledonia!Z30</f>
        <v>825.079764548005</v>
      </c>
      <c r="Z29" s="330"/>
      <c r="AA29" s="330"/>
    </row>
    <row r="30" customFormat="false" ht="14.25" hidden="false" customHeight="true" outlineLevel="0" collapsed="false">
      <c r="A30" s="327" t="s">
        <v>285</v>
      </c>
      <c r="C30" s="324"/>
      <c r="D30" s="333" t="n">
        <f aca="false">Wheatland!E31+'New Albany'!E31+Wilton!E31+Calvert!E31+Brownsville!E31+Caledonia!E31</f>
        <v>0</v>
      </c>
      <c r="E30" s="333" t="n">
        <f aca="false">Wheatland!F31+'New Albany'!F31+Wilton!F31+Calvert!F31+Brownsville!F31+Caledonia!F31</f>
        <v>2250.41468464109</v>
      </c>
      <c r="F30" s="333" t="n">
        <f aca="false">Wheatland!G31+'New Albany'!G31+Wilton!G31+Calvert!G31+Brownsville!G31+Caledonia!G31</f>
        <v>2659.86614737306</v>
      </c>
      <c r="G30" s="333" t="n">
        <f aca="false">Wheatland!H31+'New Albany'!H31+Wilton!H31+Calvert!H31+Brownsville!H31+Caledonia!H31</f>
        <v>2788.34522480633</v>
      </c>
      <c r="H30" s="333" t="n">
        <f aca="false">Wheatland!I31+'New Albany'!I31+Wilton!I31+Calvert!I31+Brownsville!I31+Caledonia!I31</f>
        <v>3075.16824519407</v>
      </c>
      <c r="I30" s="324" t="n">
        <f aca="false">Wheatland!J31+'New Albany'!J31+Wilton!J31+Calvert!J31+Brownsville!J31+Caledonia!J31</f>
        <v>3334.21159052944</v>
      </c>
      <c r="J30" s="324" t="n">
        <f aca="false">Wheatland!K31+'New Albany'!K31+Wilton!K31+Calvert!K31+Brownsville!K31+Caledonia!K31</f>
        <v>3357.04990527159</v>
      </c>
      <c r="K30" s="324" t="n">
        <f aca="false">Wheatland!L31+'New Albany'!L31+Wilton!L31+Calvert!L31+Brownsville!L31+Caledonia!L31</f>
        <v>3426.33426200106</v>
      </c>
      <c r="L30" s="324" t="n">
        <f aca="false">Wheatland!M31+'New Albany'!M31+Wilton!M31+Calvert!M31+Brownsville!M31+Caledonia!M31</f>
        <v>3513.36712167961</v>
      </c>
      <c r="M30" s="324" t="n">
        <f aca="false">Wheatland!N31+'New Albany'!N31+Wilton!N31+Calvert!N31+Brownsville!N31+Caledonia!N31</f>
        <v>3561.86634719516</v>
      </c>
      <c r="N30" s="324" t="n">
        <f aca="false">Wheatland!O31+'New Albany'!O31+Wilton!O31+Calvert!O31+Brownsville!O31+Caledonia!O31</f>
        <v>3492.07020832358</v>
      </c>
      <c r="O30" s="324" t="n">
        <f aca="false">Wheatland!P31+'New Albany'!P31+Wilton!P31+Calvert!P31+Brownsville!P31+Caledonia!P31</f>
        <v>4893.67619385887</v>
      </c>
      <c r="P30" s="324" t="n">
        <f aca="false">Wheatland!Q31+'New Albany'!Q31+Wilton!Q31+Calvert!Q31+Brownsville!Q31+Caledonia!Q31</f>
        <v>4905.28122960832</v>
      </c>
      <c r="Q30" s="324" t="n">
        <f aca="false">Wheatland!R31+'New Albany'!R31+Wilton!R31+Calvert!R31+Brownsville!R31+Caledonia!R31</f>
        <v>4725.86092754106</v>
      </c>
      <c r="R30" s="324" t="n">
        <f aca="false">Wheatland!S31+'New Albany'!S31+Wilton!S31+Calvert!S31+Brownsville!S31+Caledonia!S31</f>
        <v>4477.52381995156</v>
      </c>
      <c r="S30" s="324" t="n">
        <f aca="false">Wheatland!T31+'New Albany'!T31+Wilton!T31+Calvert!T31+Brownsville!T31+Caledonia!T31</f>
        <v>4588.8185935155</v>
      </c>
      <c r="T30" s="324" t="n">
        <f aca="false">Wheatland!U31+'New Albany'!U31+Wilton!U31+Calvert!U31+Brownsville!U31+Caledonia!U31</f>
        <v>4306.38970042963</v>
      </c>
      <c r="U30" s="324" t="n">
        <f aca="false">Wheatland!V31+'New Albany'!V31+Wilton!V31+Calvert!V31+Brownsville!V31+Caledonia!V31</f>
        <v>3991.56260602907</v>
      </c>
      <c r="V30" s="324" t="n">
        <f aca="false">Wheatland!W31+'New Albany'!W31+Wilton!W31+Calvert!W31+Brownsville!W31+Caledonia!W31</f>
        <v>3642.74303549357</v>
      </c>
      <c r="W30" s="324" t="n">
        <f aca="false">Wheatland!X31+'New Albany'!X31+Wilton!X31+Calvert!X31+Brownsville!X31+Caledonia!X31</f>
        <v>3529.96657746484</v>
      </c>
      <c r="X30" s="324" t="n">
        <f aca="false">Wheatland!Y31+'New Albany'!Y31+Wilton!Y31+Calvert!Y31+Brownsville!Y31+Caledonia!Y31</f>
        <v>3485.69590042422</v>
      </c>
      <c r="Y30" s="324" t="n">
        <f aca="false">Wheatland!Z31+'New Albany'!Z31+Wilton!Z31+Calvert!Z31+Brownsville!Z31+Caledonia!Z31</f>
        <v>1527.11268767649</v>
      </c>
      <c r="Z30" s="325"/>
      <c r="AA30" s="325"/>
    </row>
    <row r="31" customFormat="false" ht="12.75" hidden="false" customHeight="false" outlineLevel="0" collapsed="false">
      <c r="A31" s="94" t="s">
        <v>177</v>
      </c>
      <c r="C31" s="324"/>
      <c r="D31" s="333" t="n">
        <v>0</v>
      </c>
      <c r="E31" s="333" t="n">
        <f aca="false">Assumptions!$B$33*MAX(Debt!C106:$V$106)</f>
        <v>1886.493950125</v>
      </c>
      <c r="F31" s="333" t="n">
        <f aca="false">Assumptions!$B$33*MAX(Debt!D106:$V$106)</f>
        <v>1886.493950125</v>
      </c>
      <c r="G31" s="333" t="n">
        <f aca="false">Assumptions!$B$33*MAX(Debt!E106:$V$106)</f>
        <v>1875.2954065</v>
      </c>
      <c r="H31" s="333" t="n">
        <f aca="false">Assumptions!$B$33*MAX(Debt!F106:$V$106)</f>
        <v>1826.71487866667</v>
      </c>
      <c r="I31" s="333" t="n">
        <f aca="false">Assumptions!$B$33*MAX(Debt!G106:$V$106)</f>
        <v>1826.71487866667</v>
      </c>
      <c r="J31" s="333" t="n">
        <f aca="false">Assumptions!$B$33*MAX(Debt!H106:$V$106)</f>
        <v>1826.71487866667</v>
      </c>
      <c r="K31" s="333" t="n">
        <f aca="false">Assumptions!$B$33*MAX(Debt!I106:$V$106)</f>
        <v>1826.71487866667</v>
      </c>
      <c r="L31" s="333" t="n">
        <f aca="false">Assumptions!$B$33*MAX(Debt!J106:$V$106)</f>
        <v>1826.71487866667</v>
      </c>
      <c r="M31" s="333" t="n">
        <f aca="false">Assumptions!$B$33*MAX(Debt!K106:$V$106)</f>
        <v>1826.71487866667</v>
      </c>
      <c r="N31" s="333" t="n">
        <f aca="false">Assumptions!$B$33*MAX(Debt!L106:$V$106)</f>
        <v>1826.71487866667</v>
      </c>
      <c r="O31" s="333" t="n">
        <f aca="false">Assumptions!$B$33*MAX(Debt!M106:$V$106)</f>
        <v>1592.57391258034</v>
      </c>
      <c r="P31" s="333" t="n">
        <f aca="false">Assumptions!$B$33*MAX(Debt!N106:$V$106)</f>
        <v>1521.49778977816</v>
      </c>
      <c r="Q31" s="333" t="n">
        <f aca="false">Assumptions!$B$33*MAX(Debt!O106:$V$106)</f>
        <v>1517.63128057544</v>
      </c>
      <c r="R31" s="333" t="n">
        <f aca="false">Assumptions!$B$33*MAX(Debt!P106:$V$106)</f>
        <v>1486.10731285494</v>
      </c>
      <c r="S31" s="333" t="n">
        <f aca="false">Assumptions!$B$33*MAX(Debt!Q106:$V$106)</f>
        <v>1454.34369563305</v>
      </c>
      <c r="T31" s="333" t="n">
        <f aca="false">Assumptions!$B$33*MAX(Debt!R106:$V$106)</f>
        <v>1439.07402228976</v>
      </c>
      <c r="U31" s="333" t="n">
        <f aca="false">Assumptions!$B$33*MAX(Debt!S106:$V$106)</f>
        <v>1354.88852663802</v>
      </c>
      <c r="V31" s="333" t="n">
        <f aca="false">Assumptions!$B$33*MAX(Debt!T106:$V$106)</f>
        <v>1227.20545539823</v>
      </c>
      <c r="W31" s="333" t="n">
        <f aca="false">Assumptions!$B$33*MAX(Debt!U106:$V$106)</f>
        <v>1011.44797457595</v>
      </c>
      <c r="X31" s="333" t="n">
        <f aca="false">Assumptions!$B$33*MAX(Debt!$V106:V$106)</f>
        <v>801.304985008997</v>
      </c>
      <c r="Y31" s="333" t="n">
        <f aca="false">Assumptions!$B$33*MAX(Debt!$V106:W$106)</f>
        <v>801.304985008997</v>
      </c>
      <c r="Z31" s="325"/>
      <c r="AA31" s="333" t="n">
        <f aca="false">Assumptions!$B$33*MAX(Debt!$V106:Y$106)/2*(13-MONTH(Assumptions!$C$17))/12</f>
        <v>400.652492504499</v>
      </c>
      <c r="AB31" s="333" t="n">
        <f aca="false">Assumptions!$B$33*MAX(Debt!$V106:Z$106)</f>
        <v>801.304985008997</v>
      </c>
      <c r="AC31" s="333" t="n">
        <f aca="false">Assumptions!$B$33*MAX(Debt!$V106:AA$106)</f>
        <v>801.304985008997</v>
      </c>
      <c r="AD31" s="333" t="n">
        <f aca="false">Assumptions!$B$33*MAX(Debt!$V106:AB$106)</f>
        <v>801.304985008997</v>
      </c>
      <c r="AE31" s="333" t="n">
        <f aca="false">Assumptions!$B$33*MAX(Debt!$V106:AC$106)</f>
        <v>801.304985008997</v>
      </c>
      <c r="AF31" s="333" t="n">
        <f aca="false">Assumptions!$B$33*MAX(Debt!$V106:AD$106)</f>
        <v>801.304985008997</v>
      </c>
      <c r="AG31" s="333" t="n">
        <f aca="false">Assumptions!$B$33*MAX(Debt!$V106:AE$106)</f>
        <v>801.304985008997</v>
      </c>
      <c r="AH31" s="333" t="n">
        <f aca="false">Assumptions!$B$33*MAX(Debt!$V106:AF$106)</f>
        <v>801.304985008997</v>
      </c>
      <c r="AI31" s="333" t="n">
        <f aca="false">Assumptions!$B$33*MAX(Debt!$V106:AG$106)</f>
        <v>801.304985008997</v>
      </c>
      <c r="AJ31" s="333" t="n">
        <f aca="false">Assumptions!$B$33*MAX(Debt!$V106:AH$106)</f>
        <v>801.304985008997</v>
      </c>
      <c r="AK31" s="333" t="n">
        <f aca="false">Assumptions!$B$33*MAX(Debt!$V106:AI$106)</f>
        <v>801.304985008997</v>
      </c>
      <c r="AL31" s="333" t="n">
        <f aca="false">Assumptions!$B$33*MAX(Debt!$V106:AJ$106)</f>
        <v>801.304985008997</v>
      </c>
      <c r="AM31" s="333" t="n">
        <f aca="false">Assumptions!$B$33*MAX(Debt!$V106:AK$106)</f>
        <v>801.304985008997</v>
      </c>
      <c r="AN31" s="333" t="n">
        <f aca="false">Assumptions!$B$33*MAX(Debt!$V106:AL$106)</f>
        <v>801.304985008997</v>
      </c>
      <c r="AO31" s="333" t="n">
        <f aca="false">Assumptions!$B$33*MAX(Debt!$V106:AM$106)</f>
        <v>801.304985008997</v>
      </c>
      <c r="AP31" s="333" t="n">
        <f aca="false">Assumptions!$B$33*MAX(Debt!$V106:AN$106)</f>
        <v>801.304985008997</v>
      </c>
      <c r="AQ31" s="333" t="n">
        <f aca="false">Assumptions!$B$33*MAX(Debt!$V106:AO$106)</f>
        <v>801.304985008997</v>
      </c>
      <c r="AR31" s="333" t="n">
        <f aca="false">Assumptions!$B$33*MAX(Debt!$V106:AP$106)</f>
        <v>801.304985008997</v>
      </c>
      <c r="AS31" s="333" t="n">
        <f aca="false">Assumptions!$B$33*MAX(Debt!$V106:AQ$106)</f>
        <v>801.304985008997</v>
      </c>
      <c r="AT31" s="333" t="n">
        <f aca="false">Assumptions!$B$33*MAX(Debt!$V106:AR$106)</f>
        <v>801.304985008997</v>
      </c>
      <c r="AU31" s="333" t="n">
        <f aca="false">Assumptions!$B$33*MAX(Debt!$V106:AS$106)</f>
        <v>801.304985008997</v>
      </c>
      <c r="AV31" s="333" t="n">
        <f aca="false">Assumptions!$B$33*MAX(Debt!$V106:AT$106)</f>
        <v>801.304985008997</v>
      </c>
    </row>
    <row r="32" customFormat="false" ht="12.75" hidden="false" customHeight="false" outlineLevel="0" collapsed="false">
      <c r="A32" s="94" t="s">
        <v>114</v>
      </c>
      <c r="C32" s="324"/>
      <c r="D32" s="333" t="n">
        <f aca="false">Caledonia!E33+'New Albany'!E33+Brownsville!E33+Calvert!E33+Wheatland!E33+Wilton!E33</f>
        <v>0</v>
      </c>
      <c r="E32" s="333" t="n">
        <f aca="false">Caledonia!F33+'New Albany'!F33+Brownsville!F33+Calvert!F33+Wheatland!F33+Wilton!F33</f>
        <v>0</v>
      </c>
      <c r="F32" s="333" t="n">
        <f aca="false">Caledonia!G33+'New Albany'!G33+Brownsville!G33+Calvert!G33+Wheatland!G33+Wilton!G33</f>
        <v>0</v>
      </c>
      <c r="G32" s="333" t="n">
        <f aca="false">Caledonia!H33+'New Albany'!H33+Brownsville!H33+Calvert!H33+Wheatland!H33+Wilton!H33</f>
        <v>0</v>
      </c>
      <c r="H32" s="333" t="n">
        <f aca="false">Caledonia!I33+'New Albany'!I33+Brownsville!I33+Calvert!I33+Wheatland!I33+Wilton!I33</f>
        <v>2590.6104</v>
      </c>
      <c r="I32" s="333" t="n">
        <f aca="false">Caledonia!J33+'New Albany'!J33+Brownsville!J33+Calvert!J33+Wheatland!J33+Wilton!J33</f>
        <v>2668.328712</v>
      </c>
      <c r="J32" s="333" t="n">
        <f aca="false">Caledonia!K33+'New Albany'!K33+Brownsville!K33+Calvert!K33+Wheatland!K33+Wilton!K33</f>
        <v>2748.37857336</v>
      </c>
      <c r="K32" s="333" t="n">
        <f aca="false">Caledonia!L33+'New Albany'!L33+Brownsville!L33+Calvert!L33+Wheatland!L33+Wilton!L33</f>
        <v>2830.8299305608</v>
      </c>
      <c r="L32" s="333" t="n">
        <f aca="false">Caledonia!M33+'New Albany'!M33+Brownsville!M33+Calvert!M33+Wheatland!M33+Wilton!M33</f>
        <v>2915.75482847762</v>
      </c>
      <c r="M32" s="333" t="n">
        <f aca="false">Caledonia!N33+'New Albany'!N33+Brownsville!N33+Calvert!N33+Wheatland!N33+Wilton!N33</f>
        <v>3003.22747333195</v>
      </c>
      <c r="N32" s="333" t="n">
        <f aca="false">Caledonia!O33+'New Albany'!O33+Brownsville!O33+Calvert!O33+Wheatland!O33+Wilton!O33</f>
        <v>3093.32429753191</v>
      </c>
      <c r="O32" s="333" t="n">
        <f aca="false">Caledonia!P33+'New Albany'!P33+Brownsville!P33+Calvert!P33+Wheatland!P33+Wilton!P33</f>
        <v>3186.12402645787</v>
      </c>
      <c r="P32" s="333" t="n">
        <f aca="false">Caledonia!Q33+'New Albany'!Q33+Brownsville!Q33+Calvert!Q33+Wheatland!Q33+Wilton!Q33</f>
        <v>3281.70774725161</v>
      </c>
      <c r="Q32" s="333" t="n">
        <f aca="false">Caledonia!R33+'New Albany'!R33+Brownsville!R33+Calvert!R33+Wheatland!R33+Wilton!R33</f>
        <v>3380.15897966915</v>
      </c>
      <c r="R32" s="333" t="n">
        <f aca="false">Caledonia!S33+'New Albany'!S33+Brownsville!S33+Calvert!S33+Wheatland!S33+Wilton!S33</f>
        <v>3481.56374905923</v>
      </c>
      <c r="S32" s="333" t="n">
        <f aca="false">Caledonia!T33+'New Albany'!T33+Brownsville!T33+Calvert!T33+Wheatland!T33+Wilton!T33</f>
        <v>3586.01066153101</v>
      </c>
      <c r="T32" s="333" t="n">
        <f aca="false">Caledonia!U33+'New Albany'!U33+Brownsville!U33+Calvert!U33+Wheatland!U33+Wilton!U33</f>
        <v>3693.59098137694</v>
      </c>
      <c r="U32" s="333" t="n">
        <f aca="false">Caledonia!V33+'New Albany'!V33+Brownsville!V33+Calvert!V33+Wheatland!V33+Wilton!V33</f>
        <v>3804.39871081824</v>
      </c>
      <c r="V32" s="333" t="n">
        <f aca="false">Caledonia!W33+'New Albany'!W33+Brownsville!W33+Calvert!W33+Wheatland!W33+Wilton!W33</f>
        <v>3918.53067214279</v>
      </c>
      <c r="W32" s="333" t="n">
        <f aca="false">Caledonia!X33+'New Albany'!X33+Brownsville!X33+Calvert!X33+Wheatland!X33+Wilton!X33</f>
        <v>4036.08659230708</v>
      </c>
      <c r="X32" s="333" t="n">
        <f aca="false">Caledonia!Y33+'New Albany'!Y33+Brownsville!Y33+Calvert!Y33+Wheatland!Y33+Wilton!Y33</f>
        <v>4157.16919007629</v>
      </c>
      <c r="Y32" s="333" t="n">
        <f aca="false">Caledonia!Z33+'New Albany'!Z33+Brownsville!Z33+Calvert!Z33+Wheatland!Z33+Wilton!Z33</f>
        <v>4281.88426577858</v>
      </c>
      <c r="Z32" s="325"/>
      <c r="AA32" s="325"/>
    </row>
    <row r="33" customFormat="false" ht="12.75" hidden="false" customHeight="false" outlineLevel="0" collapsed="false">
      <c r="A33" s="327" t="s">
        <v>286</v>
      </c>
      <c r="C33" s="324"/>
      <c r="D33" s="324" t="n">
        <f aca="false">Wheatland!E34+'New Albany'!E34+Wilton!E34+Calvert!E34+Brownsville!E34+Caledonia!E34</f>
        <v>0</v>
      </c>
      <c r="E33" s="324" t="n">
        <f aca="false">Wheatland!F34+'New Albany'!F34+Wilton!F34+Calvert!F34+Brownsville!F34+Caledonia!F34</f>
        <v>734.553944636678</v>
      </c>
      <c r="F33" s="324" t="n">
        <f aca="false">Wheatland!G34+'New Albany'!G34+Wilton!G34+Calvert!G34+Brownsville!G34+Caledonia!G34</f>
        <v>1048.06274290657</v>
      </c>
      <c r="G33" s="324" t="n">
        <f aca="false">Wheatland!H34+'New Albany'!H34+Wilton!H34+Calvert!H34+Brownsville!H34+Caledonia!H34</f>
        <v>1079.50462519377</v>
      </c>
      <c r="H33" s="324" t="n">
        <f aca="false">Wheatland!I34+'New Albany'!I34+Wilton!I34+Calvert!I34+Brownsville!I34+Caledonia!I34</f>
        <v>1111.88976394959</v>
      </c>
      <c r="I33" s="324" t="n">
        <f aca="false">Wheatland!J34+'New Albany'!J34+Wilton!J34+Calvert!J34+Brownsville!J34+Caledonia!J34</f>
        <v>1145.24645686807</v>
      </c>
      <c r="J33" s="324" t="n">
        <f aca="false">Wheatland!K34+'New Albany'!K34+Wilton!K34+Calvert!K34+Brownsville!K34+Caledonia!K34</f>
        <v>1179.60385057411</v>
      </c>
      <c r="K33" s="324" t="n">
        <f aca="false">Wheatland!L34+'New Albany'!L34+Wilton!L34+Calvert!L34+Brownsville!L34+Caledonia!L34</f>
        <v>1214.99196609134</v>
      </c>
      <c r="L33" s="324" t="n">
        <f aca="false">Wheatland!M34+'New Albany'!M34+Wilton!M34+Calvert!M34+Brownsville!M34+Caledonia!M34</f>
        <v>1251.44172507408</v>
      </c>
      <c r="M33" s="324" t="n">
        <f aca="false">Wheatland!N34+'New Albany'!N34+Wilton!N34+Calvert!N34+Brownsville!N34+Caledonia!N34</f>
        <v>1288.9849768263</v>
      </c>
      <c r="N33" s="324" t="n">
        <f aca="false">Wheatland!O34+'New Albany'!O34+Wilton!O34+Calvert!O34+Brownsville!O34+Caledonia!O34</f>
        <v>1327.65452613109</v>
      </c>
      <c r="O33" s="324" t="n">
        <f aca="false">Wheatland!P34+'New Albany'!P34+Wilton!P34+Calvert!P34+Brownsville!P34+Caledonia!P34</f>
        <v>1367.48416191502</v>
      </c>
      <c r="P33" s="324" t="n">
        <f aca="false">Wheatland!Q34+'New Albany'!Q34+Wilton!Q34+Calvert!Q34+Brownsville!Q34+Caledonia!Q34</f>
        <v>1408.50868677247</v>
      </c>
      <c r="Q33" s="324" t="n">
        <f aca="false">Wheatland!R34+'New Albany'!R34+Wilton!R34+Calvert!R34+Brownsville!R34+Caledonia!R34</f>
        <v>1450.76394737565</v>
      </c>
      <c r="R33" s="324" t="n">
        <f aca="false">Wheatland!S34+'New Albany'!S34+Wilton!S34+Calvert!S34+Brownsville!S34+Caledonia!S34</f>
        <v>1494.28686579692</v>
      </c>
      <c r="S33" s="324" t="n">
        <f aca="false">Wheatland!T34+'New Albany'!T34+Wilton!T34+Calvert!T34+Brownsville!T34+Caledonia!T34</f>
        <v>1539.11547177082</v>
      </c>
      <c r="T33" s="324" t="n">
        <f aca="false">Wheatland!U34+'New Albany'!U34+Wilton!U34+Calvert!U34+Brownsville!U34+Caledonia!U34</f>
        <v>1585.28893592395</v>
      </c>
      <c r="U33" s="324" t="n">
        <f aca="false">Wheatland!V34+'New Albany'!V34+Wilton!V34+Calvert!V34+Brownsville!V34+Caledonia!V34</f>
        <v>1632.84760400167</v>
      </c>
      <c r="V33" s="324" t="n">
        <f aca="false">Wheatland!W34+'New Albany'!W34+Wilton!W34+Calvert!W34+Brownsville!W34+Caledonia!W34</f>
        <v>1681.83303212172</v>
      </c>
      <c r="W33" s="324" t="n">
        <f aca="false">Wheatland!X34+'New Albany'!X34+Wilton!X34+Calvert!X34+Brownsville!X34+Caledonia!X34</f>
        <v>1732.28802308537</v>
      </c>
      <c r="X33" s="324" t="n">
        <f aca="false">Wheatland!Y34+'New Albany'!Y34+Wilton!Y34+Calvert!Y34+Brownsville!Y34+Caledonia!Y34</f>
        <v>1784.25666377793</v>
      </c>
      <c r="Y33" s="324" t="n">
        <f aca="false">Wheatland!Z34+'New Albany'!Z34+Wilton!Z34+Calvert!Z34+Brownsville!Z34+Caledonia!Z34</f>
        <v>1837.78436369127</v>
      </c>
      <c r="Z33" s="325"/>
      <c r="AA33" s="325"/>
    </row>
    <row r="34" customFormat="false" ht="12.75" hidden="false" customHeight="false" outlineLevel="0" collapsed="false">
      <c r="A34" s="327" t="s">
        <v>287</v>
      </c>
      <c r="C34" s="334"/>
      <c r="D34" s="335" t="n">
        <f aca="false">Wheatland!E35+'New Albany'!E35+Wilton!E35+Calvert!E35+Brownsville!E35+Caledonia!E35</f>
        <v>0</v>
      </c>
      <c r="E34" s="335" t="n">
        <f aca="false">Wheatland!F35+'New Albany'!F35+Wilton!F35+Calvert!F35+Brownsville!F35+Caledonia!F35</f>
        <v>1004.25</v>
      </c>
      <c r="F34" s="335" t="n">
        <f aca="false">Wheatland!G35+'New Albany'!G35+Wilton!G35+Calvert!G35+Brownsville!G35+Caledonia!G35</f>
        <v>1432.215</v>
      </c>
      <c r="G34" s="335" t="n">
        <f aca="false">Wheatland!H35+'New Albany'!H35+Wilton!H35+Calvert!H35+Brownsville!H35+Caledonia!H35</f>
        <v>1475.18145</v>
      </c>
      <c r="H34" s="335" t="n">
        <f aca="false">Wheatland!I35+'New Albany'!I35+Wilton!I35+Calvert!I35+Brownsville!I35+Caledonia!I35</f>
        <v>1519.4368935</v>
      </c>
      <c r="I34" s="335" t="n">
        <f aca="false">Wheatland!J35+'New Albany'!J35+Wilton!J35+Calvert!J35+Brownsville!J35+Caledonia!J35</f>
        <v>1565.020000305</v>
      </c>
      <c r="J34" s="335" t="n">
        <f aca="false">Wheatland!K35+'New Albany'!K35+Wilton!K35+Calvert!K35+Brownsville!K35+Caledonia!K35</f>
        <v>1611.97060031415</v>
      </c>
      <c r="K34" s="335" t="n">
        <f aca="false">Wheatland!L35+'New Albany'!L35+Wilton!L35+Calvert!L35+Brownsville!L35+Caledonia!L35</f>
        <v>1660.32971832357</v>
      </c>
      <c r="L34" s="335" t="n">
        <f aca="false">Wheatland!M35+'New Albany'!M35+Wilton!M35+Calvert!M35+Brownsville!M35+Caledonia!M35</f>
        <v>1710.13960987328</v>
      </c>
      <c r="M34" s="335" t="n">
        <f aca="false">Wheatland!N35+'New Albany'!N35+Wilton!N35+Calvert!N35+Brownsville!N35+Caledonia!N35</f>
        <v>1761.44379816948</v>
      </c>
      <c r="N34" s="335" t="n">
        <f aca="false">Wheatland!O35+'New Albany'!O35+Wilton!O35+Calvert!O35+Brownsville!O35+Caledonia!O35</f>
        <v>1814.28711211456</v>
      </c>
      <c r="O34" s="335" t="n">
        <f aca="false">Wheatland!P35+'New Albany'!P35+Wilton!P35+Calvert!P35+Brownsville!P35+Caledonia!P35</f>
        <v>1868.715725478</v>
      </c>
      <c r="P34" s="335" t="n">
        <f aca="false">Wheatland!Q35+'New Albany'!Q35+Wilton!Q35+Calvert!Q35+Brownsville!Q35+Caledonia!Q35</f>
        <v>1924.77719724234</v>
      </c>
      <c r="Q34" s="335" t="n">
        <f aca="false">Wheatland!R35+'New Albany'!R35+Wilton!R35+Calvert!R35+Brownsville!R35+Caledonia!R35</f>
        <v>1982.52051315961</v>
      </c>
      <c r="R34" s="335" t="n">
        <f aca="false">Wheatland!S35+'New Albany'!S35+Wilton!S35+Calvert!S35+Brownsville!S35+Caledonia!S35</f>
        <v>2041.9961285544</v>
      </c>
      <c r="S34" s="335" t="n">
        <f aca="false">Wheatland!T35+'New Albany'!T35+Wilton!T35+Calvert!T35+Brownsville!T35+Caledonia!T35</f>
        <v>2103.25601241103</v>
      </c>
      <c r="T34" s="335" t="n">
        <f aca="false">Wheatland!U35+'New Albany'!U35+Wilton!U35+Calvert!U35+Brownsville!U35+Caledonia!U35</f>
        <v>2166.35369278336</v>
      </c>
      <c r="U34" s="335" t="n">
        <f aca="false">Wheatland!V35+'New Albany'!V35+Wilton!V35+Calvert!V35+Brownsville!V35+Caledonia!V35</f>
        <v>2231.34430356686</v>
      </c>
      <c r="V34" s="335" t="n">
        <f aca="false">Wheatland!W35+'New Albany'!W35+Wilton!W35+Calvert!W35+Brownsville!W35+Caledonia!W35</f>
        <v>2298.28463267387</v>
      </c>
      <c r="W34" s="335" t="n">
        <f aca="false">Wheatland!X35+'New Albany'!X35+Wilton!X35+Calvert!X35+Brownsville!X35+Caledonia!X35</f>
        <v>2367.23317165409</v>
      </c>
      <c r="X34" s="335" t="n">
        <f aca="false">Wheatland!Y35+'New Albany'!Y35+Wilton!Y35+Calvert!Y35+Brownsville!Y35+Caledonia!Y35</f>
        <v>2438.25016680371</v>
      </c>
      <c r="Y34" s="335" t="n">
        <f aca="false">Wheatland!Z35+'New Albany'!Z35+Wilton!Z35+Calvert!Z35+Brownsville!Z35+Caledonia!Z35</f>
        <v>2511.39767180782</v>
      </c>
      <c r="Z34" s="336"/>
      <c r="AA34" s="336"/>
    </row>
    <row r="35" customFormat="false" ht="12.75" hidden="false" customHeight="false" outlineLevel="0" collapsed="false">
      <c r="A35" s="327" t="s">
        <v>288</v>
      </c>
      <c r="C35" s="329"/>
      <c r="D35" s="329" t="n">
        <f aca="false">SUM(D23:D34)</f>
        <v>0</v>
      </c>
      <c r="E35" s="329" t="n">
        <f aca="false">SUM(E23:E34)</f>
        <v>28485.1322881223</v>
      </c>
      <c r="F35" s="329" t="n">
        <f aca="false">SUM(F23:F34)</f>
        <v>32920.9715801733</v>
      </c>
      <c r="G35" s="329" t="n">
        <f aca="false">SUM(G23:G34)</f>
        <v>33889.4904584618</v>
      </c>
      <c r="H35" s="329" t="n">
        <f aca="false">SUM(H23:H34)</f>
        <v>37878.1933582308</v>
      </c>
      <c r="I35" s="329" t="n">
        <f aca="false">SUM(I23:I34)</f>
        <v>39126.5260105972</v>
      </c>
      <c r="J35" s="329" t="n">
        <f aca="false">SUM(J23:J34)</f>
        <v>40168.3323115814</v>
      </c>
      <c r="K35" s="329" t="n">
        <f aca="false">SUM(K23:K34)</f>
        <v>41287.1536941402</v>
      </c>
      <c r="L35" s="329" t="n">
        <f aca="false">SUM(L23:L34)</f>
        <v>42455.2096904229</v>
      </c>
      <c r="M35" s="329" t="n">
        <f aca="false">SUM(M23:M34)</f>
        <v>43617.1627466407</v>
      </c>
      <c r="N35" s="329" t="n">
        <f aca="false">SUM(N23:N34)</f>
        <v>44694.2240533925</v>
      </c>
      <c r="O35" s="329" t="n">
        <f aca="false">SUM(O23:O34)</f>
        <v>47042.9522418336</v>
      </c>
      <c r="P35" s="329" t="n">
        <f aca="false">SUM(P23:P34)</f>
        <v>48200.1822188427</v>
      </c>
      <c r="Q35" s="329" t="n">
        <f aca="false">SUM(Q23:Q34)</f>
        <v>49270.0975035564</v>
      </c>
      <c r="R35" s="329" t="n">
        <f aca="false">SUM(R23:R34)</f>
        <v>50281.0345871096</v>
      </c>
      <c r="S35" s="329" t="n">
        <f aca="false">SUM(S23:S34)</f>
        <v>51690.0878470807</v>
      </c>
      <c r="T35" s="329" t="n">
        <f aca="false">SUM(T23:T34)</f>
        <v>52761.7970473895</v>
      </c>
      <c r="U35" s="329" t="n">
        <f aca="false">SUM(U23:U34)</f>
        <v>53773.2744570773</v>
      </c>
      <c r="V35" s="329" t="n">
        <f aca="false">SUM(V23:V34)</f>
        <v>54749.5765150343</v>
      </c>
      <c r="W35" s="329" t="n">
        <f aca="false">SUM(W23:W34)</f>
        <v>55917.4314169076</v>
      </c>
      <c r="X35" s="329" t="n">
        <f aca="false">SUM(X23:X34)</f>
        <v>57204.298256246</v>
      </c>
      <c r="Y35" s="329" t="n">
        <f aca="false">SUM(Y23:Y34)</f>
        <v>56833.2339646227</v>
      </c>
      <c r="Z35" s="330"/>
      <c r="AA35" s="330"/>
    </row>
    <row r="36" customFormat="false" ht="12.75" hidden="false" customHeight="false" outlineLevel="0" collapsed="false">
      <c r="A36" s="337"/>
      <c r="C36" s="338"/>
      <c r="D36" s="339"/>
      <c r="E36" s="339"/>
      <c r="F36" s="339"/>
      <c r="G36" s="339"/>
      <c r="H36" s="339"/>
      <c r="I36" s="339"/>
      <c r="J36" s="339"/>
      <c r="K36" s="339"/>
      <c r="L36" s="339"/>
      <c r="M36" s="339"/>
      <c r="N36" s="339"/>
      <c r="O36" s="339"/>
      <c r="P36" s="339"/>
      <c r="Q36" s="339"/>
      <c r="R36" s="339"/>
      <c r="S36" s="339"/>
      <c r="T36" s="339"/>
      <c r="U36" s="339"/>
      <c r="V36" s="339"/>
      <c r="W36" s="339"/>
      <c r="X36" s="339"/>
      <c r="Y36" s="339"/>
      <c r="Z36" s="340"/>
      <c r="AA36" s="340"/>
    </row>
    <row r="37" customFormat="false" ht="12.75" hidden="false" customHeight="false" outlineLevel="0" collapsed="false">
      <c r="A37" s="337"/>
      <c r="C37" s="338"/>
      <c r="D37" s="341"/>
      <c r="E37" s="341"/>
      <c r="F37" s="341"/>
      <c r="G37" s="341"/>
      <c r="H37" s="341"/>
      <c r="I37" s="341"/>
      <c r="J37" s="341"/>
      <c r="K37" s="341"/>
      <c r="L37" s="341"/>
      <c r="M37" s="341"/>
      <c r="N37" s="341"/>
      <c r="O37" s="341"/>
      <c r="P37" s="341"/>
      <c r="Q37" s="341"/>
      <c r="R37" s="341"/>
      <c r="S37" s="341"/>
      <c r="T37" s="341"/>
      <c r="U37" s="341"/>
      <c r="V37" s="341"/>
      <c r="W37" s="341"/>
      <c r="X37" s="341"/>
      <c r="Y37" s="341"/>
      <c r="Z37" s="340"/>
      <c r="AA37" s="340"/>
    </row>
    <row r="38" customFormat="false" ht="12.75" hidden="false" customHeight="false" outlineLevel="0" collapsed="false">
      <c r="A38" s="323" t="s">
        <v>289</v>
      </c>
      <c r="D38" s="342" t="n">
        <f aca="false">D19-D35</f>
        <v>0</v>
      </c>
      <c r="E38" s="342" t="n">
        <f aca="false">E19-E35</f>
        <v>89715.843466456</v>
      </c>
      <c r="F38" s="342" t="n">
        <f aca="false">F19-F35</f>
        <v>122372.11600516</v>
      </c>
      <c r="G38" s="342" t="n">
        <f aca="false">G19-G35</f>
        <v>121860.672632795</v>
      </c>
      <c r="H38" s="342" t="n">
        <f aca="false">H19-H35</f>
        <v>187651.640149133</v>
      </c>
      <c r="I38" s="342" t="n">
        <f aca="false">I19-I35</f>
        <v>190109.102175011</v>
      </c>
      <c r="J38" s="342" t="n">
        <f aca="false">J19-J35</f>
        <v>193591.992963032</v>
      </c>
      <c r="K38" s="342" t="n">
        <f aca="false">K19-K35</f>
        <v>194788.062797385</v>
      </c>
      <c r="L38" s="342" t="n">
        <f aca="false">L19-L35</f>
        <v>199203.15022056</v>
      </c>
      <c r="M38" s="342" t="n">
        <f aca="false">M19-M35</f>
        <v>201177.532601569</v>
      </c>
      <c r="N38" s="342" t="n">
        <f aca="false">N19-N35</f>
        <v>205855.995429301</v>
      </c>
      <c r="O38" s="342" t="n">
        <f aca="false">O19-O35</f>
        <v>206645.906238297</v>
      </c>
      <c r="P38" s="342" t="n">
        <f aca="false">P19-P35</f>
        <v>211414.538031109</v>
      </c>
      <c r="Q38" s="342" t="n">
        <f aca="false">Q19-Q35</f>
        <v>213506.786652741</v>
      </c>
      <c r="R38" s="342" t="n">
        <f aca="false">R19-R35</f>
        <v>214835.547615443</v>
      </c>
      <c r="S38" s="342" t="n">
        <f aca="false">S19-S35</f>
        <v>216468.363466035</v>
      </c>
      <c r="T38" s="342" t="n">
        <f aca="false">T19-T35</f>
        <v>218387.20496215</v>
      </c>
      <c r="U38" s="342" t="n">
        <f aca="false">U19-U35</f>
        <v>220305.410284444</v>
      </c>
      <c r="V38" s="342" t="n">
        <f aca="false">V19-V35</f>
        <v>222191.208984475</v>
      </c>
      <c r="W38" s="342" t="n">
        <f aca="false">W19-W35</f>
        <v>223808.309370617</v>
      </c>
      <c r="X38" s="342" t="n">
        <f aca="false">X19-X35</f>
        <v>223087.610196391</v>
      </c>
      <c r="Y38" s="342" t="n">
        <f aca="false">Y19-Y35</f>
        <v>226027.72698456</v>
      </c>
      <c r="Z38" s="343"/>
      <c r="AA38" s="343"/>
    </row>
    <row r="39" customFormat="false" ht="12.75" hidden="false" customHeight="false" outlineLevel="0" collapsed="false">
      <c r="A39" s="323"/>
      <c r="D39" s="339"/>
      <c r="E39" s="339"/>
      <c r="F39" s="339"/>
      <c r="G39" s="339"/>
      <c r="H39" s="339"/>
      <c r="I39" s="339"/>
      <c r="J39" s="339"/>
      <c r="K39" s="339"/>
      <c r="L39" s="339"/>
      <c r="M39" s="339"/>
      <c r="N39" s="339"/>
      <c r="O39" s="339"/>
      <c r="P39" s="339"/>
      <c r="Q39" s="339"/>
      <c r="R39" s="339"/>
      <c r="S39" s="339"/>
      <c r="T39" s="339"/>
      <c r="U39" s="339"/>
      <c r="V39" s="339"/>
      <c r="W39" s="339"/>
      <c r="X39" s="339"/>
      <c r="Y39" s="339"/>
      <c r="Z39" s="343"/>
      <c r="AA39" s="343"/>
    </row>
    <row r="40" customFormat="false" ht="12.75" hidden="false" customHeight="false" outlineLevel="0" collapsed="false">
      <c r="A40" s="327" t="s">
        <v>290</v>
      </c>
      <c r="D40" s="324" t="n">
        <f aca="false">Depreciation!G42+Depreciation!G77</f>
        <v>0</v>
      </c>
      <c r="E40" s="324" t="n">
        <f aca="false">Depreciation!H42+Depreciation!H77</f>
        <v>27106.6984637297</v>
      </c>
      <c r="F40" s="324" t="n">
        <f aca="false">Depreciation!I42+Depreciation!I77</f>
        <v>37257.7276514792</v>
      </c>
      <c r="G40" s="324" t="n">
        <f aca="false">Depreciation!J42+Depreciation!J77</f>
        <v>37257.7276514792</v>
      </c>
      <c r="H40" s="324" t="n">
        <f aca="false">Depreciation!K42+Depreciation!K77</f>
        <v>37257.7276514792</v>
      </c>
      <c r="I40" s="324" t="n">
        <f aca="false">Depreciation!L42+Depreciation!L77</f>
        <v>37257.7276514792</v>
      </c>
      <c r="J40" s="324" t="n">
        <f aca="false">Depreciation!M42+Depreciation!M77</f>
        <v>37257.7276514792</v>
      </c>
      <c r="K40" s="324" t="n">
        <f aca="false">Depreciation!N42+Depreciation!N77</f>
        <v>37257.7276514792</v>
      </c>
      <c r="L40" s="324" t="n">
        <f aca="false">Depreciation!O42+Depreciation!O77</f>
        <v>37257.7276514792</v>
      </c>
      <c r="M40" s="324" t="n">
        <f aca="false">Depreciation!P42+Depreciation!P77</f>
        <v>37257.7276514792</v>
      </c>
      <c r="N40" s="324" t="n">
        <f aca="false">Depreciation!Q42+Depreciation!Q77</f>
        <v>37257.7276514792</v>
      </c>
      <c r="O40" s="324" t="n">
        <f aca="false">Depreciation!R42+Depreciation!R77</f>
        <v>37257.7276514792</v>
      </c>
      <c r="P40" s="324" t="n">
        <f aca="false">Depreciation!S42+Depreciation!S77</f>
        <v>37257.7276514792</v>
      </c>
      <c r="Q40" s="324" t="n">
        <f aca="false">Depreciation!T42+Depreciation!T77</f>
        <v>37257.7276514792</v>
      </c>
      <c r="R40" s="324" t="n">
        <f aca="false">Depreciation!U42+Depreciation!U77</f>
        <v>37257.7276514792</v>
      </c>
      <c r="S40" s="324" t="n">
        <f aca="false">Depreciation!V42+Depreciation!V77</f>
        <v>37257.7276514792</v>
      </c>
      <c r="T40" s="324" t="n">
        <f aca="false">Depreciation!W42+Depreciation!W77</f>
        <v>37257.7276514792</v>
      </c>
      <c r="U40" s="324" t="n">
        <f aca="false">Depreciation!X42+Depreciation!X77</f>
        <v>37257.7276514792</v>
      </c>
      <c r="V40" s="324" t="n">
        <f aca="false">Depreciation!Y42+Depreciation!Y77</f>
        <v>37257.7276514792</v>
      </c>
      <c r="W40" s="324" t="n">
        <f aca="false">Depreciation!Z42+Depreciation!Z77</f>
        <v>37257.7276514792</v>
      </c>
      <c r="X40" s="324" t="n">
        <f aca="false">Depreciation!AA42+Depreciation!AA77</f>
        <v>37257.7276514792</v>
      </c>
      <c r="Y40" s="324" t="n">
        <f aca="false">Depreciation!AB42+Depreciation!AB77</f>
        <v>36282.7276514792</v>
      </c>
      <c r="Z40" s="325"/>
      <c r="AA40" s="325"/>
    </row>
    <row r="41" customFormat="false" ht="12.75" hidden="false" customHeight="false" outlineLevel="0" collapsed="false">
      <c r="A41" s="327"/>
      <c r="D41" s="324"/>
      <c r="E41" s="324"/>
      <c r="F41" s="324"/>
      <c r="G41" s="324"/>
      <c r="H41" s="324"/>
      <c r="I41" s="324"/>
      <c r="J41" s="324"/>
      <c r="K41" s="324"/>
      <c r="L41" s="324"/>
      <c r="M41" s="324"/>
      <c r="N41" s="324"/>
      <c r="O41" s="324"/>
      <c r="P41" s="324"/>
      <c r="Q41" s="324"/>
      <c r="R41" s="324"/>
      <c r="S41" s="324"/>
      <c r="T41" s="324"/>
      <c r="U41" s="324"/>
      <c r="V41" s="324"/>
      <c r="W41" s="324"/>
      <c r="X41" s="324"/>
      <c r="Y41" s="324"/>
      <c r="Z41" s="325"/>
      <c r="AA41" s="325"/>
    </row>
    <row r="42" customFormat="false" ht="12.75" hidden="false" customHeight="false" outlineLevel="0" collapsed="false">
      <c r="A42" s="323" t="s">
        <v>291</v>
      </c>
      <c r="D42" s="342" t="n">
        <f aca="false">D38-D40</f>
        <v>0</v>
      </c>
      <c r="E42" s="342" t="n">
        <f aca="false">E38-E40</f>
        <v>62609.1450027263</v>
      </c>
      <c r="F42" s="342" t="n">
        <f aca="false">F38-F40</f>
        <v>85114.3883536804</v>
      </c>
      <c r="G42" s="342" t="n">
        <f aca="false">G38-G40</f>
        <v>84602.9449813158</v>
      </c>
      <c r="H42" s="342" t="n">
        <f aca="false">H38-H40</f>
        <v>150393.912497654</v>
      </c>
      <c r="I42" s="342" t="n">
        <f aca="false">I38-I40</f>
        <v>152851.374523531</v>
      </c>
      <c r="J42" s="342" t="n">
        <f aca="false">J38-J40</f>
        <v>156334.265311553</v>
      </c>
      <c r="K42" s="342" t="n">
        <f aca="false">K38-K40</f>
        <v>157530.335145905</v>
      </c>
      <c r="L42" s="342" t="n">
        <f aca="false">L38-L40</f>
        <v>161945.42256908</v>
      </c>
      <c r="M42" s="342" t="n">
        <f aca="false">M38-M40</f>
        <v>163919.80495009</v>
      </c>
      <c r="N42" s="342" t="n">
        <f aca="false">N38-N40</f>
        <v>168598.267777822</v>
      </c>
      <c r="O42" s="342" t="n">
        <f aca="false">O38-O40</f>
        <v>169388.178586818</v>
      </c>
      <c r="P42" s="342" t="n">
        <f aca="false">P38-P40</f>
        <v>174156.810379629</v>
      </c>
      <c r="Q42" s="342" t="n">
        <f aca="false">Q38-Q40</f>
        <v>176249.059001262</v>
      </c>
      <c r="R42" s="342" t="n">
        <f aca="false">R38-R40</f>
        <v>177577.819963964</v>
      </c>
      <c r="S42" s="342" t="n">
        <f aca="false">S38-S40</f>
        <v>179210.635814556</v>
      </c>
      <c r="T42" s="342" t="n">
        <f aca="false">T38-T40</f>
        <v>181129.477310671</v>
      </c>
      <c r="U42" s="342" t="n">
        <f aca="false">U38-U40</f>
        <v>183047.682632965</v>
      </c>
      <c r="V42" s="342" t="n">
        <f aca="false">V38-V40</f>
        <v>184933.481332996</v>
      </c>
      <c r="W42" s="342" t="n">
        <f aca="false">W38-W40</f>
        <v>186550.581719138</v>
      </c>
      <c r="X42" s="342" t="n">
        <f aca="false">X38-X40</f>
        <v>185829.882544912</v>
      </c>
      <c r="Y42" s="342" t="n">
        <f aca="false">Y38-Y40</f>
        <v>189744.999333081</v>
      </c>
      <c r="Z42" s="343"/>
      <c r="AA42" s="343"/>
    </row>
    <row r="43" customFormat="false" ht="12.75" hidden="false" customHeight="false" outlineLevel="0" collapsed="false">
      <c r="A43" s="323"/>
      <c r="D43" s="342"/>
      <c r="E43" s="342"/>
      <c r="F43" s="342"/>
      <c r="G43" s="342"/>
      <c r="H43" s="342"/>
      <c r="I43" s="342"/>
      <c r="J43" s="342"/>
      <c r="K43" s="342"/>
      <c r="L43" s="342"/>
      <c r="M43" s="342"/>
      <c r="N43" s="342"/>
      <c r="O43" s="342"/>
      <c r="P43" s="342"/>
      <c r="Q43" s="342"/>
      <c r="R43" s="342"/>
      <c r="S43" s="342"/>
      <c r="T43" s="342"/>
      <c r="U43" s="342"/>
      <c r="V43" s="342"/>
      <c r="W43" s="342"/>
      <c r="X43" s="342"/>
      <c r="Y43" s="342"/>
      <c r="Z43" s="343"/>
      <c r="AA43" s="343"/>
    </row>
    <row r="44" customFormat="false" ht="15.75" hidden="false" customHeight="false" outlineLevel="0" collapsed="false">
      <c r="A44" s="327" t="s">
        <v>292</v>
      </c>
      <c r="C44" s="324"/>
      <c r="D44" s="324" t="n">
        <f aca="false">Debt!B46+Debt!B69+Debt!B92+Debt!B136</f>
        <v>0</v>
      </c>
      <c r="E44" s="324" t="n">
        <f aca="false">Debt!C46+Debt!C69+Debt!C92+Debt!C136</f>
        <v>51499.5177861246</v>
      </c>
      <c r="F44" s="324" t="n">
        <f aca="false">Debt!D46+Debt!D69+Debt!D92</f>
        <v>67771.46988125</v>
      </c>
      <c r="G44" s="324" t="n">
        <f aca="false">Debt!E46+Debt!E69+Debt!E92</f>
        <v>65536.2602</v>
      </c>
      <c r="H44" s="324" t="n">
        <f aca="false">Debt!F46+Debt!F69+Debt!F92</f>
        <v>63337.675175</v>
      </c>
      <c r="I44" s="324" t="n">
        <f aca="false">Debt!G46+Debt!G69+Debt!G92</f>
        <v>61891.46675</v>
      </c>
      <c r="J44" s="324" t="n">
        <f aca="false">Debt!H46+Debt!H69+Debt!H92</f>
        <v>59456.1896</v>
      </c>
      <c r="K44" s="324" t="n">
        <f aca="false">Debt!I46+Debt!I69+Debt!I92</f>
        <v>56784.8096</v>
      </c>
      <c r="L44" s="324" t="n">
        <f aca="false">Debt!J46+Debt!J69+Debt!J92</f>
        <v>53698.58</v>
      </c>
      <c r="M44" s="324" t="n">
        <f aca="false">Debt!K46+Debt!K69+Debt!K92</f>
        <v>50166.0728</v>
      </c>
      <c r="N44" s="324" t="n">
        <f aca="false">Debt!L46+Debt!L69+Debt!L92</f>
        <v>45879.2936</v>
      </c>
      <c r="O44" s="324" t="n">
        <f aca="false">Debt!M46+Debt!M69+Debt!M92</f>
        <v>42092.6862791173</v>
      </c>
      <c r="P44" s="324" t="n">
        <f aca="false">Debt!N46+Debt!N69+Debt!N92</f>
        <v>38456.7268382012</v>
      </c>
      <c r="Q44" s="324" t="n">
        <f aca="false">Debt!O46+Debt!O69+Debt!O92</f>
        <v>34439.9324498369</v>
      </c>
      <c r="R44" s="324" t="n">
        <f aca="false">Debt!P46+Debt!P69+Debt!P92</f>
        <v>30112.2506637003</v>
      </c>
      <c r="S44" s="324" t="n">
        <f aca="false">Debt!Q46+Debt!Q69+Debt!Q92</f>
        <v>25490.6166878623</v>
      </c>
      <c r="T44" s="324" t="n">
        <f aca="false">Debt!R46+Debt!R69+Debt!R92</f>
        <v>20485.054723304</v>
      </c>
      <c r="U44" s="324" t="n">
        <f aca="false">Debt!S46+Debt!S69+Debt!S92</f>
        <v>15271.1078490094</v>
      </c>
      <c r="V44" s="324" t="n">
        <f aca="false">Debt!T46+Debt!T69+Debt!T92</f>
        <v>10104.8670410374</v>
      </c>
      <c r="W44" s="324" t="n">
        <f aca="false">Debt!U46+Debt!U69+Debt!U92</f>
        <v>5383.67786814167</v>
      </c>
      <c r="X44" s="324" t="n">
        <f aca="false">Debt!V46+Debt!V69+Debt!V92</f>
        <v>1292.45236643348</v>
      </c>
      <c r="Y44" s="324" t="n">
        <v>0</v>
      </c>
      <c r="Z44" s="325"/>
      <c r="AA44" s="325"/>
    </row>
    <row r="45" customFormat="false" ht="12.75" hidden="false" customHeight="false" outlineLevel="0" collapsed="false">
      <c r="A45" s="78"/>
      <c r="D45" s="324"/>
      <c r="E45" s="324"/>
      <c r="F45" s="324"/>
      <c r="G45" s="324"/>
      <c r="H45" s="324"/>
      <c r="I45" s="324"/>
      <c r="J45" s="324"/>
      <c r="K45" s="324"/>
      <c r="L45" s="324"/>
      <c r="M45" s="324"/>
      <c r="N45" s="324"/>
      <c r="O45" s="324"/>
      <c r="P45" s="324"/>
      <c r="Q45" s="324"/>
      <c r="R45" s="324"/>
      <c r="S45" s="324"/>
      <c r="T45" s="324"/>
      <c r="U45" s="324"/>
      <c r="V45" s="324"/>
      <c r="W45" s="324"/>
      <c r="X45" s="324"/>
      <c r="Y45" s="324"/>
      <c r="Z45" s="336"/>
      <c r="AA45" s="336"/>
    </row>
    <row r="46" customFormat="false" ht="12.75" hidden="false" customHeight="false" outlineLevel="0" collapsed="false">
      <c r="A46" s="78"/>
      <c r="D46" s="334"/>
      <c r="E46" s="334"/>
      <c r="F46" s="334"/>
      <c r="G46" s="334"/>
      <c r="H46" s="334"/>
      <c r="I46" s="334"/>
      <c r="J46" s="334"/>
      <c r="K46" s="334"/>
      <c r="L46" s="334"/>
      <c r="M46" s="334"/>
      <c r="N46" s="334"/>
      <c r="O46" s="334"/>
      <c r="P46" s="334"/>
      <c r="Q46" s="334"/>
      <c r="R46" s="334"/>
      <c r="S46" s="334"/>
      <c r="T46" s="334"/>
      <c r="U46" s="334"/>
      <c r="V46" s="334"/>
      <c r="W46" s="334"/>
      <c r="X46" s="334"/>
      <c r="Y46" s="334"/>
      <c r="Z46" s="336"/>
      <c r="AA46" s="336"/>
    </row>
    <row r="47" customFormat="false" ht="12.75" hidden="false" customHeight="false" outlineLevel="0" collapsed="false">
      <c r="A47" s="78"/>
      <c r="D47" s="324"/>
      <c r="E47" s="324"/>
      <c r="F47" s="324"/>
      <c r="G47" s="324"/>
      <c r="H47" s="324"/>
      <c r="I47" s="324"/>
      <c r="J47" s="324"/>
      <c r="K47" s="324"/>
      <c r="L47" s="324"/>
      <c r="M47" s="324"/>
      <c r="N47" s="324"/>
      <c r="O47" s="324"/>
      <c r="P47" s="324"/>
      <c r="Q47" s="324"/>
      <c r="R47" s="324"/>
      <c r="S47" s="324"/>
      <c r="T47" s="324"/>
      <c r="U47" s="324"/>
      <c r="V47" s="324"/>
      <c r="W47" s="324"/>
      <c r="X47" s="324"/>
      <c r="Y47" s="324"/>
      <c r="Z47" s="325"/>
      <c r="AA47" s="325"/>
    </row>
    <row r="48" customFormat="false" ht="12.75" hidden="false" customHeight="false" outlineLevel="0" collapsed="false">
      <c r="A48" s="323" t="s">
        <v>293</v>
      </c>
      <c r="D48" s="342" t="n">
        <f aca="false">D42-D44</f>
        <v>0</v>
      </c>
      <c r="E48" s="342" t="n">
        <f aca="false">E42-E44</f>
        <v>11109.6272166016</v>
      </c>
      <c r="F48" s="342" t="n">
        <f aca="false">F42-F44</f>
        <v>17342.9184724304</v>
      </c>
      <c r="G48" s="342" t="n">
        <f aca="false">G42-G44</f>
        <v>19066.6847813158</v>
      </c>
      <c r="H48" s="342" t="n">
        <f aca="false">H42-H44</f>
        <v>87056.2373226536</v>
      </c>
      <c r="I48" s="342" t="n">
        <f aca="false">I42-I44</f>
        <v>90959.9077735315</v>
      </c>
      <c r="J48" s="342" t="n">
        <f aca="false">J42-J44</f>
        <v>96878.0757115531</v>
      </c>
      <c r="K48" s="342" t="n">
        <f aca="false">K42-K44</f>
        <v>100745.525545905</v>
      </c>
      <c r="L48" s="342" t="n">
        <f aca="false">L42-L44</f>
        <v>108246.84256908</v>
      </c>
      <c r="M48" s="342" t="n">
        <f aca="false">M42-M44</f>
        <v>113753.73215009</v>
      </c>
      <c r="N48" s="342" t="n">
        <f aca="false">N42-N44</f>
        <v>122718.974177822</v>
      </c>
      <c r="O48" s="342" t="n">
        <f aca="false">O42-O44</f>
        <v>127295.492307701</v>
      </c>
      <c r="P48" s="342" t="n">
        <f aca="false">P42-P44</f>
        <v>135700.083541428</v>
      </c>
      <c r="Q48" s="342" t="n">
        <f aca="false">Q42-Q44</f>
        <v>141809.126551425</v>
      </c>
      <c r="R48" s="342" t="n">
        <f aca="false">R42-R44</f>
        <v>147465.569300264</v>
      </c>
      <c r="S48" s="342" t="n">
        <f aca="false">S42-S44</f>
        <v>153720.019126693</v>
      </c>
      <c r="T48" s="342" t="n">
        <f aca="false">T42-T44</f>
        <v>160644.422587367</v>
      </c>
      <c r="U48" s="342" t="n">
        <f aca="false">U42-U44</f>
        <v>167776.574783956</v>
      </c>
      <c r="V48" s="342" t="n">
        <f aca="false">V42-V44</f>
        <v>174828.614291958</v>
      </c>
      <c r="W48" s="342" t="n">
        <f aca="false">W42-W44</f>
        <v>181166.903850996</v>
      </c>
      <c r="X48" s="342" t="n">
        <f aca="false">X42-X44</f>
        <v>184537.430178478</v>
      </c>
      <c r="Y48" s="342" t="n">
        <f aca="false">Y42-Y44</f>
        <v>189744.999333081</v>
      </c>
      <c r="Z48" s="343"/>
      <c r="AA48" s="343"/>
    </row>
    <row r="49" customFormat="false" ht="12.75" hidden="false" customHeight="false" outlineLevel="0" collapsed="false">
      <c r="A49" s="323"/>
      <c r="D49" s="342"/>
      <c r="E49" s="342"/>
      <c r="F49" s="342"/>
      <c r="G49" s="342"/>
      <c r="H49" s="342"/>
      <c r="I49" s="342"/>
      <c r="J49" s="342"/>
      <c r="K49" s="342"/>
      <c r="L49" s="342"/>
      <c r="M49" s="342"/>
      <c r="N49" s="342"/>
      <c r="O49" s="342"/>
      <c r="P49" s="342"/>
      <c r="Q49" s="342"/>
      <c r="R49" s="342"/>
      <c r="S49" s="342"/>
      <c r="T49" s="342"/>
      <c r="U49" s="342"/>
      <c r="V49" s="342"/>
      <c r="W49" s="342"/>
      <c r="X49" s="342"/>
      <c r="Y49" s="342"/>
      <c r="Z49" s="343"/>
      <c r="AA49" s="343"/>
    </row>
    <row r="50" customFormat="false" ht="12.75" hidden="false" customHeight="false" outlineLevel="0" collapsed="false">
      <c r="A50" s="327" t="s">
        <v>294</v>
      </c>
      <c r="D50" s="329" t="n">
        <f aca="false">(Brownsville!E49+Caledonia!E51+'New Albany'!E51+Calvert!E51+Wheatland!E51+Wilton!E51)</f>
        <v>-0</v>
      </c>
      <c r="E50" s="329" t="n">
        <f aca="false">Brownsville!F49+Caledonia!F51+'New Albany'!F51+Calvert!F51+Wheatland!F51+Wilton!F51</f>
        <v>-619.598516939577</v>
      </c>
      <c r="F50" s="329" t="n">
        <f aca="false">Brownsville!G49+Caledonia!G51+'New Albany'!G51+Calvert!G51+Wheatland!G51+Wilton!G51</f>
        <v>-1068.8024220753</v>
      </c>
      <c r="G50" s="329" t="n">
        <f aca="false">Brownsville!H49+Caledonia!H51+'New Albany'!H51+Calvert!H51+Wheatland!H51+Wilton!H51</f>
        <v>-1175.49550840481</v>
      </c>
      <c r="H50" s="329" t="n">
        <f aca="false">Brownsville!I49+Caledonia!I51+'New Albany'!I51+Calvert!I51+Wheatland!I51+Wilton!I51</f>
        <v>-5280.14581332559</v>
      </c>
      <c r="I50" s="329" t="n">
        <f aca="false">Brownsville!J49+Caledonia!J51+'New Albany'!J51+Calvert!J51+Wheatland!J51+Wilton!J51</f>
        <v>-5512.97668044012</v>
      </c>
      <c r="J50" s="329" t="n">
        <f aca="false">Brownsville!K49+Caledonia!K51+'New Albany'!K51+Calvert!K51+Wheatland!K51+Wilton!K51</f>
        <v>-5874.02164547486</v>
      </c>
      <c r="K50" s="329" t="n">
        <f aca="false">Brownsville!L49+Caledonia!L51+'New Albany'!L51+Calvert!L51+Wheatland!L51+Wilton!L51</f>
        <v>-6101.9915080772</v>
      </c>
      <c r="L50" s="329" t="n">
        <f aca="false">Brownsville!M49+Caledonia!M51+'New Albany'!M51+Calvert!M51+Wheatland!M51+Wilton!M51</f>
        <v>-6561.43977280636</v>
      </c>
      <c r="M50" s="329" t="n">
        <f aca="false">Brownsville!N49+Caledonia!N51+'New Albany'!N51+Calvert!N51+Wheatland!N51+Wilton!N51</f>
        <v>-6897.67867717063</v>
      </c>
      <c r="N50" s="329" t="n">
        <f aca="false">Brownsville!O49+Caledonia!O51+'New Albany'!O51+Calvert!O51+Wheatland!O51+Wilton!O51</f>
        <v>-7445.14238527983</v>
      </c>
      <c r="O50" s="329" t="n">
        <f aca="false">Brownsville!P49+Caledonia!P51+'New Albany'!P51+Calvert!P51+Wheatland!P51+Wilton!P51</f>
        <v>-7739.41779351886</v>
      </c>
      <c r="P50" s="329" t="n">
        <f aca="false">Brownsville!Q49+Caledonia!Q51+'New Albany'!Q51+Calvert!Q51+Wheatland!Q51+Wilton!Q51</f>
        <v>-8253.49345481573</v>
      </c>
      <c r="Q50" s="329" t="n">
        <f aca="false">Brownsville!R49+Caledonia!R51+'New Albany'!R51+Calvert!R51+Wheatland!R51+Wilton!R51</f>
        <v>-8623.57063627406</v>
      </c>
      <c r="R50" s="329" t="n">
        <f aca="false">Brownsville!S49+Caledonia!S51+'New Albany'!S51+Calvert!S51+Wheatland!S51+Wilton!S51</f>
        <v>-8978.52532369413</v>
      </c>
      <c r="S50" s="329" t="n">
        <f aca="false">Brownsville!T49+Caledonia!T51+'New Albany'!T51+Calvert!T51+Wheatland!T51+Wilton!T51</f>
        <v>-9358.09423263622</v>
      </c>
      <c r="T50" s="329" t="n">
        <f aca="false">Brownsville!U49+Caledonia!U51+'New Albany'!U51+Calvert!U51+Wheatland!U51+Wilton!U51</f>
        <v>-9777.47902102265</v>
      </c>
      <c r="U50" s="329" t="n">
        <f aca="false">Brownsville!V49+Caledonia!V51+'New Albany'!V51+Calvert!V51+Wheatland!V51+Wilton!V51</f>
        <v>-10209.1740677049</v>
      </c>
      <c r="V50" s="329" t="n">
        <f aca="false">Brownsville!W49+Caledonia!W51+'New Albany'!W51+Calvert!W51+Wheatland!W51+Wilton!W51</f>
        <v>-10636.57478336</v>
      </c>
      <c r="W50" s="329" t="n">
        <f aca="false">Brownsville!X49+Caledonia!X51+'New Albany'!X51+Calvert!X51+Wheatland!X51+Wilton!X51</f>
        <v>-11022.1582182775</v>
      </c>
      <c r="X50" s="329" t="n">
        <f aca="false">Brownsville!Y49+Caledonia!Y51+'New Albany'!Y51+Calvert!Y51+Wheatland!Y51+Wilton!Y51</f>
        <v>-11229.2254620892</v>
      </c>
      <c r="Y50" s="329" t="n">
        <f aca="false">Brownsville!Z49+Caledonia!Z51+'New Albany'!Z51+Calvert!Z51+Wheatland!Z51+Wilton!Z51</f>
        <v>-11524.3599274691</v>
      </c>
      <c r="Z50" s="330"/>
      <c r="AA50" s="330"/>
    </row>
    <row r="51" customFormat="false" ht="12.75" hidden="false" customHeight="false" outlineLevel="0" collapsed="false">
      <c r="A51" s="327" t="s">
        <v>295</v>
      </c>
      <c r="D51" s="329" t="n">
        <f aca="false">(Brownsville!E50+Caledonia!E52+'New Albany'!E52+Calvert!E52+Wheatland!E52+Wilton!E52)</f>
        <v>0</v>
      </c>
      <c r="E51" s="329" t="n">
        <f aca="false">Brownsville!F50+Caledonia!F52+'New Albany'!F52+Calvert!F52+Wheatland!F52+Wilton!F52</f>
        <v>-3671.51004488172</v>
      </c>
      <c r="F51" s="329" t="n">
        <f aca="false">Brownsville!G50+Caledonia!G52+'New Albany'!G52+Calvert!G52+Wheatland!G52+Wilton!G52</f>
        <v>-5695.94061762427</v>
      </c>
      <c r="G51" s="329" t="n">
        <f aca="false">Brownsville!H50+Caledonia!H52+'New Albany'!H52+Calvert!H52+Wheatland!H52+Wilton!H52</f>
        <v>-6261.91624551884</v>
      </c>
      <c r="H51" s="329" t="n">
        <f aca="false">Brownsville!I50+Caledonia!I52+'New Albany'!I52+Calvert!I52+Wheatland!I52+Wilton!I52</f>
        <v>-28621.6320282648</v>
      </c>
      <c r="I51" s="329" t="n">
        <f aca="false">Brownsville!J50+Caledonia!J52+'New Albany'!J52+Calvert!J52+Wheatland!J52+Wilton!J52</f>
        <v>-29906.425882582</v>
      </c>
      <c r="J51" s="329" t="n">
        <f aca="false">Brownsville!K50+Caledonia!K52+'New Albany'!K52+Calvert!K52+Wheatland!K52+Wilton!K52</f>
        <v>-31851.4189231274</v>
      </c>
      <c r="K51" s="329" t="n">
        <f aca="false">Brownsville!L50+Caledonia!L52+'New Albany'!L52+Calvert!L52+Wheatland!L52+Wilton!L52</f>
        <v>-33125.2369132399</v>
      </c>
      <c r="L51" s="329" t="n">
        <f aca="false">Brownsville!M50+Caledonia!M52+'New Albany'!M52+Calvert!M52+Wheatland!M52+Wilton!M52</f>
        <v>-35589.8909786959</v>
      </c>
      <c r="M51" s="329" t="n">
        <f aca="false">Brownsville!N50+Caledonia!N52+'New Albany'!N52+Calvert!N52+Wheatland!N52+Wilton!N52</f>
        <v>-37399.6187155218</v>
      </c>
      <c r="N51" s="329" t="n">
        <f aca="false">Brownsville!O50+Caledonia!O52+'New Albany'!O52+Calvert!O52+Wheatland!O52+Wilton!O52</f>
        <v>-40345.8411273898</v>
      </c>
      <c r="O51" s="329" t="n">
        <f aca="false">Brownsville!P50+Caledonia!P52+'New Albany'!P52+Calvert!P52+Wheatland!P52+Wilton!P52</f>
        <v>-41844.6260799637</v>
      </c>
      <c r="P51" s="329" t="n">
        <f aca="false">Brownsville!Q50+Caledonia!Q52+'New Albany'!Q52+Calvert!Q52+Wheatland!Q52+Wilton!Q52</f>
        <v>-44606.3065303143</v>
      </c>
      <c r="Q51" s="329" t="n">
        <f aca="false">Brownsville!R50+Caledonia!R52+'New Albany'!R52+Calvert!R52+Wheatland!R52+Wilton!R52</f>
        <v>-46614.9445703028</v>
      </c>
      <c r="R51" s="329" t="n">
        <f aca="false">Brownsville!S50+Caledonia!S52+'New Albany'!S52+Calvert!S52+Wheatland!S52+Wilton!S52</f>
        <v>-48470.4653917993</v>
      </c>
      <c r="S51" s="329" t="n">
        <f aca="false">Brownsville!T50+Caledonia!T52+'New Albany'!T52+Calvert!T52+Wheatland!T52+Wilton!T52</f>
        <v>-50526.67371292</v>
      </c>
      <c r="T51" s="329" t="n">
        <f aca="false">Brownsville!U50+Caledonia!U52+'New Albany'!U52+Calvert!U52+Wheatland!U52+Wilton!U52</f>
        <v>-52803.4302482206</v>
      </c>
      <c r="U51" s="329" t="n">
        <f aca="false">Brownsville!V50+Caledonia!V52+'New Albany'!V52+Calvert!V52+Wheatland!V52+Wilton!V52</f>
        <v>-55148.5902506878</v>
      </c>
      <c r="V51" s="329" t="n">
        <f aca="false">Brownsville!W50+Caledonia!W52+'New Albany'!W52+Calvert!W52+Wheatland!W52+Wilton!W52</f>
        <v>-57467.2138280094</v>
      </c>
      <c r="W51" s="329" t="n">
        <f aca="false">Brownsville!X50+Caledonia!X52+'New Albany'!X52+Calvert!X52+Wheatland!X52+Wilton!X52</f>
        <v>-59550.6609714515</v>
      </c>
      <c r="X51" s="329" t="n">
        <f aca="false">Brownsville!Y50+Caledonia!Y52+'New Albany'!Y52+Calvert!Y52+Wheatland!Y52+Wilton!Y52</f>
        <v>-60657.8716507362</v>
      </c>
      <c r="Y51" s="329" t="n">
        <f aca="false">Brownsville!Z50+Caledonia!Z52+'New Albany'!Z52+Calvert!Z52+Wheatland!Z52+Wilton!Z52</f>
        <v>-62377.2237919641</v>
      </c>
      <c r="Z51" s="330"/>
      <c r="AA51" s="330"/>
    </row>
    <row r="52" customFormat="false" ht="12.75" hidden="false" customHeight="false" outlineLevel="0" collapsed="false">
      <c r="A52" s="78"/>
      <c r="D52" s="324"/>
      <c r="E52" s="324"/>
      <c r="F52" s="324"/>
      <c r="G52" s="324"/>
      <c r="H52" s="324"/>
      <c r="I52" s="324"/>
      <c r="J52" s="324"/>
      <c r="K52" s="324"/>
      <c r="L52" s="324"/>
      <c r="M52" s="324"/>
      <c r="N52" s="324"/>
      <c r="O52" s="324"/>
      <c r="P52" s="324"/>
      <c r="Q52" s="324"/>
      <c r="R52" s="324"/>
      <c r="S52" s="324"/>
      <c r="T52" s="324"/>
      <c r="U52" s="324"/>
      <c r="V52" s="324"/>
      <c r="W52" s="324"/>
      <c r="X52" s="324"/>
      <c r="Y52" s="324"/>
      <c r="Z52" s="325"/>
      <c r="AA52" s="325"/>
    </row>
    <row r="53" customFormat="false" ht="15.75" hidden="false" customHeight="false" outlineLevel="0" collapsed="false">
      <c r="A53" s="344" t="s">
        <v>296</v>
      </c>
      <c r="B53" s="345"/>
      <c r="C53" s="345"/>
      <c r="D53" s="346" t="n">
        <f aca="false">D48+D50+D51</f>
        <v>0</v>
      </c>
      <c r="E53" s="346" t="n">
        <f aca="false">E48+E50+E51</f>
        <v>6818.51865478034</v>
      </c>
      <c r="F53" s="346" t="n">
        <f aca="false">F48+F50+F51</f>
        <v>10578.1754327308</v>
      </c>
      <c r="G53" s="346" t="n">
        <f aca="false">G48+G50+G51</f>
        <v>11629.2730273921</v>
      </c>
      <c r="H53" s="346" t="n">
        <f aca="false">H48+H50+H51</f>
        <v>53154.4594810632</v>
      </c>
      <c r="I53" s="346" t="n">
        <f aca="false">I48+I50+I51</f>
        <v>55540.5052105094</v>
      </c>
      <c r="J53" s="346" t="n">
        <f aca="false">J48+J50+J51</f>
        <v>59152.6351429509</v>
      </c>
      <c r="K53" s="346" t="n">
        <f aca="false">K48+K50+K51</f>
        <v>61518.2971245884</v>
      </c>
      <c r="L53" s="346" t="n">
        <f aca="false">L48+L50+L51</f>
        <v>66095.5118175781</v>
      </c>
      <c r="M53" s="346" t="n">
        <f aca="false">M48+M50+M51</f>
        <v>69456.4347573977</v>
      </c>
      <c r="N53" s="346" t="n">
        <f aca="false">N48+N50+N51</f>
        <v>74927.9906651524</v>
      </c>
      <c r="O53" s="346" t="n">
        <f aca="false">O48+O50+O51</f>
        <v>77711.4484342183</v>
      </c>
      <c r="P53" s="346" t="n">
        <f aca="false">P48+P50+P51</f>
        <v>82840.2835562981</v>
      </c>
      <c r="Q53" s="346" t="n">
        <f aca="false">Q48+Q50+Q51</f>
        <v>86570.6113448481</v>
      </c>
      <c r="R53" s="346" t="n">
        <f aca="false">R48+R50+R51</f>
        <v>90016.5785847701</v>
      </c>
      <c r="S53" s="346" t="n">
        <f aca="false">S48+S50+S51</f>
        <v>93835.2511811371</v>
      </c>
      <c r="T53" s="346" t="n">
        <f aca="false">T48+T50+T51</f>
        <v>98063.5133181241</v>
      </c>
      <c r="U53" s="346" t="n">
        <f aca="false">U48+U50+U51</f>
        <v>102418.810465563</v>
      </c>
      <c r="V53" s="346" t="n">
        <f aca="false">V48+V50+V51</f>
        <v>106724.825680589</v>
      </c>
      <c r="W53" s="346" t="n">
        <f aca="false">W48+W50+W51</f>
        <v>110594.084661267</v>
      </c>
      <c r="X53" s="346" t="n">
        <f aca="false">X48+X50+X51</f>
        <v>112650.333065653</v>
      </c>
      <c r="Y53" s="346" t="n">
        <f aca="false">Y48+Y50+Y51</f>
        <v>115843.415613648</v>
      </c>
      <c r="Z53" s="347"/>
      <c r="AA53" s="347"/>
    </row>
    <row r="55" customFormat="false" ht="12.75" hidden="false" customHeight="false" outlineLevel="0" collapsed="false">
      <c r="A55" s="348"/>
      <c r="B55" s="349"/>
      <c r="C55" s="349"/>
      <c r="D55" s="350"/>
    </row>
    <row r="56" customFormat="false" ht="12.75" hidden="false" customHeight="false" outlineLevel="0" collapsed="false">
      <c r="A56" s="351" t="s">
        <v>297</v>
      </c>
      <c r="B56" s="349"/>
      <c r="C56" s="349"/>
    </row>
    <row r="57" customFormat="false" ht="12.75" hidden="false" customHeight="false" outlineLevel="0" collapsed="false">
      <c r="A57" s="351" t="s">
        <v>298</v>
      </c>
      <c r="C57" s="316"/>
      <c r="D57" s="325"/>
      <c r="E57" s="325"/>
      <c r="F57" s="325"/>
      <c r="G57" s="325"/>
      <c r="H57" s="325"/>
      <c r="I57" s="325"/>
      <c r="J57" s="325"/>
      <c r="K57" s="325"/>
      <c r="L57" s="325"/>
      <c r="M57" s="325"/>
      <c r="N57" s="325"/>
      <c r="O57" s="325"/>
      <c r="P57" s="325"/>
      <c r="Q57" s="325"/>
      <c r="R57" s="325"/>
      <c r="S57" s="325"/>
      <c r="T57" s="325"/>
      <c r="U57" s="325"/>
      <c r="V57" s="325"/>
      <c r="W57" s="325"/>
      <c r="X57" s="325"/>
      <c r="Y57" s="325"/>
    </row>
    <row r="58" customFormat="false" ht="12.75" hidden="false" customHeight="false" outlineLevel="0" collapsed="false">
      <c r="A58" s="352" t="str">
        <f aca="false">"   The capitalized interest amounts in 1999 and 2000 are "&amp;ROUNDDOWN(-Debt!B136,-3)/1000&amp;","&amp;ROUND(-Debt!B136-ROUNDDOWN(-Debt!B136,-3),0)&amp;" and "&amp;ROUNDDOWN(-Debt!C136,-3)/1000&amp;","&amp;ROUND(-Debt!C136-ROUNDDOWN(-Debt!C136,-3),0)&amp;"."</f>
        <v>   The capitalized interest amounts in 1999 and 2000 are 0,0 and 18,15.</v>
      </c>
      <c r="C58" s="316"/>
      <c r="D58" s="353"/>
      <c r="E58" s="353"/>
      <c r="F58" s="353"/>
      <c r="G58" s="353"/>
      <c r="H58" s="353"/>
    </row>
    <row r="59" customFormat="false" ht="12.75" hidden="false" customHeight="false" outlineLevel="0" collapsed="false">
      <c r="C59" s="316"/>
      <c r="D59" s="354"/>
      <c r="E59" s="354"/>
      <c r="F59" s="354"/>
      <c r="G59" s="354"/>
      <c r="H59" s="354"/>
      <c r="I59" s="354"/>
      <c r="J59" s="354"/>
      <c r="K59" s="354"/>
      <c r="L59" s="354"/>
      <c r="M59" s="354"/>
      <c r="N59" s="354"/>
      <c r="O59" s="354"/>
      <c r="P59" s="354"/>
      <c r="Q59" s="354"/>
      <c r="R59" s="354"/>
      <c r="S59" s="354"/>
      <c r="T59" s="354"/>
      <c r="U59" s="354"/>
      <c r="V59" s="354"/>
      <c r="W59" s="354"/>
      <c r="X59" s="354"/>
      <c r="Y59" s="354"/>
    </row>
    <row r="60" customFormat="false" ht="12.75" hidden="false" customHeight="false" outlineLevel="0" collapsed="false">
      <c r="C60" s="316"/>
      <c r="D60" s="353"/>
      <c r="E60" s="353"/>
      <c r="F60" s="353"/>
      <c r="G60" s="353"/>
      <c r="H60" s="353"/>
    </row>
    <row r="61" customFormat="false" ht="12.75" hidden="false" customHeight="false" outlineLevel="0" collapsed="false">
      <c r="C61" s="316"/>
      <c r="D61" s="353"/>
      <c r="E61" s="353"/>
      <c r="F61" s="353"/>
      <c r="G61" s="353"/>
      <c r="H61" s="353"/>
    </row>
    <row r="62" customFormat="false" ht="12.75" hidden="false" customHeight="false" outlineLevel="0" collapsed="false">
      <c r="C62" s="316"/>
      <c r="D62" s="353"/>
      <c r="E62" s="353"/>
      <c r="F62" s="353"/>
      <c r="G62" s="353"/>
      <c r="H62" s="353"/>
    </row>
    <row r="63" customFormat="false" ht="12.75" hidden="false" customHeight="false" outlineLevel="0" collapsed="false">
      <c r="C63" s="316"/>
      <c r="D63" s="316"/>
      <c r="E63" s="316"/>
      <c r="F63" s="316"/>
      <c r="G63" s="316"/>
      <c r="H63" s="316"/>
    </row>
    <row r="64" customFormat="false" ht="12.75" hidden="false" customHeight="false" outlineLevel="0" collapsed="false">
      <c r="C64" s="355"/>
      <c r="D64" s="353"/>
      <c r="E64" s="353"/>
      <c r="F64" s="353"/>
      <c r="G64" s="353"/>
      <c r="H64" s="353"/>
    </row>
    <row r="65" customFormat="false" ht="12.75" hidden="false" customHeight="false" outlineLevel="0" collapsed="false">
      <c r="C65" s="355"/>
      <c r="D65" s="353"/>
      <c r="E65" s="353"/>
      <c r="F65" s="353"/>
      <c r="G65" s="353"/>
      <c r="H65" s="353"/>
    </row>
    <row r="66" customFormat="false" ht="12.75" hidden="false" customHeight="false" outlineLevel="0" collapsed="false">
      <c r="C66" s="355"/>
      <c r="D66" s="353"/>
      <c r="E66" s="353"/>
      <c r="F66" s="353"/>
      <c r="G66" s="353"/>
      <c r="H66" s="353"/>
    </row>
    <row r="67" customFormat="false" ht="12.75" hidden="false" customHeight="false" outlineLevel="0" collapsed="false">
      <c r="C67" s="355"/>
      <c r="D67" s="353"/>
      <c r="E67" s="353"/>
      <c r="F67" s="353"/>
      <c r="G67" s="353"/>
      <c r="H67" s="353"/>
    </row>
    <row r="68" customFormat="false" ht="12.75" hidden="false" customHeight="false" outlineLevel="0" collapsed="false">
      <c r="C68" s="355"/>
      <c r="D68" s="353"/>
      <c r="E68" s="353"/>
      <c r="F68" s="353"/>
      <c r="G68" s="353"/>
      <c r="H68" s="353"/>
    </row>
    <row r="69" customFormat="false" ht="12.75" hidden="false" customHeight="false" outlineLevel="0" collapsed="false">
      <c r="C69" s="316"/>
      <c r="D69" s="316"/>
      <c r="E69" s="316"/>
      <c r="F69" s="316"/>
      <c r="G69" s="316"/>
      <c r="H69" s="316"/>
    </row>
    <row r="70" customFormat="false" ht="12.75" hidden="false" customHeight="false" outlineLevel="0" collapsed="false">
      <c r="C70" s="316"/>
      <c r="D70" s="316"/>
      <c r="E70" s="316"/>
      <c r="F70" s="316"/>
      <c r="G70" s="316"/>
      <c r="H70" s="316"/>
    </row>
    <row r="71" customFormat="false" ht="12.75" hidden="false" customHeight="false" outlineLevel="0" collapsed="false">
      <c r="C71" s="316"/>
      <c r="D71" s="325"/>
      <c r="E71" s="325"/>
      <c r="F71" s="325"/>
      <c r="G71" s="325"/>
      <c r="H71" s="316"/>
    </row>
    <row r="72" customFormat="false" ht="12.75" hidden="false" customHeight="false" outlineLevel="0" collapsed="false">
      <c r="C72" s="316"/>
      <c r="D72" s="316"/>
      <c r="E72" s="316"/>
      <c r="F72" s="316"/>
      <c r="G72" s="316"/>
      <c r="H72" s="316"/>
    </row>
    <row r="73" customFormat="false" ht="12.75" hidden="false" customHeight="false" outlineLevel="0" collapsed="false">
      <c r="C73" s="316"/>
      <c r="D73" s="325"/>
      <c r="E73" s="316"/>
      <c r="F73" s="316"/>
      <c r="G73" s="316"/>
      <c r="H73" s="316"/>
    </row>
    <row r="74" customFormat="false" ht="12.75" hidden="false" customHeight="false" outlineLevel="0" collapsed="false">
      <c r="C74" s="316"/>
      <c r="D74" s="316"/>
      <c r="E74" s="316"/>
      <c r="F74" s="316"/>
      <c r="G74" s="316"/>
      <c r="H74" s="316"/>
    </row>
    <row r="75" customFormat="false" ht="12.75" hidden="false" customHeight="false" outlineLevel="0" collapsed="false">
      <c r="C75" s="316"/>
      <c r="D75" s="316"/>
      <c r="E75" s="316"/>
      <c r="F75" s="316"/>
      <c r="G75" s="316"/>
      <c r="H75" s="316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58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  <colBreaks count="1" manualBreakCount="1">
    <brk id="14" man="true" max="65535" min="0"/>
  </col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129"/>
  <sheetViews>
    <sheetView showFormulas="false" showGridLines="true" showRowColHeaders="true" showZeros="true" rightToLeft="false" tabSelected="false" showOutlineSymbols="true" defaultGridColor="true" view="normal" topLeftCell="M17" colorId="64" zoomScale="75" zoomScaleNormal="75" zoomScalePageLayoutView="100" workbookViewId="0">
      <selection pane="topLeft" activeCell="D51" activeCellId="0" sqref="D51:AA51"/>
    </sheetView>
  </sheetViews>
  <sheetFormatPr defaultColWidth="9.13671875" defaultRowHeight="12.75" customHeight="true" zeroHeight="false" outlineLevelRow="1" outlineLevelCol="0"/>
  <cols>
    <col collapsed="false" customWidth="true" hidden="false" outlineLevel="0" max="1" min="1" style="1" width="63.56"/>
    <col collapsed="false" customWidth="true" hidden="false" outlineLevel="0" max="2" min="2" style="1" width="12.99"/>
    <col collapsed="false" customWidth="true" hidden="false" outlineLevel="0" max="3" min="3" style="1" width="6.56"/>
    <col collapsed="false" customWidth="true" hidden="false" outlineLevel="0" max="4" min="4" style="1" width="14.14"/>
    <col collapsed="false" customWidth="true" hidden="false" outlineLevel="0" max="5" min="5" style="0" width="13.28"/>
    <col collapsed="false" customWidth="true" hidden="false" outlineLevel="0" max="6" min="6" style="1" width="12.99"/>
    <col collapsed="false" customWidth="true" hidden="false" outlineLevel="0" max="7" min="7" style="1" width="11.56"/>
    <col collapsed="false" customWidth="true" hidden="false" outlineLevel="0" max="10" min="8" style="1" width="11.13"/>
    <col collapsed="false" customWidth="true" hidden="false" outlineLevel="0" max="12" min="11" style="1" width="11.99"/>
    <col collapsed="false" customWidth="true" hidden="false" outlineLevel="0" max="13" min="13" style="1" width="12.7"/>
    <col collapsed="false" customWidth="true" hidden="false" outlineLevel="0" max="14" min="14" style="1" width="12.56"/>
    <col collapsed="false" customWidth="true" hidden="false" outlineLevel="0" max="15" min="15" style="1" width="12.7"/>
    <col collapsed="false" customWidth="true" hidden="false" outlineLevel="0" max="18" min="16" style="1" width="11.28"/>
    <col collapsed="false" customWidth="true" hidden="false" outlineLevel="0" max="19" min="19" style="1" width="11.85"/>
    <col collapsed="false" customWidth="true" hidden="false" outlineLevel="0" max="20" min="20" style="1" width="11.13"/>
    <col collapsed="false" customWidth="true" hidden="false" outlineLevel="0" max="21" min="21" style="1" width="11.85"/>
    <col collapsed="false" customWidth="true" hidden="false" outlineLevel="0" max="22" min="22" style="1" width="11.13"/>
    <col collapsed="false" customWidth="true" hidden="false" outlineLevel="0" max="23" min="23" style="1" width="11.56"/>
    <col collapsed="false" customWidth="true" hidden="false" outlineLevel="0" max="24" min="24" style="1" width="11.28"/>
    <col collapsed="false" customWidth="true" hidden="false" outlineLevel="0" max="26" min="25" style="1" width="11.56"/>
    <col collapsed="false" customWidth="true" hidden="false" outlineLevel="0" max="27" min="27" style="1" width="12.56"/>
    <col collapsed="false" customWidth="true" hidden="false" outlineLevel="0" max="28" min="28" style="70" width="12.7"/>
    <col collapsed="false" customWidth="true" hidden="false" outlineLevel="0" max="29" min="29" style="70" width="12.28"/>
    <col collapsed="false" customWidth="true" hidden="false" outlineLevel="0" max="30" min="30" style="70" width="13.85"/>
    <col collapsed="false" customWidth="true" hidden="false" outlineLevel="0" max="32" min="31" style="1" width="9.85"/>
    <col collapsed="false" customWidth="false" hidden="false" outlineLevel="0" max="33" min="33" style="1" width="9.14"/>
    <col collapsed="false" customWidth="true" hidden="false" outlineLevel="0" max="34" min="34" style="1" width="9.41"/>
    <col collapsed="false" customWidth="true" hidden="false" outlineLevel="0" max="35" min="35" style="1" width="9.85"/>
    <col collapsed="false" customWidth="false" hidden="false" outlineLevel="0" max="36" min="36" style="1" width="9.14"/>
    <col collapsed="false" customWidth="true" hidden="false" outlineLevel="0" max="37" min="37" style="1" width="9.41"/>
    <col collapsed="false" customWidth="true" hidden="false" outlineLevel="0" max="39" min="38" style="1" width="9.85"/>
    <col collapsed="false" customWidth="false" hidden="false" outlineLevel="0" max="41" min="40" style="1" width="9.14"/>
    <col collapsed="false" customWidth="true" hidden="false" outlineLevel="0" max="43" min="42" style="1" width="9.85"/>
    <col collapsed="false" customWidth="false" hidden="false" outlineLevel="0" max="85" min="44" style="1" width="9.14"/>
    <col collapsed="false" customWidth="true" hidden="false" outlineLevel="0" max="87" min="86" style="1" width="9.85"/>
    <col collapsed="false" customWidth="false" hidden="false" outlineLevel="0" max="257" min="88" style="1" width="9.14"/>
  </cols>
  <sheetData>
    <row r="2" customFormat="false" ht="18.75" hidden="false" customHeight="false" outlineLevel="0" collapsed="false">
      <c r="A2" s="317" t="s">
        <v>299</v>
      </c>
      <c r="B2" s="356"/>
    </row>
    <row r="5" customFormat="false" ht="18.75" hidden="false" customHeight="false" outlineLevel="0" collapsed="false">
      <c r="A5" s="14" t="s">
        <v>300</v>
      </c>
      <c r="B5" s="357"/>
    </row>
    <row r="6" customFormat="false" ht="12.75" hidden="false" customHeight="false" outlineLevel="0" collapsed="false">
      <c r="D6" s="1" t="s">
        <v>301</v>
      </c>
      <c r="G6" s="1" t="s">
        <v>302</v>
      </c>
      <c r="AB6" s="358"/>
      <c r="AC6" s="358"/>
    </row>
    <row r="7" customFormat="false" ht="13.5" hidden="false" customHeight="false" outlineLevel="1" collapsed="false">
      <c r="A7" s="319" t="s">
        <v>269</v>
      </c>
      <c r="B7" s="319"/>
      <c r="C7" s="359"/>
      <c r="D7" s="320" t="n">
        <v>1999</v>
      </c>
      <c r="E7" s="320" t="n">
        <v>2000</v>
      </c>
      <c r="F7" s="320" t="n">
        <v>2000</v>
      </c>
      <c r="G7" s="320" t="n">
        <f aca="false">D7+1</f>
        <v>2000</v>
      </c>
      <c r="H7" s="320" t="n">
        <f aca="false">G7+1</f>
        <v>2001</v>
      </c>
      <c r="I7" s="320" t="n">
        <f aca="false">H7+1</f>
        <v>2002</v>
      </c>
      <c r="J7" s="320" t="n">
        <f aca="false">I7+1</f>
        <v>2003</v>
      </c>
      <c r="K7" s="320" t="n">
        <f aca="false">J7+1</f>
        <v>2004</v>
      </c>
      <c r="L7" s="320" t="n">
        <f aca="false">K7+1</f>
        <v>2005</v>
      </c>
      <c r="M7" s="320" t="n">
        <f aca="false">L7+1</f>
        <v>2006</v>
      </c>
      <c r="N7" s="320" t="n">
        <f aca="false">M7+1</f>
        <v>2007</v>
      </c>
      <c r="O7" s="320" t="n">
        <f aca="false">N7+1</f>
        <v>2008</v>
      </c>
      <c r="P7" s="320" t="n">
        <f aca="false">O7+1</f>
        <v>2009</v>
      </c>
      <c r="Q7" s="320" t="n">
        <f aca="false">P7+1</f>
        <v>2010</v>
      </c>
      <c r="R7" s="320" t="n">
        <f aca="false">Q7+1</f>
        <v>2011</v>
      </c>
      <c r="S7" s="320" t="n">
        <f aca="false">R7+1</f>
        <v>2012</v>
      </c>
      <c r="T7" s="320" t="n">
        <f aca="false">S7+1</f>
        <v>2013</v>
      </c>
      <c r="U7" s="320" t="n">
        <f aca="false">T7+1</f>
        <v>2014</v>
      </c>
      <c r="V7" s="320" t="n">
        <f aca="false">U7+1</f>
        <v>2015</v>
      </c>
      <c r="W7" s="320" t="n">
        <f aca="false">V7+1</f>
        <v>2016</v>
      </c>
      <c r="X7" s="320" t="n">
        <f aca="false">W7+1</f>
        <v>2017</v>
      </c>
      <c r="Y7" s="320" t="n">
        <f aca="false">X7+1</f>
        <v>2018</v>
      </c>
      <c r="Z7" s="320" t="n">
        <f aca="false">Y7+1</f>
        <v>2019</v>
      </c>
      <c r="AA7" s="320" t="n">
        <f aca="false">Z7+1</f>
        <v>2020</v>
      </c>
      <c r="AB7" s="360" t="s">
        <v>159</v>
      </c>
      <c r="AC7" s="321"/>
    </row>
    <row r="8" customFormat="false" ht="12.75" hidden="false" customHeight="false" outlineLevel="1" collapsed="false">
      <c r="A8" s="361"/>
      <c r="B8" s="361"/>
      <c r="C8" s="322"/>
      <c r="D8" s="362" t="n">
        <v>36525</v>
      </c>
      <c r="E8" s="362" t="n">
        <v>36556</v>
      </c>
      <c r="F8" s="362" t="n">
        <v>36616</v>
      </c>
      <c r="G8" s="362" t="n">
        <v>36891</v>
      </c>
      <c r="H8" s="362" t="n">
        <v>37256</v>
      </c>
      <c r="I8" s="362" t="n">
        <v>37621</v>
      </c>
      <c r="J8" s="362" t="n">
        <v>37986</v>
      </c>
      <c r="K8" s="362" t="n">
        <v>38352</v>
      </c>
      <c r="L8" s="362" t="n">
        <v>38717</v>
      </c>
      <c r="M8" s="362" t="n">
        <v>39082</v>
      </c>
      <c r="N8" s="362" t="n">
        <v>39447</v>
      </c>
      <c r="O8" s="362" t="n">
        <v>39813</v>
      </c>
      <c r="P8" s="362" t="n">
        <v>40178</v>
      </c>
      <c r="Q8" s="362" t="n">
        <v>40543</v>
      </c>
      <c r="R8" s="362" t="n">
        <v>40908</v>
      </c>
      <c r="S8" s="362" t="n">
        <v>41274</v>
      </c>
      <c r="T8" s="362" t="n">
        <v>41639</v>
      </c>
      <c r="U8" s="362" t="n">
        <v>42004</v>
      </c>
      <c r="V8" s="362" t="n">
        <v>42369</v>
      </c>
      <c r="W8" s="362" t="n">
        <v>42735</v>
      </c>
      <c r="X8" s="362" t="n">
        <v>43100</v>
      </c>
      <c r="Y8" s="362" t="n">
        <v>43465</v>
      </c>
      <c r="Z8" s="362" t="n">
        <v>43830</v>
      </c>
      <c r="AA8" s="362" t="n">
        <v>44196</v>
      </c>
      <c r="AB8" s="363"/>
      <c r="AC8" s="321"/>
    </row>
    <row r="9" customFormat="false" ht="12.75" hidden="false" customHeight="false" outlineLevel="1" collapsed="false">
      <c r="A9" s="322"/>
      <c r="B9" s="322"/>
      <c r="C9" s="322"/>
      <c r="D9" s="321"/>
      <c r="E9" s="321"/>
      <c r="F9" s="364"/>
      <c r="G9" s="321"/>
      <c r="H9" s="321"/>
      <c r="I9" s="321"/>
      <c r="J9" s="321"/>
      <c r="K9" s="321"/>
      <c r="L9" s="364"/>
      <c r="M9" s="364"/>
      <c r="N9" s="365"/>
      <c r="O9" s="365"/>
      <c r="P9" s="364"/>
      <c r="Q9" s="364"/>
      <c r="R9" s="321"/>
      <c r="S9" s="321"/>
      <c r="T9" s="321"/>
      <c r="U9" s="321"/>
      <c r="V9" s="321"/>
      <c r="W9" s="321"/>
      <c r="X9" s="321"/>
      <c r="Y9" s="321"/>
      <c r="Z9" s="321"/>
      <c r="AA9" s="321"/>
      <c r="AB9" s="363"/>
      <c r="AC9" s="321"/>
    </row>
    <row r="10" customFormat="false" ht="12.75" hidden="false" customHeight="false" outlineLevel="0" collapsed="false">
      <c r="A10" s="366" t="s">
        <v>289</v>
      </c>
      <c r="B10" s="367"/>
      <c r="D10" s="102" t="n">
        <f aca="false">IS!D38</f>
        <v>0</v>
      </c>
      <c r="E10" s="102" t="n">
        <f aca="false">1/12*(Brownsville!F39+Caledonia!F39+'New Albany'!F39)</f>
        <v>4471.41794771421</v>
      </c>
      <c r="F10" s="102" t="n">
        <v>0</v>
      </c>
      <c r="G10" s="368" t="n">
        <f aca="false">(IS!E38-CF!E10)</f>
        <v>85244.4255187417</v>
      </c>
      <c r="H10" s="368" t="n">
        <f aca="false">IS!F38</f>
        <v>122372.11600516</v>
      </c>
      <c r="I10" s="368" t="n">
        <f aca="false">IS!G38</f>
        <v>121860.672632795</v>
      </c>
      <c r="J10" s="368" t="n">
        <f aca="false">IS!H38</f>
        <v>187651.640149133</v>
      </c>
      <c r="K10" s="368" t="n">
        <f aca="false">IS!I38</f>
        <v>190109.102175011</v>
      </c>
      <c r="L10" s="368" t="n">
        <f aca="false">IS!J38</f>
        <v>193591.992963032</v>
      </c>
      <c r="M10" s="368" t="n">
        <f aca="false">IS!K38</f>
        <v>194788.062797385</v>
      </c>
      <c r="N10" s="368" t="n">
        <f aca="false">IS!L38</f>
        <v>199203.15022056</v>
      </c>
      <c r="O10" s="368" t="n">
        <f aca="false">IS!M38</f>
        <v>201177.532601569</v>
      </c>
      <c r="P10" s="368" t="n">
        <f aca="false">IS!N38</f>
        <v>205855.995429301</v>
      </c>
      <c r="Q10" s="368" t="n">
        <f aca="false">IS!O38</f>
        <v>206645.906238297</v>
      </c>
      <c r="R10" s="368" t="n">
        <f aca="false">IS!P38</f>
        <v>211414.538031109</v>
      </c>
      <c r="S10" s="368" t="n">
        <f aca="false">IS!Q38</f>
        <v>213506.786652741</v>
      </c>
      <c r="T10" s="368" t="n">
        <f aca="false">IS!R38</f>
        <v>214835.547615443</v>
      </c>
      <c r="U10" s="368" t="n">
        <f aca="false">IS!S38</f>
        <v>216468.363466035</v>
      </c>
      <c r="V10" s="368" t="n">
        <f aca="false">IS!T38</f>
        <v>218387.20496215</v>
      </c>
      <c r="W10" s="368" t="n">
        <f aca="false">IS!U38</f>
        <v>220305.410284444</v>
      </c>
      <c r="X10" s="368" t="n">
        <f aca="false">IS!V38</f>
        <v>222191.208984475</v>
      </c>
      <c r="Y10" s="368" t="n">
        <f aca="false">IS!W38</f>
        <v>223808.309370617</v>
      </c>
      <c r="Z10" s="368" t="n">
        <f aca="false">IS!X38</f>
        <v>223087.610196391</v>
      </c>
      <c r="AA10" s="368" t="n">
        <f aca="false">IS!Y38</f>
        <v>226027.72698456</v>
      </c>
      <c r="AB10" s="369" t="n">
        <f aca="false">SUM(D10:AA10)</f>
        <v>4103004.72122666</v>
      </c>
      <c r="AC10" s="102"/>
      <c r="AD10" s="0"/>
      <c r="AE10" s="0"/>
      <c r="AF10" s="0"/>
    </row>
    <row r="12" customFormat="false" ht="12.75" hidden="false" customHeight="false" outlineLevel="0" collapsed="false">
      <c r="A12" s="367" t="s">
        <v>303</v>
      </c>
      <c r="B12" s="367"/>
      <c r="D12" s="102" t="n">
        <v>0</v>
      </c>
      <c r="E12" s="370" t="n">
        <f aca="false">-SUM(E10,E13:E16)</f>
        <v>-1147.62556847617</v>
      </c>
      <c r="F12" s="102" t="n">
        <v>0</v>
      </c>
      <c r="G12" s="102" t="n">
        <f aca="false">IRR!G10</f>
        <v>0</v>
      </c>
      <c r="H12" s="102" t="n">
        <v>0</v>
      </c>
      <c r="I12" s="102" t="n">
        <v>0</v>
      </c>
      <c r="J12" s="102" t="n">
        <v>0</v>
      </c>
      <c r="K12" s="102" t="n">
        <v>0</v>
      </c>
      <c r="L12" s="102" t="n">
        <v>0</v>
      </c>
      <c r="M12" s="102" t="n">
        <v>0</v>
      </c>
      <c r="N12" s="102" t="n">
        <v>0</v>
      </c>
      <c r="O12" s="102" t="n">
        <v>0</v>
      </c>
      <c r="P12" s="102" t="n">
        <v>0</v>
      </c>
      <c r="Q12" s="102" t="n">
        <v>0</v>
      </c>
      <c r="R12" s="102" t="n">
        <v>0</v>
      </c>
      <c r="S12" s="102" t="n">
        <v>0</v>
      </c>
      <c r="T12" s="102" t="n">
        <v>0</v>
      </c>
      <c r="U12" s="102" t="n">
        <v>0</v>
      </c>
      <c r="V12" s="102" t="n">
        <v>0</v>
      </c>
      <c r="W12" s="102" t="n">
        <v>0</v>
      </c>
      <c r="X12" s="102" t="n">
        <v>0</v>
      </c>
      <c r="Y12" s="102" t="n">
        <v>0</v>
      </c>
      <c r="Z12" s="102" t="n">
        <v>0</v>
      </c>
      <c r="AA12" s="102" t="n">
        <v>0</v>
      </c>
      <c r="AB12" s="371" t="n">
        <f aca="false">SUM(D12:AA12)</f>
        <v>-1147.62556847617</v>
      </c>
      <c r="AC12" s="102"/>
      <c r="AD12" s="0"/>
      <c r="AE12" s="0"/>
      <c r="AF12" s="0"/>
    </row>
    <row r="13" customFormat="false" ht="12.75" hidden="false" customHeight="false" outlineLevel="0" collapsed="false">
      <c r="A13" s="367" t="s">
        <v>304</v>
      </c>
      <c r="B13" s="367"/>
      <c r="C13" s="1" t="str">
        <f aca="false">IF(D13-Debt!B102&gt;1,"CHECK","")</f>
        <v/>
      </c>
      <c r="D13" s="370" t="n">
        <f aca="false">-D10</f>
        <v>-0</v>
      </c>
      <c r="E13" s="372" t="n">
        <f aca="false">-D13</f>
        <v>0</v>
      </c>
      <c r="F13" s="102" t="n">
        <v>0</v>
      </c>
      <c r="G13" s="102" t="n">
        <v>0</v>
      </c>
      <c r="H13" s="102" t="n">
        <v>0</v>
      </c>
      <c r="I13" s="102" t="n">
        <v>0</v>
      </c>
      <c r="J13" s="102" t="n">
        <v>0</v>
      </c>
      <c r="K13" s="102" t="n">
        <v>0</v>
      </c>
      <c r="L13" s="102" t="n">
        <v>0</v>
      </c>
      <c r="M13" s="102" t="n">
        <v>0</v>
      </c>
      <c r="N13" s="102" t="n">
        <v>0</v>
      </c>
      <c r="O13" s="102" t="n">
        <v>0</v>
      </c>
      <c r="P13" s="102" t="n">
        <v>0</v>
      </c>
      <c r="Q13" s="102" t="n">
        <v>0</v>
      </c>
      <c r="R13" s="102" t="n">
        <v>0</v>
      </c>
      <c r="S13" s="102" t="n">
        <v>0</v>
      </c>
      <c r="T13" s="102" t="n">
        <v>0</v>
      </c>
      <c r="U13" s="102" t="n">
        <v>0</v>
      </c>
      <c r="V13" s="102" t="n">
        <v>0</v>
      </c>
      <c r="W13" s="102" t="n">
        <v>0</v>
      </c>
      <c r="X13" s="102" t="n">
        <v>0</v>
      </c>
      <c r="Y13" s="102" t="n">
        <v>0</v>
      </c>
      <c r="Z13" s="102" t="n">
        <v>0</v>
      </c>
      <c r="AA13" s="102" t="n">
        <v>0</v>
      </c>
      <c r="AB13" s="371" t="n">
        <f aca="false">SUM(D13:AA13)</f>
        <v>0</v>
      </c>
      <c r="AC13" s="102"/>
      <c r="AD13" s="0"/>
      <c r="AE13" s="0"/>
      <c r="AF13" s="0"/>
    </row>
    <row r="14" customFormat="false" ht="12.75" hidden="false" customHeight="false" outlineLevel="0" collapsed="false">
      <c r="A14" s="367" t="s">
        <v>305</v>
      </c>
      <c r="B14" s="367"/>
      <c r="D14" s="102" t="n">
        <v>0</v>
      </c>
      <c r="E14" s="102" t="n">
        <f aca="false">-Debt!B138</f>
        <v>3218.41178742862</v>
      </c>
      <c r="F14" s="102" t="n">
        <v>0</v>
      </c>
      <c r="G14" s="102" t="n">
        <f aca="false">-Debt!C104-E14</f>
        <v>14796.1829139467</v>
      </c>
      <c r="H14" s="102" t="n">
        <v>0</v>
      </c>
      <c r="I14" s="102" t="n">
        <v>0</v>
      </c>
      <c r="J14" s="102" t="n">
        <v>0</v>
      </c>
      <c r="K14" s="102" t="n">
        <v>0</v>
      </c>
      <c r="L14" s="102" t="n">
        <v>0</v>
      </c>
      <c r="M14" s="102" t="n">
        <v>0</v>
      </c>
      <c r="N14" s="102" t="n">
        <v>0</v>
      </c>
      <c r="O14" s="102" t="n">
        <v>0</v>
      </c>
      <c r="P14" s="102" t="n">
        <v>0</v>
      </c>
      <c r="Q14" s="102" t="n">
        <v>0</v>
      </c>
      <c r="R14" s="102" t="n">
        <v>0</v>
      </c>
      <c r="S14" s="102" t="n">
        <v>0</v>
      </c>
      <c r="T14" s="102" t="n">
        <v>0</v>
      </c>
      <c r="U14" s="102" t="n">
        <v>0</v>
      </c>
      <c r="V14" s="102" t="n">
        <v>0</v>
      </c>
      <c r="W14" s="102" t="n">
        <v>0</v>
      </c>
      <c r="X14" s="102" t="n">
        <v>0</v>
      </c>
      <c r="Y14" s="102" t="n">
        <v>0</v>
      </c>
      <c r="Z14" s="102" t="n">
        <v>0</v>
      </c>
      <c r="AA14" s="102" t="n">
        <v>0</v>
      </c>
      <c r="AB14" s="371" t="n">
        <f aca="false">SUM(D14:AA14)</f>
        <v>18014.5947013754</v>
      </c>
      <c r="AC14" s="102"/>
      <c r="AD14" s="0"/>
      <c r="AE14" s="0"/>
      <c r="AF14" s="0"/>
    </row>
    <row r="15" customFormat="false" ht="12.75" hidden="false" customHeight="false" outlineLevel="0" collapsed="false">
      <c r="A15" s="367" t="s">
        <v>306</v>
      </c>
      <c r="B15" s="367"/>
      <c r="D15" s="102" t="n">
        <v>0</v>
      </c>
      <c r="E15" s="368" t="n">
        <f aca="false">-Debt!C31-Debt!B41-Debt!C54-Debt!B64-Debt!C77-Debt!B87</f>
        <v>-722.25</v>
      </c>
      <c r="F15" s="102" t="n">
        <v>0</v>
      </c>
      <c r="G15" s="368" t="n">
        <f aca="false">-(Debt!C36+Debt!C59+Debt!C82)</f>
        <v>-7944.75</v>
      </c>
      <c r="H15" s="368" t="n">
        <f aca="false">-(Debt!D31+Debt!D36+Debt!D54+Debt!D59+Debt!D77+Debt!D82)</f>
        <v>-25677</v>
      </c>
      <c r="I15" s="368" t="n">
        <f aca="false">-(Debt!E31+Debt!E36+Debt!E54+Debt!E59+Debt!E77+Debt!E82)</f>
        <v>-27297</v>
      </c>
      <c r="J15" s="368" t="n">
        <f aca="false">-(Debt!F31+Debt!F36+Debt!F54+Debt!F59+Debt!F77+Debt!F82)</f>
        <v>-19359</v>
      </c>
      <c r="K15" s="368" t="n">
        <f aca="false">-(Debt!G31+Debt!G36+Debt!G54+Debt!G59+Debt!G77+Debt!G82)</f>
        <v>-21631</v>
      </c>
      <c r="L15" s="368" t="n">
        <f aca="false">-(Debt!H31+Debt!H36+Debt!H54+Debt!H59+Debt!H77+Debt!H82)</f>
        <v>-25414</v>
      </c>
      <c r="M15" s="368" t="n">
        <f aca="false">-(Debt!I31+Debt!I36+Debt!I54+Debt!I59+Debt!I77+Debt!I82)</f>
        <v>-28518</v>
      </c>
      <c r="N15" s="368" t="n">
        <f aca="false">-(Debt!J31+Debt!J36+Debt!J54+Debt!J59+Debt!J77+Debt!J82)</f>
        <v>-33368</v>
      </c>
      <c r="O15" s="368" t="n">
        <f aca="false">-(Debt!K31+Debt!K36+Debt!K54+Debt!K59+Debt!K77+Debt!K82)</f>
        <v>-37830</v>
      </c>
      <c r="P15" s="368" t="n">
        <f aca="false">-(Debt!L31+Debt!L36+Debt!L54+Debt!L59+Debt!L77+Debt!L82)</f>
        <v>-47239</v>
      </c>
      <c r="Q15" s="368" t="n">
        <f aca="false">-(Debt!M31+Debt!M36+Debt!M54+Debt!M59+Debt!M77+Debt!M82)</f>
        <v>-32430.2403576811</v>
      </c>
      <c r="R15" s="368" t="n">
        <f aca="false">-(Debt!N31+Debt!N36+Debt!N54+Debt!N59+Debt!N77+Debt!N82)</f>
        <v>-36050.7079129103</v>
      </c>
      <c r="S15" s="368" t="n">
        <f aca="false">-(Debt!O31+Debt!O36+Debt!O54+Debt!O59+Debt!O77+Debt!O82)</f>
        <v>-39714.8624551058</v>
      </c>
      <c r="T15" s="368" t="n">
        <f aca="false">-(Debt!P31+Debt!P36+Debt!P54+Debt!P59+Debt!P77+Debt!P82)</f>
        <v>-42351.698424626</v>
      </c>
      <c r="U15" s="368" t="n">
        <f aca="false">-(Debt!Q31+Debt!Q36+Debt!Q54+Debt!Q59+Debt!Q77+Debt!Q82)</f>
        <v>-45258.7551361017</v>
      </c>
      <c r="V15" s="368" t="n">
        <f aca="false">-(Debt!R31+Debt!R36+Debt!R54+Debt!R59+Debt!R77+Debt!R82)</f>
        <v>-49324.0766421791</v>
      </c>
      <c r="W15" s="368" t="n">
        <f aca="false">-(Debt!S31+Debt!S36+Debt!S54+Debt!S59+Debt!S77+Debt!S82)</f>
        <v>-50286.8865609598</v>
      </c>
      <c r="X15" s="368" t="n">
        <f aca="false">-(Debt!T31+Debt!T36+Debt!T54+Debt!T59+Debt!T77+Debt!T82)</f>
        <v>-49119.7211848576</v>
      </c>
      <c r="Y15" s="368" t="n">
        <f aca="false">-(Debt!U31+Debt!U36+Debt!U54+Debt!U59+Debt!U77+Debt!U82)</f>
        <v>-43305.8198996042</v>
      </c>
      <c r="Z15" s="368" t="n">
        <f aca="false">-(Debt!V31+Debt!V36+Debt!V54+Debt!V59+Debt!V77+Debt!V82)</f>
        <v>-37157.2314259745</v>
      </c>
      <c r="AA15" s="102" t="n">
        <f aca="false">-(Debt!W31+Debt!W36+Debt!W54+Debt!W59+Debt!W77+Debt!W82)</f>
        <v>-0</v>
      </c>
      <c r="AB15" s="371" t="n">
        <f aca="false">SUM(D15:AA15)</f>
        <v>-700000</v>
      </c>
      <c r="AC15" s="373"/>
      <c r="AD15" s="0"/>
      <c r="AE15" s="0"/>
      <c r="AF15" s="0"/>
    </row>
    <row r="16" customFormat="false" ht="12.75" hidden="false" customHeight="false" outlineLevel="0" collapsed="false">
      <c r="A16" s="367" t="s">
        <v>307</v>
      </c>
      <c r="B16" s="367"/>
      <c r="D16" s="374" t="n">
        <v>0</v>
      </c>
      <c r="E16" s="375" t="n">
        <f aca="false">-Debt!B42-Debt!C32-Debt!B65-Debt!C55-Debt!B88-Debt!C78</f>
        <v>-5819.95416666667</v>
      </c>
      <c r="F16" s="374" t="n">
        <v>0</v>
      </c>
      <c r="G16" s="375" t="n">
        <f aca="false">-Debt!C37-Debt!C60-Debt!C83</f>
        <v>-34890.1488625</v>
      </c>
      <c r="H16" s="375" t="n">
        <f aca="false">-(Debt!D45+Debt!D68+Debt!D91)</f>
        <v>-68647.69750625</v>
      </c>
      <c r="I16" s="375" t="n">
        <f aca="false">-(Debt!E45+Debt!E68+Debt!E91)</f>
        <v>-66467.770325</v>
      </c>
      <c r="J16" s="375" t="n">
        <f aca="false">-(Debt!F45+Debt!F68+Debt!F91)</f>
        <v>-63998.30105</v>
      </c>
      <c r="K16" s="375" t="n">
        <f aca="false">-(Debt!G45+Debt!G68+Debt!G91)</f>
        <v>-62767.52225</v>
      </c>
      <c r="L16" s="375" t="n">
        <f aca="false">-(Debt!H45+Debt!H68+Debt!H91)</f>
        <v>-60485.4566</v>
      </c>
      <c r="M16" s="375" t="n">
        <f aca="false">-(Debt!I45+Debt!I68+Debt!I91)</f>
        <v>-57939.7886</v>
      </c>
      <c r="N16" s="375" t="n">
        <f aca="false">-(Debt!J45+Debt!J68+Debt!J91)</f>
        <v>-55049.984</v>
      </c>
      <c r="O16" s="375" t="n">
        <f aca="false">-(Debt!K45+Debt!K68+Debt!K91)</f>
        <v>-51698.1878</v>
      </c>
      <c r="P16" s="375" t="n">
        <f aca="false">-(Debt!L45+Debt!L68+Debt!L91)</f>
        <v>-44096.7439333333</v>
      </c>
      <c r="Q16" s="375" t="n">
        <f aca="false">-(Debt!M45+Debt!M68+Debt!M91)</f>
        <v>-47198.4552713357</v>
      </c>
      <c r="R16" s="375" t="n">
        <f aca="false">-(Debt!N45+Debt!N68+Debt!N91)</f>
        <v>-40024.1815759979</v>
      </c>
      <c r="S16" s="375" t="n">
        <f aca="false">-(Debt!O45+Debt!O68+Debt!O91)</f>
        <v>-36166.7015736662</v>
      </c>
      <c r="T16" s="375" t="n">
        <f aca="false">-(Debt!P45+Debt!P68+Debt!P91)</f>
        <v>-31953.6672181211</v>
      </c>
      <c r="U16" s="375" t="n">
        <f aca="false">-(Debt!Q45+Debt!Q68+Debt!Q91)</f>
        <v>-27458.4296455507</v>
      </c>
      <c r="V16" s="375" t="n">
        <f aca="false">-(Debt!R45+Debt!R68+Debt!R91)</f>
        <v>-22629.6244723087</v>
      </c>
      <c r="W16" s="375" t="n">
        <f aca="false">-(Debt!S45+Debt!S68+Debt!S91)</f>
        <v>-17457.5397709411</v>
      </c>
      <c r="X16" s="375" t="n">
        <f aca="false">-(Debt!T45+Debt!T68+Debt!T91)</f>
        <v>-12240.5515850541</v>
      </c>
      <c r="Y16" s="375" t="n">
        <f aca="false">-(Debt!U45+Debt!U68+Debt!U91)</f>
        <v>-7266.57882919321</v>
      </c>
      <c r="Z16" s="375" t="n">
        <f aca="false">-(Debt!V45+Debt!V68+Debt!V91)</f>
        <v>-2908.01782447533</v>
      </c>
      <c r="AA16" s="374" t="n">
        <f aca="false">-(Debt!W45+Debt!W68+Debt!W91)</f>
        <v>-0</v>
      </c>
      <c r="AB16" s="376" t="n">
        <f aca="false">SUM(D16:AA16)</f>
        <v>-817165.302860394</v>
      </c>
      <c r="AC16" s="102"/>
      <c r="AD16" s="0"/>
      <c r="AE16" s="0"/>
      <c r="AF16" s="0"/>
    </row>
    <row r="17" customFormat="false" ht="12.75" hidden="false" customHeight="false" outlineLevel="0" collapsed="false">
      <c r="A17" s="367"/>
      <c r="B17" s="367"/>
      <c r="D17" s="368"/>
      <c r="E17" s="372"/>
      <c r="F17" s="372"/>
      <c r="G17" s="368"/>
      <c r="H17" s="368"/>
      <c r="I17" s="368"/>
      <c r="J17" s="368"/>
      <c r="K17" s="368"/>
      <c r="L17" s="368"/>
      <c r="M17" s="368"/>
      <c r="N17" s="368"/>
      <c r="O17" s="368"/>
      <c r="P17" s="368"/>
      <c r="Q17" s="368"/>
      <c r="R17" s="368"/>
      <c r="S17" s="368"/>
      <c r="T17" s="368"/>
      <c r="U17" s="368"/>
      <c r="V17" s="368"/>
      <c r="W17" s="368"/>
      <c r="X17" s="368"/>
      <c r="Y17" s="368"/>
      <c r="Z17" s="368"/>
      <c r="AA17" s="368"/>
      <c r="AB17" s="369"/>
      <c r="AC17" s="102"/>
      <c r="AD17" s="0"/>
      <c r="AE17" s="0"/>
      <c r="AF17" s="0"/>
    </row>
    <row r="18" customFormat="false" ht="12.75" hidden="false" customHeight="false" outlineLevel="0" collapsed="false">
      <c r="A18" s="366" t="s">
        <v>308</v>
      </c>
      <c r="B18" s="366"/>
      <c r="D18" s="102" t="n">
        <f aca="false">SUM(D10:D16)</f>
        <v>0</v>
      </c>
      <c r="E18" s="102" t="n">
        <f aca="false">SUM(E10:E16)</f>
        <v>0</v>
      </c>
      <c r="F18" s="102" t="n">
        <f aca="false">SUM(F10:F16)</f>
        <v>0</v>
      </c>
      <c r="G18" s="377" t="n">
        <f aca="false">SUM(G10:G16)</f>
        <v>57205.7095701885</v>
      </c>
      <c r="H18" s="377" t="n">
        <f aca="false">SUM(H10:H16)</f>
        <v>28047.4184989096</v>
      </c>
      <c r="I18" s="377" t="n">
        <f aca="false">SUM(I10:I16)</f>
        <v>28095.902307795</v>
      </c>
      <c r="J18" s="377" t="n">
        <f aca="false">SUM(J10:J16)</f>
        <v>104294.339099133</v>
      </c>
      <c r="K18" s="377" t="n">
        <f aca="false">SUM(K10:K16)</f>
        <v>105710.579925011</v>
      </c>
      <c r="L18" s="377" t="n">
        <f aca="false">SUM(L10:L16)</f>
        <v>107692.536363032</v>
      </c>
      <c r="M18" s="377" t="n">
        <f aca="false">SUM(M10:M16)</f>
        <v>108330.274197385</v>
      </c>
      <c r="N18" s="377" t="n">
        <f aca="false">SUM(N10:N16)</f>
        <v>110785.16622056</v>
      </c>
      <c r="O18" s="377" t="n">
        <f aca="false">SUM(O10:O16)</f>
        <v>111649.344801569</v>
      </c>
      <c r="P18" s="377" t="n">
        <f aca="false">SUM(P10:P16)</f>
        <v>114520.251495968</v>
      </c>
      <c r="Q18" s="377" t="n">
        <f aca="false">SUM(Q10:Q16)</f>
        <v>127017.210609281</v>
      </c>
      <c r="R18" s="377" t="n">
        <f aca="false">SUM(R10:R16)</f>
        <v>135339.6485422</v>
      </c>
      <c r="S18" s="377" t="n">
        <f aca="false">SUM(S10:S16)</f>
        <v>137625.222623969</v>
      </c>
      <c r="T18" s="377" t="n">
        <f aca="false">SUM(T10:T16)</f>
        <v>140530.181972696</v>
      </c>
      <c r="U18" s="377" t="n">
        <f aca="false">SUM(U10:U16)</f>
        <v>143751.178684382</v>
      </c>
      <c r="V18" s="377" t="n">
        <f aca="false">SUM(V10:V16)</f>
        <v>146433.503847663</v>
      </c>
      <c r="W18" s="377" t="n">
        <f aca="false">SUM(W10:W16)</f>
        <v>152560.983952543</v>
      </c>
      <c r="X18" s="377" t="n">
        <f aca="false">SUM(X10:X16)</f>
        <v>160830.936214563</v>
      </c>
      <c r="Y18" s="377" t="n">
        <f aca="false">SUM(Y10:Y16)</f>
        <v>173235.91064182</v>
      </c>
      <c r="Z18" s="377" t="n">
        <f aca="false">SUM(Z10:Z16)</f>
        <v>183022.360945941</v>
      </c>
      <c r="AA18" s="377" t="n">
        <f aca="false">SUM(AA10:AA16)</f>
        <v>226027.72698456</v>
      </c>
      <c r="AB18" s="378" t="n">
        <f aca="false">SUM(D18:AA18)</f>
        <v>2602706.38749917</v>
      </c>
      <c r="AC18" s="379"/>
      <c r="AD18" s="0"/>
      <c r="AE18" s="0"/>
      <c r="AF18" s="0"/>
    </row>
    <row r="19" customFormat="false" ht="12.75" hidden="false" customHeight="false" outlineLevel="0" collapsed="false">
      <c r="A19" s="366"/>
      <c r="B19" s="366"/>
      <c r="D19" s="102"/>
      <c r="E19" s="102"/>
      <c r="F19" s="102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380"/>
      <c r="AD19" s="0"/>
      <c r="AE19" s="0"/>
      <c r="AF19" s="0"/>
    </row>
    <row r="20" customFormat="false" ht="12.75" hidden="false" customHeight="false" outlineLevel="0" collapsed="false">
      <c r="A20" s="367" t="s">
        <v>309</v>
      </c>
      <c r="B20" s="367"/>
      <c r="D20" s="102" t="n">
        <v>0</v>
      </c>
      <c r="E20" s="102" t="n">
        <v>0</v>
      </c>
      <c r="F20" s="102" t="n">
        <v>0</v>
      </c>
      <c r="G20" s="102" t="n">
        <v>0</v>
      </c>
      <c r="H20" s="102" t="n">
        <v>0</v>
      </c>
      <c r="I20" s="102" t="n">
        <v>0</v>
      </c>
      <c r="J20" s="102" t="n">
        <v>0</v>
      </c>
      <c r="K20" s="102" t="n">
        <v>0</v>
      </c>
      <c r="L20" s="102" t="n">
        <v>0</v>
      </c>
      <c r="M20" s="102" t="n">
        <v>0</v>
      </c>
      <c r="N20" s="102" t="n">
        <v>0</v>
      </c>
      <c r="O20" s="102" t="n">
        <v>0</v>
      </c>
      <c r="P20" s="102" t="n">
        <v>0</v>
      </c>
      <c r="Q20" s="102" t="n">
        <v>0</v>
      </c>
      <c r="R20" s="102" t="n">
        <v>0</v>
      </c>
      <c r="S20" s="102" t="n">
        <v>0</v>
      </c>
      <c r="T20" s="102" t="n">
        <v>0</v>
      </c>
      <c r="U20" s="102" t="n">
        <v>0</v>
      </c>
      <c r="V20" s="102" t="n">
        <v>0</v>
      </c>
      <c r="W20" s="102" t="n">
        <v>0</v>
      </c>
      <c r="X20" s="102" t="n">
        <v>0</v>
      </c>
      <c r="Y20" s="102" t="n">
        <v>0</v>
      </c>
      <c r="Z20" s="102" t="n">
        <v>0</v>
      </c>
      <c r="AA20" s="102" t="n">
        <v>0</v>
      </c>
      <c r="AB20" s="380"/>
      <c r="AD20" s="381"/>
      <c r="AE20" s="381"/>
      <c r="AF20" s="381"/>
    </row>
    <row r="21" customFormat="false" ht="12.75" hidden="false" customHeight="false" outlineLevel="0" collapsed="false">
      <c r="A21" s="366"/>
      <c r="B21" s="366"/>
      <c r="D21" s="102"/>
      <c r="E21" s="102"/>
      <c r="F21" s="102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380"/>
      <c r="AD21" s="0"/>
      <c r="AE21" s="0"/>
      <c r="AF21" s="0"/>
    </row>
    <row r="22" customFormat="false" ht="12.75" hidden="false" customHeight="false" outlineLevel="0" collapsed="false">
      <c r="A22" s="366" t="s">
        <v>310</v>
      </c>
      <c r="B22" s="366"/>
      <c r="D22" s="372" t="n">
        <f aca="false">D18+D20</f>
        <v>0</v>
      </c>
      <c r="E22" s="372" t="n">
        <f aca="false">E18+E20</f>
        <v>0</v>
      </c>
      <c r="F22" s="372" t="n">
        <f aca="false">F18+F20</f>
        <v>0</v>
      </c>
      <c r="G22" s="372" t="n">
        <f aca="false">G18+G20</f>
        <v>57205.7095701885</v>
      </c>
      <c r="H22" s="372" t="n">
        <f aca="false">H18+H20</f>
        <v>28047.4184989096</v>
      </c>
      <c r="I22" s="372" t="n">
        <f aca="false">I18+I20</f>
        <v>28095.902307795</v>
      </c>
      <c r="J22" s="372" t="n">
        <f aca="false">J18+J20</f>
        <v>104294.339099133</v>
      </c>
      <c r="K22" s="372" t="n">
        <f aca="false">K18+K20</f>
        <v>105710.579925011</v>
      </c>
      <c r="L22" s="372" t="n">
        <f aca="false">L18+L20</f>
        <v>107692.536363032</v>
      </c>
      <c r="M22" s="372" t="n">
        <f aca="false">M18+M20</f>
        <v>108330.274197385</v>
      </c>
      <c r="N22" s="372" t="n">
        <f aca="false">N18+N20</f>
        <v>110785.16622056</v>
      </c>
      <c r="O22" s="372" t="n">
        <f aca="false">O18+O20</f>
        <v>111649.344801569</v>
      </c>
      <c r="P22" s="372" t="n">
        <f aca="false">P18+P20</f>
        <v>114520.251495968</v>
      </c>
      <c r="Q22" s="372" t="n">
        <f aca="false">Q18+Q20</f>
        <v>127017.210609281</v>
      </c>
      <c r="R22" s="372" t="n">
        <f aca="false">R18+R20</f>
        <v>135339.6485422</v>
      </c>
      <c r="S22" s="372" t="n">
        <f aca="false">S18+S20</f>
        <v>137625.222623969</v>
      </c>
      <c r="T22" s="372" t="n">
        <f aca="false">T18+T20</f>
        <v>140530.181972696</v>
      </c>
      <c r="U22" s="372" t="n">
        <f aca="false">U18+U20</f>
        <v>143751.178684382</v>
      </c>
      <c r="V22" s="372" t="n">
        <f aca="false">V18+V20</f>
        <v>146433.503847663</v>
      </c>
      <c r="W22" s="372" t="n">
        <f aca="false">W18+W20</f>
        <v>152560.983952543</v>
      </c>
      <c r="X22" s="372" t="n">
        <f aca="false">X18+X20</f>
        <v>160830.936214563</v>
      </c>
      <c r="Y22" s="372" t="n">
        <f aca="false">Y18+Y20</f>
        <v>173235.91064182</v>
      </c>
      <c r="Z22" s="372" t="n">
        <f aca="false">Z18+Z20</f>
        <v>183022.360945941</v>
      </c>
      <c r="AA22" s="372" t="n">
        <f aca="false">AA18+AA20</f>
        <v>226027.72698456</v>
      </c>
      <c r="AB22" s="380"/>
      <c r="AD22" s="0"/>
      <c r="AE22" s="0"/>
      <c r="AF22" s="0"/>
    </row>
    <row r="23" customFormat="false" ht="12.75" hidden="false" customHeight="false" outlineLevel="0" collapsed="false">
      <c r="A23" s="366"/>
      <c r="B23" s="366"/>
      <c r="D23" s="102"/>
      <c r="E23" s="102"/>
      <c r="F23" s="102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380"/>
      <c r="AD23" s="0"/>
      <c r="AE23" s="0"/>
      <c r="AF23" s="0"/>
    </row>
    <row r="24" customFormat="false" ht="12.75" hidden="false" customHeight="false" outlineLevel="0" collapsed="false">
      <c r="A24" s="327" t="s">
        <v>311</v>
      </c>
      <c r="B24" s="366"/>
      <c r="D24" s="80" t="n">
        <f aca="false">-Tax!D28</f>
        <v>-0</v>
      </c>
      <c r="E24" s="102" t="n">
        <v>0</v>
      </c>
      <c r="F24" s="102" t="n">
        <v>0</v>
      </c>
      <c r="G24" s="80" t="n">
        <f aca="false">-Tax!E28</f>
        <v>-0</v>
      </c>
      <c r="H24" s="80" t="n">
        <f aca="false">-Tax!F28</f>
        <v>-0</v>
      </c>
      <c r="I24" s="80" t="n">
        <f aca="false">-Tax!G28</f>
        <v>-0</v>
      </c>
      <c r="J24" s="80" t="n">
        <f aca="false">-Tax!H28</f>
        <v>-0</v>
      </c>
      <c r="K24" s="80" t="n">
        <f aca="false">-Tax!I28</f>
        <v>-0</v>
      </c>
      <c r="L24" s="80" t="n">
        <f aca="false">-Tax!J28</f>
        <v>-0</v>
      </c>
      <c r="M24" s="80" t="n">
        <f aca="false">-Tax!K28</f>
        <v>-3938.59082758266</v>
      </c>
      <c r="N24" s="80" t="n">
        <f aca="false">-Tax!L28</f>
        <v>-4455.81110696776</v>
      </c>
      <c r="O24" s="80" t="n">
        <f aca="false">-Tax!M28</f>
        <v>-4799.07825255019</v>
      </c>
      <c r="P24" s="80" t="n">
        <f aca="false">-Tax!N28</f>
        <v>-5338.53242879743</v>
      </c>
      <c r="Q24" s="80" t="n">
        <f aca="false">-Tax!O28</f>
        <v>-5625.05197566131</v>
      </c>
      <c r="R24" s="80" t="n">
        <f aca="false">-Tax!P28</f>
        <v>-6130.30950255873</v>
      </c>
      <c r="S24" s="80" t="n">
        <f aca="false">-Tax!Q28</f>
        <v>-6510.30473251394</v>
      </c>
      <c r="T24" s="80" t="n">
        <f aca="false">-Tax!R28</f>
        <v>-6847.94014756573</v>
      </c>
      <c r="U24" s="80" t="n">
        <f aca="false">-Tax!S28</f>
        <v>-7236.80440253222</v>
      </c>
      <c r="V24" s="80" t="n">
        <f aca="false">-Tax!T28</f>
        <v>-9835.32026846987</v>
      </c>
      <c r="W24" s="80" t="n">
        <f aca="false">-Tax!U28</f>
        <v>-12446.5076774623</v>
      </c>
      <c r="X24" s="80" t="n">
        <f aca="false">-Tax!V28</f>
        <v>-12876.6437351208</v>
      </c>
      <c r="Y24" s="80" t="n">
        <f aca="false">-Tax!W28</f>
        <v>-13263.2449276026</v>
      </c>
      <c r="Z24" s="80" t="n">
        <f aca="false">-Tax!X28</f>
        <v>-13468.8287030611</v>
      </c>
      <c r="AA24" s="80" t="n">
        <f aca="false">-Tax!Y28</f>
        <v>-13786.4621002652</v>
      </c>
      <c r="AB24" s="380" t="n">
        <f aca="false">SUM(D24:AA24)</f>
        <v>-126559.430788712</v>
      </c>
      <c r="AD24" s="0"/>
      <c r="AE24" s="0"/>
      <c r="AF24" s="0"/>
    </row>
    <row r="25" customFormat="false" ht="12.75" hidden="false" customHeight="false" outlineLevel="0" collapsed="false">
      <c r="A25" s="327" t="s">
        <v>312</v>
      </c>
      <c r="B25" s="367"/>
      <c r="D25" s="375" t="n">
        <f aca="false">-Tax!D39</f>
        <v>-0</v>
      </c>
      <c r="E25" s="374" t="n">
        <f aca="false">(-Tax!E39*1/12)*Allocation!$I$10</f>
        <v>302.862314767295</v>
      </c>
      <c r="F25" s="382" t="n">
        <v>0</v>
      </c>
      <c r="G25" s="375" t="n">
        <f aca="false">(-Tax!E39*11/12)*Allocation!$I$10+(-Tax!E39)*Allocation!$I$15</f>
        <v>7827.59816047962</v>
      </c>
      <c r="H25" s="375" t="n">
        <f aca="false">-Tax!F39</f>
        <v>21444.3803370211</v>
      </c>
      <c r="I25" s="375" t="n">
        <f aca="false">-Tax!G39</f>
        <v>16819.7264808723</v>
      </c>
      <c r="J25" s="375" t="n">
        <f aca="false">-Tax!H39</f>
        <v>-10574.6540673677</v>
      </c>
      <c r="K25" s="375" t="n">
        <f aca="false">-Tax!I39</f>
        <v>-15200.3370925328</v>
      </c>
      <c r="L25" s="375" t="n">
        <f aca="false">-Tax!J39</f>
        <v>-20234.7852957112</v>
      </c>
      <c r="M25" s="375" t="n">
        <f aca="false">-Tax!K39</f>
        <v>-21606.7709626625</v>
      </c>
      <c r="N25" s="375" t="n">
        <f aca="false">-Tax!L39</f>
        <v>-24008.8749740622</v>
      </c>
      <c r="O25" s="375" t="n">
        <f aca="false">-Tax!M39</f>
        <v>-25858.4726753885</v>
      </c>
      <c r="P25" s="375" t="n">
        <f aca="false">-Tax!N39</f>
        <v>-28765.1685744814</v>
      </c>
      <c r="Q25" s="375" t="n">
        <f aca="false">-Tax!O39</f>
        <v>-30308.9979274633</v>
      </c>
      <c r="R25" s="375" t="n">
        <f aca="false">-Tax!P39</f>
        <v>-33031.4348759271</v>
      </c>
      <c r="S25" s="375" t="n">
        <f aca="false">-Tax!Q39</f>
        <v>-35078.9314478684</v>
      </c>
      <c r="T25" s="375" t="n">
        <f aca="false">-Tax!R39</f>
        <v>-36898.184165767</v>
      </c>
      <c r="U25" s="375" t="n">
        <f aca="false">-Tax!S39</f>
        <v>-38993.4689647059</v>
      </c>
      <c r="V25" s="375" t="n">
        <f aca="false">-Tax!T39</f>
        <v>-52994.8350562477</v>
      </c>
      <c r="W25" s="375" t="n">
        <f aca="false">-Tax!U39</f>
        <v>-67064.4781652904</v>
      </c>
      <c r="X25" s="375" t="n">
        <f aca="false">-Tax!V39</f>
        <v>-69382.1443729109</v>
      </c>
      <c r="Y25" s="375" t="n">
        <f aca="false">-Tax!W39</f>
        <v>-71465.2353012054</v>
      </c>
      <c r="Z25" s="375" t="n">
        <f aca="false">-Tax!X39</f>
        <v>-72572.9651944137</v>
      </c>
      <c r="AA25" s="375" t="n">
        <f aca="false">-Tax!Y39</f>
        <v>-74284.4427095032</v>
      </c>
      <c r="AB25" s="383" t="n">
        <f aca="false">SUM(D25:AA25)</f>
        <v>-681929.614530369</v>
      </c>
      <c r="AC25" s="373"/>
      <c r="AD25" s="0"/>
      <c r="AE25" s="0"/>
      <c r="AF25" s="0"/>
    </row>
    <row r="26" customFormat="false" ht="12.75" hidden="false" customHeight="false" outlineLevel="0" collapsed="false">
      <c r="A26" s="367"/>
      <c r="B26" s="367"/>
      <c r="D26" s="373"/>
      <c r="E26" s="372"/>
      <c r="F26" s="372"/>
      <c r="G26" s="373"/>
      <c r="H26" s="373"/>
      <c r="I26" s="373"/>
      <c r="J26" s="373"/>
      <c r="K26" s="373"/>
      <c r="L26" s="373"/>
      <c r="M26" s="373"/>
      <c r="N26" s="373"/>
      <c r="O26" s="373"/>
      <c r="P26" s="373"/>
      <c r="Q26" s="373"/>
      <c r="R26" s="373"/>
      <c r="S26" s="373"/>
      <c r="T26" s="373"/>
      <c r="U26" s="373"/>
      <c r="V26" s="373"/>
      <c r="W26" s="373"/>
      <c r="X26" s="373"/>
      <c r="Y26" s="373"/>
      <c r="Z26" s="373"/>
      <c r="AA26" s="373"/>
      <c r="AB26" s="384"/>
      <c r="AC26" s="373"/>
      <c r="AD26" s="0"/>
      <c r="AE26" s="0"/>
      <c r="AF26" s="0"/>
    </row>
    <row r="27" customFormat="false" ht="12.75" hidden="false" customHeight="false" outlineLevel="0" collapsed="false">
      <c r="A27" s="366" t="s">
        <v>313</v>
      </c>
      <c r="B27" s="366"/>
      <c r="C27" s="385"/>
      <c r="D27" s="102" t="n">
        <f aca="false">D18+D25+D24</f>
        <v>0</v>
      </c>
      <c r="E27" s="102" t="n">
        <f aca="false">E18+E25+E24</f>
        <v>302.862314767295</v>
      </c>
      <c r="F27" s="102" t="n">
        <f aca="false">F18+F25+F24</f>
        <v>0</v>
      </c>
      <c r="G27" s="372" t="n">
        <f aca="false">G18+G25+G24</f>
        <v>65033.3077306681</v>
      </c>
      <c r="H27" s="372" t="n">
        <f aca="false">H18+H25+H24</f>
        <v>49491.7988359307</v>
      </c>
      <c r="I27" s="372" t="n">
        <f aca="false">I18+I25+I24</f>
        <v>44915.6287886673</v>
      </c>
      <c r="J27" s="372" t="n">
        <f aca="false">J18+J25+J24</f>
        <v>93719.6850317652</v>
      </c>
      <c r="K27" s="372" t="n">
        <f aca="false">K18+K25+K24</f>
        <v>90510.2428324779</v>
      </c>
      <c r="L27" s="372" t="n">
        <f aca="false">L18+L25+L24</f>
        <v>87457.7510673212</v>
      </c>
      <c r="M27" s="372" t="n">
        <f aca="false">M18+M25+M24</f>
        <v>82784.9124071395</v>
      </c>
      <c r="N27" s="372" t="n">
        <f aca="false">N18+N25+N24</f>
        <v>82320.4801395296</v>
      </c>
      <c r="O27" s="372" t="n">
        <f aca="false">O18+O25+O24</f>
        <v>80991.7938736307</v>
      </c>
      <c r="P27" s="372" t="n">
        <f aca="false">P18+P25+P24</f>
        <v>80416.5504926891</v>
      </c>
      <c r="Q27" s="372" t="n">
        <f aca="false">Q18+Q25+Q24</f>
        <v>91083.1607061559</v>
      </c>
      <c r="R27" s="372" t="n">
        <f aca="false">R18+R25+R24</f>
        <v>96177.9041637145</v>
      </c>
      <c r="S27" s="372" t="n">
        <f aca="false">S18+S25+S24</f>
        <v>96035.9864435868</v>
      </c>
      <c r="T27" s="372" t="n">
        <f aca="false">T18+T25+T24</f>
        <v>96784.0576593633</v>
      </c>
      <c r="U27" s="372" t="n">
        <f aca="false">U18+U25+U24</f>
        <v>97520.9053171443</v>
      </c>
      <c r="V27" s="372" t="n">
        <f aca="false">V18+V25+V24</f>
        <v>83603.3485229451</v>
      </c>
      <c r="W27" s="372" t="n">
        <f aca="false">W18+W25+W24</f>
        <v>73049.9981097906</v>
      </c>
      <c r="X27" s="372" t="n">
        <f aca="false">X18+X25+X24</f>
        <v>78572.1481065317</v>
      </c>
      <c r="Y27" s="372" t="n">
        <f aca="false">Y18+Y25+Y24</f>
        <v>88507.4304130116</v>
      </c>
      <c r="Z27" s="372" t="n">
        <f aca="false">Z18+Z25+Z24</f>
        <v>96980.5670484663</v>
      </c>
      <c r="AA27" s="372" t="n">
        <f aca="false">AA18+AA25+AA24</f>
        <v>137956.822174792</v>
      </c>
      <c r="AB27" s="386" t="n">
        <f aca="false">SUM(D27:AA27)</f>
        <v>1794217.34218009</v>
      </c>
      <c r="AC27" s="387"/>
      <c r="AD27" s="0"/>
      <c r="AE27" s="0"/>
      <c r="AF27" s="0"/>
      <c r="AG27" s="385"/>
      <c r="AH27" s="385"/>
      <c r="AI27" s="385"/>
      <c r="AJ27" s="385"/>
      <c r="AK27" s="385"/>
      <c r="AL27" s="385"/>
      <c r="AM27" s="385"/>
      <c r="AN27" s="385"/>
      <c r="AO27" s="385"/>
      <c r="AP27" s="385"/>
      <c r="AQ27" s="385"/>
      <c r="AR27" s="385"/>
      <c r="AS27" s="385"/>
      <c r="AT27" s="385"/>
      <c r="AU27" s="385"/>
      <c r="AV27" s="385"/>
      <c r="AW27" s="385"/>
      <c r="AX27" s="385"/>
      <c r="AY27" s="385"/>
      <c r="AZ27" s="385"/>
      <c r="BA27" s="385"/>
      <c r="BB27" s="385"/>
      <c r="BC27" s="385"/>
      <c r="BD27" s="385"/>
      <c r="BE27" s="385"/>
      <c r="BF27" s="385"/>
      <c r="BG27" s="385"/>
      <c r="BH27" s="385"/>
      <c r="BI27" s="385"/>
      <c r="BJ27" s="385"/>
      <c r="BK27" s="385"/>
      <c r="BL27" s="385"/>
      <c r="BM27" s="385"/>
      <c r="BN27" s="385"/>
      <c r="BO27" s="385"/>
      <c r="BP27" s="385"/>
      <c r="BQ27" s="385"/>
      <c r="BR27" s="385"/>
      <c r="BS27" s="385"/>
      <c r="BT27" s="385"/>
      <c r="BU27" s="385"/>
      <c r="BV27" s="385"/>
      <c r="BW27" s="385"/>
      <c r="BX27" s="385"/>
      <c r="BY27" s="385"/>
      <c r="BZ27" s="385"/>
      <c r="CA27" s="385"/>
      <c r="CB27" s="385"/>
      <c r="CC27" s="385"/>
      <c r="CD27" s="385"/>
      <c r="CE27" s="385"/>
      <c r="CF27" s="385"/>
      <c r="CG27" s="385"/>
      <c r="CH27" s="385"/>
      <c r="CI27" s="385"/>
      <c r="CJ27" s="385"/>
      <c r="CK27" s="385"/>
      <c r="CL27" s="385"/>
      <c r="CM27" s="385"/>
      <c r="CN27" s="385"/>
      <c r="CO27" s="385"/>
      <c r="CP27" s="385"/>
      <c r="CQ27" s="385"/>
      <c r="CR27" s="385"/>
      <c r="CS27" s="385"/>
      <c r="CT27" s="385"/>
      <c r="CU27" s="385"/>
      <c r="CV27" s="385"/>
      <c r="CW27" s="385"/>
      <c r="CX27" s="385"/>
      <c r="CY27" s="385"/>
      <c r="CZ27" s="385"/>
      <c r="DA27" s="385"/>
      <c r="DB27" s="385"/>
      <c r="DC27" s="385"/>
      <c r="DD27" s="385"/>
      <c r="DE27" s="385"/>
      <c r="DF27" s="385"/>
      <c r="DG27" s="385"/>
      <c r="DH27" s="385"/>
      <c r="DI27" s="385"/>
      <c r="DJ27" s="385"/>
      <c r="DK27" s="385"/>
      <c r="DL27" s="385"/>
      <c r="DM27" s="385"/>
      <c r="DN27" s="385"/>
      <c r="DO27" s="385"/>
      <c r="DP27" s="385"/>
      <c r="DQ27" s="385"/>
      <c r="DR27" s="385"/>
      <c r="DS27" s="385"/>
      <c r="DT27" s="385"/>
      <c r="DU27" s="385"/>
      <c r="DV27" s="385"/>
      <c r="DW27" s="385"/>
      <c r="DX27" s="385"/>
      <c r="DY27" s="385"/>
      <c r="DZ27" s="385"/>
      <c r="EA27" s="385"/>
      <c r="EB27" s="385"/>
      <c r="EC27" s="385"/>
      <c r="ED27" s="385"/>
      <c r="EE27" s="385"/>
      <c r="EF27" s="385"/>
      <c r="EG27" s="385"/>
      <c r="EH27" s="385"/>
      <c r="EI27" s="385"/>
      <c r="EJ27" s="385"/>
      <c r="EK27" s="385"/>
      <c r="EL27" s="385"/>
      <c r="EM27" s="385"/>
      <c r="EN27" s="385"/>
      <c r="EO27" s="385"/>
      <c r="EP27" s="385"/>
      <c r="EQ27" s="385"/>
      <c r="ER27" s="385"/>
      <c r="ES27" s="385"/>
      <c r="ET27" s="385"/>
      <c r="EU27" s="385"/>
      <c r="EV27" s="385"/>
      <c r="EW27" s="385"/>
      <c r="EX27" s="385"/>
      <c r="EY27" s="385"/>
      <c r="EZ27" s="385"/>
      <c r="FA27" s="385"/>
      <c r="FB27" s="385"/>
      <c r="FC27" s="385"/>
      <c r="FD27" s="385"/>
      <c r="FE27" s="385"/>
      <c r="FF27" s="385"/>
      <c r="FG27" s="385"/>
      <c r="FH27" s="385"/>
      <c r="FI27" s="385"/>
      <c r="FJ27" s="385"/>
      <c r="FK27" s="385"/>
      <c r="FL27" s="385"/>
      <c r="FM27" s="385"/>
      <c r="FN27" s="385"/>
      <c r="FO27" s="385"/>
      <c r="FP27" s="385"/>
      <c r="FQ27" s="385"/>
      <c r="FR27" s="385"/>
      <c r="FS27" s="385"/>
      <c r="FT27" s="385"/>
      <c r="FU27" s="385"/>
      <c r="FV27" s="385"/>
      <c r="FW27" s="385"/>
      <c r="FX27" s="385"/>
      <c r="FY27" s="385"/>
      <c r="FZ27" s="385"/>
      <c r="GA27" s="385"/>
      <c r="GB27" s="385"/>
      <c r="GC27" s="385"/>
      <c r="GD27" s="385"/>
      <c r="GE27" s="385"/>
      <c r="GF27" s="385"/>
      <c r="GG27" s="385"/>
      <c r="GH27" s="385"/>
      <c r="GI27" s="385"/>
      <c r="GJ27" s="385"/>
      <c r="GK27" s="385"/>
      <c r="GL27" s="385"/>
      <c r="GM27" s="385"/>
      <c r="GN27" s="385"/>
      <c r="GO27" s="385"/>
      <c r="GP27" s="385"/>
      <c r="GQ27" s="385"/>
      <c r="GR27" s="385"/>
      <c r="GS27" s="385"/>
      <c r="GT27" s="385"/>
      <c r="GU27" s="385"/>
      <c r="GV27" s="385"/>
      <c r="GW27" s="385"/>
      <c r="GX27" s="385"/>
      <c r="GY27" s="385"/>
      <c r="GZ27" s="385"/>
      <c r="HA27" s="385"/>
      <c r="HB27" s="385"/>
      <c r="HC27" s="385"/>
      <c r="HD27" s="385"/>
      <c r="HE27" s="385"/>
      <c r="HF27" s="385"/>
      <c r="HG27" s="385"/>
      <c r="HH27" s="385"/>
      <c r="HI27" s="385"/>
      <c r="HJ27" s="385"/>
      <c r="HK27" s="385"/>
      <c r="HL27" s="385"/>
      <c r="HM27" s="385"/>
      <c r="HN27" s="385"/>
      <c r="HO27" s="385"/>
      <c r="HP27" s="385"/>
      <c r="HQ27" s="385"/>
      <c r="HR27" s="385"/>
      <c r="HS27" s="385"/>
      <c r="HT27" s="385"/>
      <c r="HU27" s="385"/>
      <c r="HV27" s="385"/>
      <c r="HW27" s="385"/>
      <c r="HX27" s="385"/>
      <c r="HY27" s="385"/>
      <c r="HZ27" s="385"/>
      <c r="IA27" s="385"/>
      <c r="IB27" s="385"/>
      <c r="IC27" s="385"/>
      <c r="ID27" s="385"/>
      <c r="IE27" s="385"/>
      <c r="IF27" s="385"/>
      <c r="IG27" s="385"/>
      <c r="IH27" s="385"/>
      <c r="II27" s="385"/>
      <c r="IJ27" s="385"/>
      <c r="IK27" s="385"/>
      <c r="IL27" s="385"/>
      <c r="IM27" s="385"/>
      <c r="IN27" s="385"/>
      <c r="IO27" s="385"/>
      <c r="IP27" s="385"/>
      <c r="IQ27" s="385"/>
      <c r="IR27" s="385"/>
      <c r="IS27" s="385"/>
      <c r="IT27" s="385"/>
      <c r="IU27" s="385"/>
      <c r="IV27" s="385"/>
      <c r="IW27" s="385"/>
    </row>
    <row r="28" customFormat="false" ht="12.75" hidden="false" customHeight="false" outlineLevel="0" collapsed="false">
      <c r="A28" s="367"/>
      <c r="B28" s="367"/>
      <c r="D28" s="102"/>
      <c r="E28" s="102"/>
      <c r="F28" s="102"/>
      <c r="G28" s="373"/>
      <c r="H28" s="373"/>
      <c r="I28" s="373"/>
      <c r="J28" s="373"/>
      <c r="K28" s="373"/>
      <c r="L28" s="373"/>
      <c r="M28" s="373"/>
      <c r="N28" s="373"/>
      <c r="O28" s="373"/>
      <c r="P28" s="373"/>
      <c r="Q28" s="373"/>
      <c r="R28" s="373"/>
      <c r="S28" s="373"/>
      <c r="T28" s="373"/>
      <c r="U28" s="373"/>
      <c r="V28" s="373"/>
      <c r="W28" s="373"/>
      <c r="X28" s="373"/>
      <c r="Y28" s="373"/>
      <c r="Z28" s="373"/>
      <c r="AA28" s="373"/>
      <c r="AB28" s="384"/>
      <c r="AC28" s="373"/>
      <c r="AD28" s="0"/>
      <c r="AE28" s="0"/>
      <c r="AF28" s="0"/>
    </row>
    <row r="29" customFormat="false" ht="12.75" hidden="false" customHeight="false" outlineLevel="0" collapsed="false">
      <c r="A29" s="388" t="s">
        <v>314</v>
      </c>
      <c r="B29" s="388"/>
      <c r="C29" s="389" t="n">
        <f aca="false">Assumptions!B13</f>
        <v>0.5</v>
      </c>
      <c r="D29" s="102" t="n">
        <v>0</v>
      </c>
      <c r="E29" s="102"/>
      <c r="F29" s="102"/>
      <c r="G29" s="102" t="n">
        <f aca="false">$C$29*IS!E53</f>
        <v>3409.25932739017</v>
      </c>
      <c r="H29" s="102" t="n">
        <f aca="false">$C$29*IS!F53</f>
        <v>5289.08771636542</v>
      </c>
      <c r="I29" s="102" t="n">
        <f aca="false">$C$29*IS!G53</f>
        <v>5814.63651369607</v>
      </c>
      <c r="J29" s="102" t="n">
        <f aca="false">$C$29*IS!H53</f>
        <v>26577.2297405316</v>
      </c>
      <c r="K29" s="102" t="n">
        <f aca="false">$C$29*IS!I53</f>
        <v>27770.2526052547</v>
      </c>
      <c r="L29" s="102" t="n">
        <f aca="false">$C$29*IS!J53</f>
        <v>29576.3175714754</v>
      </c>
      <c r="M29" s="102" t="n">
        <f aca="false">$C$29*IS!K53</f>
        <v>30759.1485622942</v>
      </c>
      <c r="N29" s="102" t="n">
        <f aca="false">$C$29*IS!L53</f>
        <v>33047.755908789</v>
      </c>
      <c r="O29" s="102" t="n">
        <f aca="false">$C$29*IS!M53</f>
        <v>34728.2173786988</v>
      </c>
      <c r="P29" s="102" t="n">
        <f aca="false">$C$29*IS!N53</f>
        <v>37463.9953325762</v>
      </c>
      <c r="Q29" s="102" t="n">
        <f aca="false">$C$29*IS!O53</f>
        <v>38855.7242171091</v>
      </c>
      <c r="R29" s="102" t="n">
        <f aca="false">$C$29*IS!P53</f>
        <v>41420.141778149</v>
      </c>
      <c r="S29" s="102" t="n">
        <f aca="false">$C$29*IS!Q53</f>
        <v>43285.3056724241</v>
      </c>
      <c r="T29" s="102" t="n">
        <f aca="false">$C$29*IS!R53</f>
        <v>45008.2892923851</v>
      </c>
      <c r="U29" s="102" t="n">
        <f aca="false">$C$29*IS!S53</f>
        <v>46917.6255905685</v>
      </c>
      <c r="V29" s="102" t="n">
        <f aca="false">$C$29*IS!T53</f>
        <v>49031.756659062</v>
      </c>
      <c r="W29" s="102" t="n">
        <f aca="false">$C$29*IS!U53</f>
        <v>51209.4052327815</v>
      </c>
      <c r="X29" s="102" t="n">
        <f aca="false">$C$29*IS!V53</f>
        <v>53362.4128402945</v>
      </c>
      <c r="Y29" s="102" t="n">
        <f aca="false">$C$29*IS!W53</f>
        <v>55297.0423306335</v>
      </c>
      <c r="Z29" s="102" t="n">
        <f aca="false">$C$29*IS!X53</f>
        <v>56325.1665328264</v>
      </c>
      <c r="AA29" s="102" t="n">
        <f aca="false">$C$29*IS!Y53</f>
        <v>57921.7078068239</v>
      </c>
      <c r="AB29" s="371" t="n">
        <f aca="false">SUM(D29:AA29)</f>
        <v>773070.478610129</v>
      </c>
      <c r="AC29" s="102"/>
      <c r="AD29" s="0"/>
      <c r="AE29" s="0"/>
      <c r="AF29" s="0"/>
    </row>
    <row r="30" customFormat="false" ht="12.75" hidden="false" customHeight="false" outlineLevel="0" collapsed="false">
      <c r="A30" s="388" t="s">
        <v>315</v>
      </c>
      <c r="B30" s="388"/>
      <c r="C30" s="389" t="n">
        <v>0.5</v>
      </c>
      <c r="D30" s="102" t="n">
        <f aca="false">(D27)*$C$30</f>
        <v>0</v>
      </c>
      <c r="E30" s="102" t="n">
        <f aca="false">(E27)*$C$30</f>
        <v>151.431157383647</v>
      </c>
      <c r="F30" s="102" t="n">
        <f aca="false">(F27)*$C$30</f>
        <v>0</v>
      </c>
      <c r="G30" s="368" t="n">
        <f aca="false">(G27)*$C$30</f>
        <v>32516.6538653341</v>
      </c>
      <c r="H30" s="368" t="n">
        <f aca="false">(H27)*$C$30</f>
        <v>24745.8994179654</v>
      </c>
      <c r="I30" s="368" t="n">
        <f aca="false">(I27)*$C$30</f>
        <v>22457.8143943336</v>
      </c>
      <c r="J30" s="368" t="n">
        <f aca="false">(J27)*$C$30</f>
        <v>46859.8425158826</v>
      </c>
      <c r="K30" s="368" t="n">
        <f aca="false">(K27)*$C$30</f>
        <v>45255.1214162389</v>
      </c>
      <c r="L30" s="368" t="n">
        <f aca="false">(L27)*$C$30</f>
        <v>43728.8755336606</v>
      </c>
      <c r="M30" s="368" t="n">
        <f aca="false">(M27)*$C$30</f>
        <v>41392.4562035698</v>
      </c>
      <c r="N30" s="368" t="n">
        <f aca="false">(N27)*$C$30</f>
        <v>41160.2400697648</v>
      </c>
      <c r="O30" s="368" t="n">
        <f aca="false">(O27)*$C$30</f>
        <v>40495.8969368153</v>
      </c>
      <c r="P30" s="368" t="n">
        <f aca="false">(P27)*$C$30</f>
        <v>40208.2752463445</v>
      </c>
      <c r="Q30" s="368" t="n">
        <f aca="false">(Q27)*$C$30</f>
        <v>45541.580353078</v>
      </c>
      <c r="R30" s="368" t="n">
        <f aca="false">(R27)*$C$30</f>
        <v>48088.9520818573</v>
      </c>
      <c r="S30" s="368" t="n">
        <f aca="false">(S27)*$C$30</f>
        <v>48017.9932217934</v>
      </c>
      <c r="T30" s="368" t="n">
        <f aca="false">(T27)*$C$30</f>
        <v>48392.0288296817</v>
      </c>
      <c r="U30" s="368" t="n">
        <f aca="false">(U27)*$C$30</f>
        <v>48760.4526585721</v>
      </c>
      <c r="V30" s="368" t="n">
        <f aca="false">(V27)*$C$30</f>
        <v>41801.6742614725</v>
      </c>
      <c r="W30" s="368" t="n">
        <f aca="false">(W27)*$C$30</f>
        <v>36524.9990548953</v>
      </c>
      <c r="X30" s="368" t="n">
        <f aca="false">(X27)*$C$30</f>
        <v>39286.0740532658</v>
      </c>
      <c r="Y30" s="368" t="n">
        <f aca="false">(Y27)*$C$30</f>
        <v>44253.7152065058</v>
      </c>
      <c r="Z30" s="368" t="n">
        <f aca="false">(Z27)*$C$30</f>
        <v>48490.2835242332</v>
      </c>
      <c r="AA30" s="368" t="n">
        <f aca="false">(AA27)*$C$30</f>
        <v>68978.4110873959</v>
      </c>
      <c r="AB30" s="369" t="n">
        <f aca="false">SUM(D30:AA30)</f>
        <v>897108.671090044</v>
      </c>
      <c r="AC30" s="368"/>
      <c r="AD30" s="0"/>
      <c r="AE30" s="0"/>
      <c r="AF30" s="0"/>
    </row>
    <row r="31" customFormat="false" ht="12.75" hidden="false" customHeight="false" outlineLevel="0" collapsed="false">
      <c r="A31" s="367"/>
      <c r="B31" s="367"/>
      <c r="D31" s="390"/>
      <c r="E31" s="390"/>
      <c r="F31" s="390"/>
      <c r="G31" s="390"/>
      <c r="H31" s="390"/>
      <c r="I31" s="390"/>
      <c r="J31" s="390"/>
      <c r="K31" s="373"/>
      <c r="L31" s="373"/>
      <c r="M31" s="373"/>
      <c r="N31" s="373"/>
      <c r="O31" s="373"/>
      <c r="P31" s="373"/>
      <c r="Q31" s="373"/>
      <c r="R31" s="373"/>
      <c r="S31" s="373"/>
      <c r="T31" s="373"/>
      <c r="U31" s="373"/>
      <c r="V31" s="373"/>
      <c r="W31" s="373"/>
      <c r="X31" s="373"/>
      <c r="Y31" s="373"/>
      <c r="Z31" s="373"/>
      <c r="AA31" s="373"/>
      <c r="AB31" s="373"/>
      <c r="AC31" s="373"/>
    </row>
    <row r="32" customFormat="false" ht="12.75" hidden="false" customHeight="false" outlineLevel="0" collapsed="false">
      <c r="A32" s="391"/>
      <c r="B32" s="391"/>
      <c r="E32" s="1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</row>
    <row r="33" customFormat="false" ht="12.75" hidden="false" customHeight="false" outlineLevel="0" collapsed="false">
      <c r="A33" s="391"/>
      <c r="B33" s="391"/>
      <c r="E33" s="1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</row>
    <row r="34" customFormat="false" ht="18.75" hidden="false" customHeight="false" outlineLevel="0" collapsed="false">
      <c r="A34" s="14" t="s">
        <v>316</v>
      </c>
      <c r="B34" s="357"/>
      <c r="E34" s="1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</row>
    <row r="35" customFormat="false" ht="12.75" hidden="false" customHeight="false" outlineLevel="0" collapsed="false">
      <c r="D35" s="362"/>
      <c r="E35" s="362"/>
      <c r="F35" s="362"/>
      <c r="G35" s="362"/>
      <c r="H35" s="362"/>
      <c r="I35" s="362"/>
      <c r="J35" s="362"/>
      <c r="K35" s="362"/>
      <c r="L35" s="362"/>
      <c r="M35" s="362"/>
      <c r="N35" s="362"/>
      <c r="O35" s="362"/>
      <c r="P35" s="362"/>
      <c r="Q35" s="362"/>
      <c r="R35" s="362"/>
      <c r="S35" s="362"/>
      <c r="T35" s="362"/>
      <c r="U35" s="362"/>
      <c r="V35" s="362"/>
      <c r="W35" s="362"/>
      <c r="X35" s="362"/>
      <c r="Y35" s="362"/>
      <c r="Z35" s="362"/>
      <c r="AA35" s="362"/>
    </row>
    <row r="36" customFormat="false" ht="13.5" hidden="false" customHeight="false" outlineLevel="0" collapsed="false">
      <c r="A36" s="319" t="s">
        <v>269</v>
      </c>
      <c r="B36" s="319"/>
      <c r="C36" s="359"/>
      <c r="D36" s="320" t="n">
        <v>1999</v>
      </c>
      <c r="E36" s="320" t="n">
        <v>2000</v>
      </c>
      <c r="F36" s="320" t="n">
        <v>2000</v>
      </c>
      <c r="G36" s="320" t="n">
        <f aca="false">D36+1</f>
        <v>2000</v>
      </c>
      <c r="H36" s="320" t="n">
        <f aca="false">G36+1</f>
        <v>2001</v>
      </c>
      <c r="I36" s="320" t="n">
        <f aca="false">H36+1</f>
        <v>2002</v>
      </c>
      <c r="J36" s="320" t="n">
        <f aca="false">I36+1</f>
        <v>2003</v>
      </c>
      <c r="K36" s="320" t="n">
        <f aca="false">J36+1</f>
        <v>2004</v>
      </c>
      <c r="L36" s="320" t="n">
        <f aca="false">K36+1</f>
        <v>2005</v>
      </c>
      <c r="M36" s="320" t="n">
        <f aca="false">L36+1</f>
        <v>2006</v>
      </c>
      <c r="N36" s="320" t="n">
        <f aca="false">M36+1</f>
        <v>2007</v>
      </c>
      <c r="O36" s="320" t="n">
        <f aca="false">N36+1</f>
        <v>2008</v>
      </c>
      <c r="P36" s="320" t="n">
        <f aca="false">O36+1</f>
        <v>2009</v>
      </c>
      <c r="Q36" s="320" t="n">
        <f aca="false">P36+1</f>
        <v>2010</v>
      </c>
      <c r="R36" s="320" t="n">
        <f aca="false">Q36+1</f>
        <v>2011</v>
      </c>
      <c r="S36" s="320" t="n">
        <f aca="false">R36+1</f>
        <v>2012</v>
      </c>
      <c r="T36" s="320" t="n">
        <f aca="false">S36+1</f>
        <v>2013</v>
      </c>
      <c r="U36" s="320" t="n">
        <f aca="false">T36+1</f>
        <v>2014</v>
      </c>
      <c r="V36" s="320" t="n">
        <f aca="false">U36+1</f>
        <v>2015</v>
      </c>
      <c r="W36" s="320" t="n">
        <f aca="false">V36+1</f>
        <v>2016</v>
      </c>
      <c r="X36" s="320" t="n">
        <f aca="false">W36+1</f>
        <v>2017</v>
      </c>
      <c r="Y36" s="320" t="n">
        <f aca="false">X36+1</f>
        <v>2018</v>
      </c>
      <c r="Z36" s="320" t="n">
        <f aca="false">Y36+1</f>
        <v>2019</v>
      </c>
      <c r="AA36" s="320" t="n">
        <f aca="false">Z36+1</f>
        <v>2020</v>
      </c>
    </row>
    <row r="37" customFormat="false" ht="14.25" hidden="false" customHeight="true" outlineLevel="0" collapsed="false">
      <c r="A37" s="392"/>
      <c r="B37" s="392"/>
      <c r="E37" s="393"/>
      <c r="F37" s="393"/>
      <c r="M37" s="394"/>
    </row>
    <row r="38" customFormat="false" ht="12.75" hidden="false" customHeight="false" outlineLevel="0" collapsed="false">
      <c r="A38" s="391"/>
      <c r="B38" s="391"/>
      <c r="E38" s="1"/>
      <c r="M38" s="394"/>
    </row>
    <row r="39" customFormat="false" ht="12.75" hidden="false" customHeight="false" outlineLevel="0" collapsed="false">
      <c r="A39" s="366" t="s">
        <v>308</v>
      </c>
      <c r="B39" s="391"/>
      <c r="C39" s="385"/>
      <c r="D39" s="372" t="n">
        <f aca="false">$C$30*D18</f>
        <v>0</v>
      </c>
      <c r="E39" s="372" t="n">
        <f aca="false">$C$30*E18</f>
        <v>0</v>
      </c>
      <c r="F39" s="372" t="n">
        <f aca="false">$C$30*F18</f>
        <v>0</v>
      </c>
      <c r="G39" s="377" t="n">
        <f aca="false">$C$30*G18</f>
        <v>28602.8547850942</v>
      </c>
      <c r="H39" s="377" t="n">
        <f aca="false">$C$30*H18</f>
        <v>14023.7092494548</v>
      </c>
      <c r="I39" s="377" t="n">
        <f aca="false">$C$30*I18</f>
        <v>14047.9511538975</v>
      </c>
      <c r="J39" s="377" t="n">
        <f aca="false">$C$30*J18</f>
        <v>52147.1695495664</v>
      </c>
      <c r="K39" s="377" t="n">
        <f aca="false">$C$30*K18</f>
        <v>52855.2899625053</v>
      </c>
      <c r="L39" s="377" t="n">
        <f aca="false">$C$30*L18</f>
        <v>53846.2681815162</v>
      </c>
      <c r="M39" s="377" t="n">
        <f aca="false">$C$30*M18</f>
        <v>54165.1370986923</v>
      </c>
      <c r="N39" s="377" t="n">
        <f aca="false">$C$30*N18</f>
        <v>55392.5831102798</v>
      </c>
      <c r="O39" s="377" t="n">
        <f aca="false">$C$30*O18</f>
        <v>55824.6724007847</v>
      </c>
      <c r="P39" s="377" t="n">
        <f aca="false">$C$30*P18</f>
        <v>57260.125747984</v>
      </c>
      <c r="Q39" s="377" t="n">
        <f aca="false">$C$30*Q18</f>
        <v>63508.6053046403</v>
      </c>
      <c r="R39" s="377" t="n">
        <f aca="false">$C$30*R18</f>
        <v>67669.8242711002</v>
      </c>
      <c r="S39" s="377" t="n">
        <f aca="false">$C$30*S18</f>
        <v>68812.6113119846</v>
      </c>
      <c r="T39" s="377" t="n">
        <f aca="false">$C$30*T18</f>
        <v>70265.090986348</v>
      </c>
      <c r="U39" s="377" t="n">
        <f aca="false">$C$30*U18</f>
        <v>71875.5893421912</v>
      </c>
      <c r="V39" s="377" t="n">
        <f aca="false">$C$30*V18</f>
        <v>73216.7519238313</v>
      </c>
      <c r="W39" s="377" t="n">
        <f aca="false">$C$30*W18</f>
        <v>76280.4919762717</v>
      </c>
      <c r="X39" s="377" t="n">
        <f aca="false">$C$30*X18</f>
        <v>80415.4681072817</v>
      </c>
      <c r="Y39" s="377" t="n">
        <f aca="false">$C$30*Y18</f>
        <v>86617.9553209098</v>
      </c>
      <c r="Z39" s="377" t="n">
        <f aca="false">$C$30*Z18</f>
        <v>91511.1804729706</v>
      </c>
      <c r="AA39" s="377" t="n">
        <f aca="false">$C$30*AA18</f>
        <v>113013.86349228</v>
      </c>
      <c r="AB39" s="395"/>
      <c r="AC39" s="395"/>
      <c r="AD39" s="395"/>
      <c r="AE39" s="385"/>
      <c r="AF39" s="385"/>
      <c r="AG39" s="385"/>
      <c r="AH39" s="385"/>
      <c r="AI39" s="385"/>
      <c r="AJ39" s="385"/>
      <c r="AK39" s="385"/>
      <c r="AL39" s="385"/>
      <c r="AM39" s="385"/>
      <c r="AN39" s="385"/>
      <c r="AO39" s="385"/>
      <c r="AP39" s="385"/>
      <c r="AQ39" s="385"/>
      <c r="AR39" s="385"/>
      <c r="AS39" s="385"/>
      <c r="AT39" s="385"/>
      <c r="AU39" s="385"/>
      <c r="AV39" s="385"/>
      <c r="AW39" s="385"/>
      <c r="AX39" s="385"/>
      <c r="AY39" s="385"/>
      <c r="AZ39" s="385"/>
      <c r="BA39" s="385"/>
      <c r="BB39" s="385"/>
      <c r="BC39" s="385"/>
      <c r="BD39" s="385"/>
      <c r="BE39" s="385"/>
      <c r="BF39" s="385"/>
      <c r="BG39" s="385"/>
      <c r="BH39" s="385"/>
      <c r="BI39" s="385"/>
      <c r="BJ39" s="385"/>
      <c r="BK39" s="385"/>
      <c r="BL39" s="385"/>
      <c r="BM39" s="385"/>
      <c r="BN39" s="385"/>
      <c r="BO39" s="385"/>
      <c r="BP39" s="385"/>
      <c r="BQ39" s="385"/>
      <c r="BR39" s="385"/>
      <c r="BS39" s="385"/>
      <c r="BT39" s="385"/>
      <c r="BU39" s="385"/>
      <c r="BV39" s="385"/>
      <c r="BW39" s="385"/>
      <c r="BX39" s="385"/>
      <c r="BY39" s="385"/>
      <c r="BZ39" s="385"/>
      <c r="CA39" s="385"/>
      <c r="CB39" s="385"/>
      <c r="CC39" s="385"/>
      <c r="CD39" s="385"/>
      <c r="CE39" s="385"/>
      <c r="CF39" s="385"/>
      <c r="CG39" s="385"/>
      <c r="CH39" s="385"/>
      <c r="CI39" s="385"/>
      <c r="CJ39" s="385"/>
      <c r="CK39" s="385"/>
      <c r="CL39" s="385"/>
      <c r="CM39" s="385"/>
      <c r="CN39" s="385"/>
      <c r="CO39" s="385"/>
      <c r="CP39" s="385"/>
      <c r="CQ39" s="385"/>
      <c r="CR39" s="385"/>
      <c r="CS39" s="385"/>
      <c r="CT39" s="385"/>
      <c r="CU39" s="385"/>
      <c r="CV39" s="385"/>
      <c r="CW39" s="385"/>
      <c r="CX39" s="385"/>
      <c r="CY39" s="385"/>
      <c r="CZ39" s="385"/>
      <c r="DA39" s="385"/>
      <c r="DB39" s="385"/>
      <c r="DC39" s="385"/>
      <c r="DD39" s="385"/>
      <c r="DE39" s="385"/>
      <c r="DF39" s="385"/>
      <c r="DG39" s="385"/>
      <c r="DH39" s="385"/>
      <c r="DI39" s="385"/>
      <c r="DJ39" s="385"/>
      <c r="DK39" s="385"/>
      <c r="DL39" s="385"/>
      <c r="DM39" s="385"/>
      <c r="DN39" s="385"/>
      <c r="DO39" s="385"/>
      <c r="DP39" s="385"/>
      <c r="DQ39" s="385"/>
      <c r="DR39" s="385"/>
      <c r="DS39" s="385"/>
      <c r="DT39" s="385"/>
      <c r="DU39" s="385"/>
      <c r="DV39" s="385"/>
      <c r="DW39" s="385"/>
      <c r="DX39" s="385"/>
      <c r="DY39" s="385"/>
      <c r="DZ39" s="385"/>
      <c r="EA39" s="385"/>
      <c r="EB39" s="385"/>
      <c r="EC39" s="385"/>
      <c r="ED39" s="385"/>
      <c r="EE39" s="385"/>
      <c r="EF39" s="385"/>
      <c r="EG39" s="385"/>
      <c r="EH39" s="385"/>
      <c r="EI39" s="385"/>
      <c r="EJ39" s="385"/>
      <c r="EK39" s="385"/>
      <c r="EL39" s="385"/>
      <c r="EM39" s="385"/>
      <c r="EN39" s="385"/>
      <c r="EO39" s="385"/>
      <c r="EP39" s="385"/>
      <c r="EQ39" s="385"/>
      <c r="ER39" s="385"/>
      <c r="ES39" s="385"/>
      <c r="ET39" s="385"/>
      <c r="EU39" s="385"/>
      <c r="EV39" s="385"/>
      <c r="EW39" s="385"/>
      <c r="EX39" s="385"/>
      <c r="EY39" s="385"/>
      <c r="EZ39" s="385"/>
      <c r="FA39" s="385"/>
      <c r="FB39" s="385"/>
      <c r="FC39" s="385"/>
      <c r="FD39" s="385"/>
      <c r="FE39" s="385"/>
      <c r="FF39" s="385"/>
      <c r="FG39" s="385"/>
      <c r="FH39" s="385"/>
      <c r="FI39" s="385"/>
      <c r="FJ39" s="385"/>
      <c r="FK39" s="385"/>
      <c r="FL39" s="385"/>
      <c r="FM39" s="385"/>
      <c r="FN39" s="385"/>
      <c r="FO39" s="385"/>
      <c r="FP39" s="385"/>
      <c r="FQ39" s="385"/>
      <c r="FR39" s="385"/>
      <c r="FS39" s="385"/>
      <c r="FT39" s="385"/>
      <c r="FU39" s="385"/>
      <c r="FV39" s="385"/>
      <c r="FW39" s="385"/>
      <c r="FX39" s="385"/>
      <c r="FY39" s="385"/>
      <c r="FZ39" s="385"/>
      <c r="GA39" s="385"/>
      <c r="GB39" s="385"/>
      <c r="GC39" s="385"/>
      <c r="GD39" s="385"/>
      <c r="GE39" s="385"/>
      <c r="GF39" s="385"/>
      <c r="GG39" s="385"/>
      <c r="GH39" s="385"/>
      <c r="GI39" s="385"/>
      <c r="GJ39" s="385"/>
      <c r="GK39" s="385"/>
      <c r="GL39" s="385"/>
      <c r="GM39" s="385"/>
      <c r="GN39" s="385"/>
      <c r="GO39" s="385"/>
      <c r="GP39" s="385"/>
      <c r="GQ39" s="385"/>
      <c r="GR39" s="385"/>
      <c r="GS39" s="385"/>
      <c r="GT39" s="385"/>
      <c r="GU39" s="385"/>
      <c r="GV39" s="385"/>
      <c r="GW39" s="385"/>
      <c r="GX39" s="385"/>
      <c r="GY39" s="385"/>
      <c r="GZ39" s="385"/>
      <c r="HA39" s="385"/>
      <c r="HB39" s="385"/>
      <c r="HC39" s="385"/>
      <c r="HD39" s="385"/>
      <c r="HE39" s="385"/>
      <c r="HF39" s="385"/>
      <c r="HG39" s="385"/>
      <c r="HH39" s="385"/>
      <c r="HI39" s="385"/>
      <c r="HJ39" s="385"/>
      <c r="HK39" s="385"/>
      <c r="HL39" s="385"/>
      <c r="HM39" s="385"/>
      <c r="HN39" s="385"/>
      <c r="HO39" s="385"/>
      <c r="HP39" s="385"/>
      <c r="HQ39" s="385"/>
      <c r="HR39" s="385"/>
      <c r="HS39" s="385"/>
      <c r="HT39" s="385"/>
      <c r="HU39" s="385"/>
      <c r="HV39" s="385"/>
      <c r="HW39" s="385"/>
      <c r="HX39" s="385"/>
      <c r="HY39" s="385"/>
      <c r="HZ39" s="385"/>
      <c r="IA39" s="385"/>
      <c r="IB39" s="385"/>
      <c r="IC39" s="385"/>
      <c r="ID39" s="385"/>
      <c r="IE39" s="385"/>
      <c r="IF39" s="385"/>
      <c r="IG39" s="385"/>
      <c r="IH39" s="385"/>
      <c r="II39" s="385"/>
      <c r="IJ39" s="385"/>
      <c r="IK39" s="385"/>
      <c r="IL39" s="385"/>
      <c r="IM39" s="385"/>
      <c r="IN39" s="385"/>
      <c r="IO39" s="385"/>
      <c r="IP39" s="385"/>
      <c r="IQ39" s="385"/>
      <c r="IR39" s="385"/>
      <c r="IS39" s="385"/>
      <c r="IT39" s="385"/>
      <c r="IU39" s="385"/>
      <c r="IV39" s="385"/>
      <c r="IW39" s="385"/>
    </row>
    <row r="40" customFormat="false" ht="12.75" hidden="false" customHeight="false" outlineLevel="0" collapsed="false">
      <c r="A40" s="366"/>
      <c r="B40" s="391"/>
      <c r="D40" s="80"/>
      <c r="E40" s="372"/>
      <c r="F40" s="372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</row>
    <row r="41" customFormat="false" ht="12.75" hidden="false" customHeight="false" outlineLevel="0" collapsed="false">
      <c r="A41" s="367" t="s">
        <v>317</v>
      </c>
      <c r="B41" s="391"/>
      <c r="D41" s="372" t="n">
        <f aca="false">$C$30*D24</f>
        <v>-0</v>
      </c>
      <c r="E41" s="372" t="n">
        <f aca="false">$C$30*E24</f>
        <v>0</v>
      </c>
      <c r="F41" s="372" t="n">
        <f aca="false">$C$30*F24</f>
        <v>0</v>
      </c>
      <c r="G41" s="189" t="n">
        <f aca="false">$C$30*G24</f>
        <v>-0</v>
      </c>
      <c r="H41" s="189" t="n">
        <f aca="false">$C$30*H24</f>
        <v>-0</v>
      </c>
      <c r="I41" s="189" t="n">
        <f aca="false">$C$30*I24</f>
        <v>-0</v>
      </c>
      <c r="J41" s="189" t="n">
        <f aca="false">$C$30*J24</f>
        <v>-0</v>
      </c>
      <c r="K41" s="189" t="n">
        <f aca="false">$C$30*K24</f>
        <v>-0</v>
      </c>
      <c r="L41" s="189" t="n">
        <f aca="false">$C$30*L24</f>
        <v>-0</v>
      </c>
      <c r="M41" s="189" t="n">
        <f aca="false">$C$30*M24</f>
        <v>-1969.29541379133</v>
      </c>
      <c r="N41" s="189" t="n">
        <f aca="false">$C$30*N24</f>
        <v>-2227.90555348388</v>
      </c>
      <c r="O41" s="189" t="n">
        <f aca="false">$C$30*O24</f>
        <v>-2399.53912627509</v>
      </c>
      <c r="P41" s="189" t="n">
        <f aca="false">$C$30*P24</f>
        <v>-2669.26621439872</v>
      </c>
      <c r="Q41" s="189" t="n">
        <f aca="false">$C$30*Q24</f>
        <v>-2812.52598783065</v>
      </c>
      <c r="R41" s="189" t="n">
        <f aca="false">$C$30*R24</f>
        <v>-3065.15475127937</v>
      </c>
      <c r="S41" s="189" t="n">
        <f aca="false">$C$30*S24</f>
        <v>-3255.15236625697</v>
      </c>
      <c r="T41" s="189" t="n">
        <f aca="false">$C$30*T24</f>
        <v>-3423.97007378286</v>
      </c>
      <c r="U41" s="189" t="n">
        <f aca="false">$C$30*U24</f>
        <v>-3618.40220126611</v>
      </c>
      <c r="V41" s="189" t="n">
        <f aca="false">$C$30*V24</f>
        <v>-4917.66013423493</v>
      </c>
      <c r="W41" s="189" t="n">
        <f aca="false">$C$30*W24</f>
        <v>-6223.25383873115</v>
      </c>
      <c r="X41" s="189" t="n">
        <f aca="false">$C$30*X24</f>
        <v>-6438.32186756041</v>
      </c>
      <c r="Y41" s="189" t="n">
        <f aca="false">$C$30*Y24</f>
        <v>-6631.6224638013</v>
      </c>
      <c r="Z41" s="189" t="n">
        <f aca="false">$C$30*Z24</f>
        <v>-6734.41435153053</v>
      </c>
      <c r="AA41" s="189" t="n">
        <f aca="false">$C$30*AA24</f>
        <v>-6893.23105013261</v>
      </c>
    </row>
    <row r="42" customFormat="false" ht="12.75" hidden="false" customHeight="false" outlineLevel="0" collapsed="false">
      <c r="A42" s="367" t="s">
        <v>318</v>
      </c>
      <c r="B42" s="391"/>
      <c r="D42" s="382" t="n">
        <f aca="false">$C$30*D25</f>
        <v>-0</v>
      </c>
      <c r="E42" s="382" t="n">
        <f aca="false">$C$30*E25</f>
        <v>151.431157383647</v>
      </c>
      <c r="F42" s="382" t="n">
        <f aca="false">$C$30*F25</f>
        <v>0</v>
      </c>
      <c r="G42" s="396" t="n">
        <f aca="false">$C$30*G25</f>
        <v>3913.79908023981</v>
      </c>
      <c r="H42" s="396" t="n">
        <f aca="false">$C$30*H25</f>
        <v>10722.1901685106</v>
      </c>
      <c r="I42" s="396" t="n">
        <f aca="false">$C$30*I25</f>
        <v>8409.86324043614</v>
      </c>
      <c r="J42" s="396" t="n">
        <f aca="false">$C$30*J25</f>
        <v>-5287.32703368383</v>
      </c>
      <c r="K42" s="396" t="n">
        <f aca="false">$C$30*K25</f>
        <v>-7600.1685462664</v>
      </c>
      <c r="L42" s="396" t="n">
        <f aca="false">$C$30*L25</f>
        <v>-10117.3926478556</v>
      </c>
      <c r="M42" s="396" t="n">
        <f aca="false">$C$30*M25</f>
        <v>-10803.3854813313</v>
      </c>
      <c r="N42" s="396" t="n">
        <f aca="false">$C$30*N25</f>
        <v>-12004.4374870311</v>
      </c>
      <c r="O42" s="396" t="n">
        <f aca="false">$C$30*O25</f>
        <v>-12929.2363376943</v>
      </c>
      <c r="P42" s="396" t="n">
        <f aca="false">$C$30*P25</f>
        <v>-14382.5842872407</v>
      </c>
      <c r="Q42" s="396" t="n">
        <f aca="false">$C$30*Q25</f>
        <v>-15154.4989637317</v>
      </c>
      <c r="R42" s="396" t="n">
        <f aca="false">$C$30*R25</f>
        <v>-16515.7174379635</v>
      </c>
      <c r="S42" s="396" t="n">
        <f aca="false">$C$30*S25</f>
        <v>-17539.4657239342</v>
      </c>
      <c r="T42" s="396" t="n">
        <f aca="false">$C$30*T25</f>
        <v>-18449.0920828835</v>
      </c>
      <c r="U42" s="396" t="n">
        <f aca="false">$C$30*U25</f>
        <v>-19496.7344823529</v>
      </c>
      <c r="V42" s="396" t="n">
        <f aca="false">$C$30*V25</f>
        <v>-26497.4175281239</v>
      </c>
      <c r="W42" s="396" t="n">
        <f aca="false">$C$30*W25</f>
        <v>-33532.2390826452</v>
      </c>
      <c r="X42" s="396" t="n">
        <f aca="false">$C$30*X25</f>
        <v>-34691.0721864554</v>
      </c>
      <c r="Y42" s="396" t="n">
        <f aca="false">$C$30*Y25</f>
        <v>-35732.6176506027</v>
      </c>
      <c r="Z42" s="396" t="n">
        <f aca="false">$C$30*Z25</f>
        <v>-36286.4825972069</v>
      </c>
      <c r="AA42" s="396" t="n">
        <f aca="false">$C$30*AA25</f>
        <v>-37142.2213547516</v>
      </c>
    </row>
    <row r="43" customFormat="false" ht="12.75" hidden="false" customHeight="false" outlineLevel="0" collapsed="false">
      <c r="A43" s="367"/>
      <c r="B43" s="391"/>
      <c r="D43" s="80"/>
      <c r="E43" s="372"/>
      <c r="F43" s="372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</row>
    <row r="44" customFormat="false" ht="12.75" hidden="false" customHeight="false" outlineLevel="0" collapsed="false">
      <c r="A44" s="366" t="s">
        <v>313</v>
      </c>
      <c r="B44" s="391"/>
      <c r="C44" s="385"/>
      <c r="D44" s="372" t="n">
        <f aca="false">$C$30*D27</f>
        <v>0</v>
      </c>
      <c r="E44" s="372" t="n">
        <f aca="false">$C$30*E27</f>
        <v>151.431157383647</v>
      </c>
      <c r="F44" s="372" t="n">
        <f aca="false">$C$30*F27</f>
        <v>0</v>
      </c>
      <c r="G44" s="377" t="n">
        <f aca="false">$C$30*G27</f>
        <v>32516.6538653341</v>
      </c>
      <c r="H44" s="377" t="n">
        <f aca="false">$C$30*H27</f>
        <v>24745.8994179654</v>
      </c>
      <c r="I44" s="377" t="n">
        <f aca="false">$C$30*I27</f>
        <v>22457.8143943336</v>
      </c>
      <c r="J44" s="377" t="n">
        <f aca="false">$C$30*J27</f>
        <v>46859.8425158826</v>
      </c>
      <c r="K44" s="377" t="n">
        <f aca="false">$C$30*K27</f>
        <v>45255.1214162389</v>
      </c>
      <c r="L44" s="377" t="n">
        <f aca="false">$C$30*L27</f>
        <v>43728.8755336606</v>
      </c>
      <c r="M44" s="377" t="n">
        <f aca="false">$C$30*M27</f>
        <v>41392.4562035698</v>
      </c>
      <c r="N44" s="377" t="n">
        <f aca="false">$C$30*N27</f>
        <v>41160.2400697648</v>
      </c>
      <c r="O44" s="377" t="n">
        <f aca="false">$C$30*O27</f>
        <v>40495.8969368153</v>
      </c>
      <c r="P44" s="377" t="n">
        <f aca="false">$C$30*P27</f>
        <v>40208.2752463445</v>
      </c>
      <c r="Q44" s="377" t="n">
        <f aca="false">$C$30*Q27</f>
        <v>45541.580353078</v>
      </c>
      <c r="R44" s="377" t="n">
        <f aca="false">$C$30*R27</f>
        <v>48088.9520818573</v>
      </c>
      <c r="S44" s="377" t="n">
        <f aca="false">$C$30*S27</f>
        <v>48017.9932217934</v>
      </c>
      <c r="T44" s="377" t="n">
        <f aca="false">$C$30*T27</f>
        <v>48392.0288296817</v>
      </c>
      <c r="U44" s="377" t="n">
        <f aca="false">$C$30*U27</f>
        <v>48760.4526585721</v>
      </c>
      <c r="V44" s="377" t="n">
        <f aca="false">$C$30*V27</f>
        <v>41801.6742614725</v>
      </c>
      <c r="W44" s="377" t="n">
        <f aca="false">$C$30*W27</f>
        <v>36524.9990548953</v>
      </c>
      <c r="X44" s="377" t="n">
        <f aca="false">$C$30*X27</f>
        <v>39286.0740532658</v>
      </c>
      <c r="Y44" s="377" t="n">
        <f aca="false">$C$30*Y27</f>
        <v>44253.7152065058</v>
      </c>
      <c r="Z44" s="377" t="n">
        <f aca="false">$C$30*Z27</f>
        <v>48490.2835242332</v>
      </c>
      <c r="AA44" s="377" t="n">
        <f aca="false">$C$30*AA27</f>
        <v>68978.4110873959</v>
      </c>
      <c r="AB44" s="395"/>
      <c r="AC44" s="395"/>
      <c r="AD44" s="395"/>
      <c r="AE44" s="385"/>
      <c r="AF44" s="385"/>
      <c r="AG44" s="385"/>
      <c r="AH44" s="385"/>
      <c r="AI44" s="385"/>
      <c r="AJ44" s="385"/>
      <c r="AK44" s="385"/>
      <c r="AL44" s="385"/>
      <c r="AM44" s="385"/>
      <c r="AN44" s="385"/>
      <c r="AO44" s="385"/>
      <c r="AP44" s="385"/>
      <c r="AQ44" s="385"/>
      <c r="AR44" s="385"/>
      <c r="AS44" s="385"/>
      <c r="AT44" s="385"/>
      <c r="AU44" s="385"/>
      <c r="AV44" s="385"/>
      <c r="AW44" s="385"/>
      <c r="AX44" s="385"/>
      <c r="AY44" s="385"/>
      <c r="AZ44" s="385"/>
      <c r="BA44" s="385"/>
      <c r="BB44" s="385"/>
      <c r="BC44" s="385"/>
      <c r="BD44" s="385"/>
      <c r="BE44" s="385"/>
      <c r="BF44" s="385"/>
      <c r="BG44" s="385"/>
      <c r="BH44" s="385"/>
      <c r="BI44" s="385"/>
      <c r="BJ44" s="385"/>
      <c r="BK44" s="385"/>
      <c r="BL44" s="385"/>
      <c r="BM44" s="385"/>
      <c r="BN44" s="385"/>
      <c r="BO44" s="385"/>
      <c r="BP44" s="385"/>
      <c r="BQ44" s="385"/>
      <c r="BR44" s="385"/>
      <c r="BS44" s="385"/>
      <c r="BT44" s="385"/>
      <c r="BU44" s="385"/>
      <c r="BV44" s="385"/>
      <c r="BW44" s="385"/>
      <c r="BX44" s="385"/>
      <c r="BY44" s="385"/>
      <c r="BZ44" s="385"/>
      <c r="CA44" s="385"/>
      <c r="CB44" s="385"/>
      <c r="CC44" s="385"/>
      <c r="CD44" s="385"/>
      <c r="CE44" s="385"/>
      <c r="CF44" s="385"/>
      <c r="CG44" s="385"/>
      <c r="CH44" s="385"/>
      <c r="CI44" s="385"/>
      <c r="CJ44" s="385"/>
      <c r="CK44" s="385"/>
      <c r="CL44" s="385"/>
      <c r="CM44" s="385"/>
      <c r="CN44" s="385"/>
      <c r="CO44" s="385"/>
      <c r="CP44" s="385"/>
      <c r="CQ44" s="385"/>
      <c r="CR44" s="385"/>
      <c r="CS44" s="385"/>
      <c r="CT44" s="385"/>
      <c r="CU44" s="385"/>
      <c r="CV44" s="385"/>
      <c r="CW44" s="385"/>
      <c r="CX44" s="385"/>
      <c r="CY44" s="385"/>
      <c r="CZ44" s="385"/>
      <c r="DA44" s="385"/>
      <c r="DB44" s="385"/>
      <c r="DC44" s="385"/>
      <c r="DD44" s="385"/>
      <c r="DE44" s="385"/>
      <c r="DF44" s="385"/>
      <c r="DG44" s="385"/>
      <c r="DH44" s="385"/>
      <c r="DI44" s="385"/>
      <c r="DJ44" s="385"/>
      <c r="DK44" s="385"/>
      <c r="DL44" s="385"/>
      <c r="DM44" s="385"/>
      <c r="DN44" s="385"/>
      <c r="DO44" s="385"/>
      <c r="DP44" s="385"/>
      <c r="DQ44" s="385"/>
      <c r="DR44" s="385"/>
      <c r="DS44" s="385"/>
      <c r="DT44" s="385"/>
      <c r="DU44" s="385"/>
      <c r="DV44" s="385"/>
      <c r="DW44" s="385"/>
      <c r="DX44" s="385"/>
      <c r="DY44" s="385"/>
      <c r="DZ44" s="385"/>
      <c r="EA44" s="385"/>
      <c r="EB44" s="385"/>
      <c r="EC44" s="385"/>
      <c r="ED44" s="385"/>
      <c r="EE44" s="385"/>
      <c r="EF44" s="385"/>
      <c r="EG44" s="385"/>
      <c r="EH44" s="385"/>
      <c r="EI44" s="385"/>
      <c r="EJ44" s="385"/>
      <c r="EK44" s="385"/>
      <c r="EL44" s="385"/>
      <c r="EM44" s="385"/>
      <c r="EN44" s="385"/>
      <c r="EO44" s="385"/>
      <c r="EP44" s="385"/>
      <c r="EQ44" s="385"/>
      <c r="ER44" s="385"/>
      <c r="ES44" s="385"/>
      <c r="ET44" s="385"/>
      <c r="EU44" s="385"/>
      <c r="EV44" s="385"/>
      <c r="EW44" s="385"/>
      <c r="EX44" s="385"/>
      <c r="EY44" s="385"/>
      <c r="EZ44" s="385"/>
      <c r="FA44" s="385"/>
      <c r="FB44" s="385"/>
      <c r="FC44" s="385"/>
      <c r="FD44" s="385"/>
      <c r="FE44" s="385"/>
      <c r="FF44" s="385"/>
      <c r="FG44" s="385"/>
      <c r="FH44" s="385"/>
      <c r="FI44" s="385"/>
      <c r="FJ44" s="385"/>
      <c r="FK44" s="385"/>
      <c r="FL44" s="385"/>
      <c r="FM44" s="385"/>
      <c r="FN44" s="385"/>
      <c r="FO44" s="385"/>
      <c r="FP44" s="385"/>
      <c r="FQ44" s="385"/>
      <c r="FR44" s="385"/>
      <c r="FS44" s="385"/>
      <c r="FT44" s="385"/>
      <c r="FU44" s="385"/>
      <c r="FV44" s="385"/>
      <c r="FW44" s="385"/>
      <c r="FX44" s="385"/>
      <c r="FY44" s="385"/>
      <c r="FZ44" s="385"/>
      <c r="GA44" s="385"/>
      <c r="GB44" s="385"/>
      <c r="GC44" s="385"/>
      <c r="GD44" s="385"/>
      <c r="GE44" s="385"/>
      <c r="GF44" s="385"/>
      <c r="GG44" s="385"/>
      <c r="GH44" s="385"/>
      <c r="GI44" s="385"/>
      <c r="GJ44" s="385"/>
      <c r="GK44" s="385"/>
      <c r="GL44" s="385"/>
      <c r="GM44" s="385"/>
      <c r="GN44" s="385"/>
      <c r="GO44" s="385"/>
      <c r="GP44" s="385"/>
      <c r="GQ44" s="385"/>
      <c r="GR44" s="385"/>
      <c r="GS44" s="385"/>
      <c r="GT44" s="385"/>
      <c r="GU44" s="385"/>
      <c r="GV44" s="385"/>
      <c r="GW44" s="385"/>
      <c r="GX44" s="385"/>
      <c r="GY44" s="385"/>
      <c r="GZ44" s="385"/>
      <c r="HA44" s="385"/>
      <c r="HB44" s="385"/>
      <c r="HC44" s="385"/>
      <c r="HD44" s="385"/>
      <c r="HE44" s="385"/>
      <c r="HF44" s="385"/>
      <c r="HG44" s="385"/>
      <c r="HH44" s="385"/>
      <c r="HI44" s="385"/>
      <c r="HJ44" s="385"/>
      <c r="HK44" s="385"/>
      <c r="HL44" s="385"/>
      <c r="HM44" s="385"/>
      <c r="HN44" s="385"/>
      <c r="HO44" s="385"/>
      <c r="HP44" s="385"/>
      <c r="HQ44" s="385"/>
      <c r="HR44" s="385"/>
      <c r="HS44" s="385"/>
      <c r="HT44" s="385"/>
      <c r="HU44" s="385"/>
      <c r="HV44" s="385"/>
      <c r="HW44" s="385"/>
      <c r="HX44" s="385"/>
      <c r="HY44" s="385"/>
      <c r="HZ44" s="385"/>
      <c r="IA44" s="385"/>
      <c r="IB44" s="385"/>
      <c r="IC44" s="385"/>
      <c r="ID44" s="385"/>
      <c r="IE44" s="385"/>
      <c r="IF44" s="385"/>
      <c r="IG44" s="385"/>
      <c r="IH44" s="385"/>
      <c r="II44" s="385"/>
      <c r="IJ44" s="385"/>
      <c r="IK44" s="385"/>
      <c r="IL44" s="385"/>
      <c r="IM44" s="385"/>
      <c r="IN44" s="385"/>
      <c r="IO44" s="385"/>
      <c r="IP44" s="385"/>
      <c r="IQ44" s="385"/>
      <c r="IR44" s="385"/>
      <c r="IS44" s="385"/>
      <c r="IT44" s="385"/>
      <c r="IU44" s="385"/>
      <c r="IV44" s="385"/>
      <c r="IW44" s="385"/>
    </row>
    <row r="45" customFormat="false" ht="12.75" hidden="false" customHeight="false" outlineLevel="0" collapsed="false">
      <c r="A45" s="366"/>
      <c r="B45" s="391"/>
      <c r="E45" s="1"/>
      <c r="M45" s="394"/>
    </row>
    <row r="46" customFormat="false" ht="12.75" hidden="false" customHeight="false" outlineLevel="0" collapsed="false">
      <c r="A46" s="366"/>
      <c r="B46" s="391"/>
      <c r="E46" s="1"/>
      <c r="M46" s="394"/>
    </row>
    <row r="47" customFormat="false" ht="12.75" hidden="false" customHeight="false" outlineLevel="0" collapsed="false">
      <c r="A47" s="366"/>
      <c r="B47" s="391"/>
      <c r="E47" s="1"/>
      <c r="M47" s="394"/>
    </row>
    <row r="48" customFormat="false" ht="15.75" hidden="false" customHeight="false" outlineLevel="0" collapsed="false">
      <c r="A48" s="391" t="s">
        <v>319</v>
      </c>
      <c r="B48" s="391"/>
      <c r="E48" s="1"/>
      <c r="M48" s="394"/>
      <c r="AB48" s="102"/>
      <c r="AC48" s="28"/>
    </row>
    <row r="49" customFormat="false" ht="12.75" hidden="false" customHeight="false" outlineLevel="0" collapsed="false">
      <c r="A49" s="245" t="s">
        <v>320</v>
      </c>
      <c r="B49" s="245"/>
      <c r="C49" s="397" t="n">
        <f aca="false">Assumptions!B13</f>
        <v>0.5</v>
      </c>
      <c r="D49" s="372" t="n">
        <f aca="false">(D27)*$C$49</f>
        <v>0</v>
      </c>
      <c r="E49" s="372" t="n">
        <f aca="false">$C$30*E32</f>
        <v>0</v>
      </c>
      <c r="F49" s="372" t="n">
        <f aca="false">$C$30*F32</f>
        <v>0</v>
      </c>
      <c r="G49" s="102" t="n">
        <f aca="false">(G27)*$C$49</f>
        <v>32516.6538653341</v>
      </c>
      <c r="H49" s="102" t="n">
        <f aca="false">(H27)*$C$49</f>
        <v>24745.8994179654</v>
      </c>
      <c r="I49" s="102" t="n">
        <f aca="false">(I27)*$C$49</f>
        <v>22457.8143943336</v>
      </c>
      <c r="J49" s="102" t="n">
        <f aca="false">(J27)*$C$49</f>
        <v>46859.8425158826</v>
      </c>
      <c r="K49" s="102" t="n">
        <f aca="false">(K27)*$C$49</f>
        <v>45255.1214162389</v>
      </c>
      <c r="L49" s="102" t="n">
        <f aca="false">(L27)*$C$49</f>
        <v>43728.8755336606</v>
      </c>
      <c r="M49" s="102" t="n">
        <f aca="false">(M27)*$C$49</f>
        <v>41392.4562035698</v>
      </c>
      <c r="N49" s="102" t="n">
        <f aca="false">(N27)*$C$49</f>
        <v>41160.2400697648</v>
      </c>
      <c r="O49" s="102" t="n">
        <f aca="false">(O27)*$C$49</f>
        <v>40495.8969368153</v>
      </c>
      <c r="P49" s="102" t="n">
        <f aca="false">(P27)*$C$49</f>
        <v>40208.2752463445</v>
      </c>
      <c r="Q49" s="102" t="n">
        <f aca="false">(Q27)*$C$49</f>
        <v>45541.580353078</v>
      </c>
      <c r="R49" s="102" t="n">
        <f aca="false">(R27)*$C$49</f>
        <v>48088.9520818573</v>
      </c>
      <c r="S49" s="102" t="n">
        <f aca="false">(S27)*$C$49</f>
        <v>48017.9932217934</v>
      </c>
      <c r="T49" s="102" t="n">
        <f aca="false">(T27)*$C$49</f>
        <v>48392.0288296817</v>
      </c>
      <c r="U49" s="102" t="n">
        <f aca="false">(U27)*$C$49</f>
        <v>48760.4526585721</v>
      </c>
      <c r="V49" s="102" t="n">
        <f aca="false">(V27)*$C$49</f>
        <v>41801.6742614725</v>
      </c>
      <c r="W49" s="102" t="n">
        <f aca="false">(W27)*$C$49</f>
        <v>36524.9990548953</v>
      </c>
      <c r="X49" s="102" t="n">
        <f aca="false">(X27)*$C$49</f>
        <v>39286.0740532658</v>
      </c>
      <c r="Y49" s="102" t="n">
        <f aca="false">(Y27)*$C$49</f>
        <v>44253.7152065058</v>
      </c>
      <c r="Z49" s="102" t="n">
        <f aca="false">(Z27)*$C$49</f>
        <v>48490.2835242332</v>
      </c>
      <c r="AA49" s="102" t="n">
        <f aca="false">(AA27)*$C$49</f>
        <v>68978.4110873959</v>
      </c>
    </row>
    <row r="50" customFormat="false" ht="12.75" hidden="false" customHeight="false" outlineLevel="0" collapsed="false">
      <c r="A50" s="398" t="s">
        <v>321</v>
      </c>
      <c r="B50" s="398"/>
      <c r="D50" s="102" t="n">
        <f aca="false">-0.5*B55</f>
        <v>-133750</v>
      </c>
      <c r="E50" s="372" t="n">
        <v>0</v>
      </c>
      <c r="F50" s="102" t="n">
        <f aca="false">D50</f>
        <v>-133750</v>
      </c>
      <c r="AB50" s="399"/>
      <c r="AC50" s="399"/>
    </row>
    <row r="51" customFormat="false" ht="12.75" hidden="false" customHeight="false" outlineLevel="0" collapsed="false">
      <c r="A51" s="398" t="s">
        <v>322</v>
      </c>
      <c r="B51" s="398"/>
      <c r="D51" s="102" t="n">
        <f aca="false">D50+D49</f>
        <v>-133750</v>
      </c>
      <c r="E51" s="372" t="n">
        <f aca="false">E44</f>
        <v>151.431157383647</v>
      </c>
      <c r="F51" s="102" t="n">
        <f aca="false">F50+F49</f>
        <v>-133750</v>
      </c>
      <c r="G51" s="400" t="n">
        <f aca="false">G50+G49</f>
        <v>32516.6538653341</v>
      </c>
      <c r="H51" s="400" t="n">
        <f aca="false">H50+H49</f>
        <v>24745.8994179654</v>
      </c>
      <c r="I51" s="400" t="n">
        <f aca="false">I50+I49</f>
        <v>22457.8143943336</v>
      </c>
      <c r="J51" s="400" t="n">
        <f aca="false">J50+J49</f>
        <v>46859.8425158826</v>
      </c>
      <c r="K51" s="400" t="n">
        <f aca="false">K50+K49</f>
        <v>45255.1214162389</v>
      </c>
      <c r="L51" s="400" t="n">
        <f aca="false">L50+L49</f>
        <v>43728.8755336606</v>
      </c>
      <c r="M51" s="400" t="n">
        <f aca="false">M50+M49</f>
        <v>41392.4562035698</v>
      </c>
      <c r="N51" s="400" t="n">
        <f aca="false">N50+N49</f>
        <v>41160.2400697648</v>
      </c>
      <c r="O51" s="400" t="n">
        <f aca="false">O50+O49</f>
        <v>40495.8969368153</v>
      </c>
      <c r="P51" s="400" t="n">
        <f aca="false">P50+P49</f>
        <v>40208.2752463445</v>
      </c>
      <c r="Q51" s="400" t="n">
        <f aca="false">Q50+Q49</f>
        <v>45541.580353078</v>
      </c>
      <c r="R51" s="400" t="n">
        <f aca="false">R50+R49</f>
        <v>48088.9520818573</v>
      </c>
      <c r="S51" s="400" t="n">
        <f aca="false">S50+S49</f>
        <v>48017.9932217934</v>
      </c>
      <c r="T51" s="400" t="n">
        <f aca="false">T50+T49</f>
        <v>48392.0288296817</v>
      </c>
      <c r="U51" s="400" t="n">
        <f aca="false">U50+U49</f>
        <v>48760.4526585721</v>
      </c>
      <c r="V51" s="400" t="n">
        <f aca="false">V50+V49</f>
        <v>41801.6742614725</v>
      </c>
      <c r="W51" s="400" t="n">
        <f aca="false">W50+W49</f>
        <v>36524.9990548953</v>
      </c>
      <c r="X51" s="400" t="n">
        <f aca="false">X50+X49</f>
        <v>39286.0740532658</v>
      </c>
      <c r="Y51" s="400" t="n">
        <f aca="false">Y50+Y49</f>
        <v>44253.7152065058</v>
      </c>
      <c r="Z51" s="400" t="n">
        <f aca="false">Z50+Z49</f>
        <v>48490.2835242332</v>
      </c>
      <c r="AA51" s="400" t="n">
        <f aca="false">AA50+AA49</f>
        <v>68978.4110873959</v>
      </c>
    </row>
    <row r="52" customFormat="false" ht="12.75" hidden="false" customHeight="false" outlineLevel="0" collapsed="false">
      <c r="A52" s="398"/>
      <c r="B52" s="398"/>
      <c r="D52" s="102"/>
      <c r="E52" s="400"/>
      <c r="F52" s="400"/>
      <c r="G52" s="400"/>
      <c r="H52" s="400"/>
      <c r="I52" s="400"/>
      <c r="J52" s="400"/>
      <c r="K52" s="400"/>
      <c r="L52" s="400"/>
      <c r="M52" s="400"/>
      <c r="N52" s="400"/>
      <c r="O52" s="400"/>
      <c r="P52" s="400"/>
      <c r="Q52" s="400"/>
      <c r="R52" s="400"/>
      <c r="S52" s="400"/>
      <c r="T52" s="400"/>
      <c r="U52" s="400"/>
      <c r="V52" s="400"/>
      <c r="W52" s="400"/>
      <c r="X52" s="400"/>
      <c r="Y52" s="400"/>
      <c r="Z52" s="400"/>
    </row>
    <row r="53" customFormat="false" ht="12.75" hidden="false" customHeight="false" outlineLevel="0" collapsed="false">
      <c r="A53" s="401" t="s">
        <v>323</v>
      </c>
      <c r="B53" s="401"/>
      <c r="C53" s="401"/>
      <c r="D53" s="402" t="n">
        <f aca="false">D79</f>
        <v>0.136189376356812</v>
      </c>
      <c r="E53" s="1"/>
    </row>
    <row r="54" customFormat="false" ht="12.75" hidden="false" customHeight="false" outlineLevel="0" collapsed="false">
      <c r="A54" s="403"/>
      <c r="B54" s="403"/>
      <c r="D54" s="80"/>
      <c r="E54" s="80"/>
      <c r="F54" s="80"/>
      <c r="G54" s="80"/>
      <c r="H54" s="80"/>
      <c r="I54" s="80"/>
      <c r="J54" s="80"/>
      <c r="K54" s="80"/>
      <c r="L54" s="394"/>
    </row>
    <row r="55" customFormat="false" ht="12.75" hidden="false" customHeight="false" outlineLevel="0" collapsed="false">
      <c r="A55" s="404" t="s">
        <v>324</v>
      </c>
      <c r="B55" s="405" t="n">
        <f aca="false">Assumptions!C8*C49</f>
        <v>267500</v>
      </c>
      <c r="D55" s="102"/>
      <c r="E55" s="1"/>
    </row>
    <row r="56" customFormat="false" ht="12.75" hidden="false" customHeight="false" outlineLevel="0" collapsed="false">
      <c r="E56" s="1"/>
    </row>
    <row r="57" customFormat="false" ht="12.75" hidden="false" customHeight="false" outlineLevel="0" collapsed="false">
      <c r="E57" s="400"/>
      <c r="F57" s="400"/>
    </row>
    <row r="58" customFormat="false" ht="12.75" hidden="false" customHeight="false" outlineLevel="0" collapsed="false">
      <c r="A58" s="391" t="s">
        <v>325</v>
      </c>
      <c r="E58" s="1"/>
    </row>
    <row r="59" customFormat="false" ht="12.75" hidden="false" customHeight="false" outlineLevel="0" collapsed="false">
      <c r="A59" s="1" t="s">
        <v>326</v>
      </c>
      <c r="D59" s="400" t="n">
        <f aca="false">D51</f>
        <v>-133750</v>
      </c>
      <c r="E59" s="400" t="n">
        <f aca="false">E51</f>
        <v>151.431157383647</v>
      </c>
      <c r="F59" s="400" t="n">
        <f aca="false">F51</f>
        <v>-133750</v>
      </c>
      <c r="G59" s="400" t="n">
        <f aca="false">G51</f>
        <v>32516.6538653341</v>
      </c>
      <c r="H59" s="400" t="n">
        <f aca="false">H51</f>
        <v>24745.8994179654</v>
      </c>
      <c r="I59" s="400" t="n">
        <f aca="false">I51</f>
        <v>22457.8143943336</v>
      </c>
      <c r="J59" s="400" t="n">
        <f aca="false">J51</f>
        <v>46859.8425158826</v>
      </c>
      <c r="K59" s="400" t="n">
        <f aca="false">K51</f>
        <v>45255.1214162389</v>
      </c>
      <c r="L59" s="400" t="n">
        <f aca="false">L51</f>
        <v>43728.8755336606</v>
      </c>
      <c r="M59" s="400" t="n">
        <f aca="false">M51</f>
        <v>41392.4562035698</v>
      </c>
      <c r="N59" s="400" t="n">
        <f aca="false">N51</f>
        <v>41160.2400697648</v>
      </c>
      <c r="O59" s="400" t="n">
        <f aca="false">O51</f>
        <v>40495.8969368153</v>
      </c>
      <c r="P59" s="400" t="n">
        <f aca="false">P51</f>
        <v>40208.2752463445</v>
      </c>
      <c r="Q59" s="400" t="n">
        <f aca="false">Q51</f>
        <v>45541.580353078</v>
      </c>
      <c r="R59" s="400" t="n">
        <f aca="false">R51</f>
        <v>48088.9520818573</v>
      </c>
      <c r="S59" s="400" t="n">
        <f aca="false">S51</f>
        <v>48017.9932217934</v>
      </c>
      <c r="T59" s="400" t="n">
        <f aca="false">T51</f>
        <v>48392.0288296817</v>
      </c>
      <c r="U59" s="400" t="n">
        <f aca="false">U51</f>
        <v>48760.4526585721</v>
      </c>
      <c r="V59" s="400" t="n">
        <f aca="false">V51</f>
        <v>41801.6742614725</v>
      </c>
      <c r="W59" s="400" t="n">
        <f aca="false">W51</f>
        <v>36524.9990548953</v>
      </c>
      <c r="X59" s="400" t="n">
        <f aca="false">X51</f>
        <v>39286.0740532658</v>
      </c>
      <c r="Y59" s="400" t="n">
        <f aca="false">Y51</f>
        <v>44253.7152065058</v>
      </c>
      <c r="Z59" s="400" t="n">
        <f aca="false">Z51</f>
        <v>48490.2835242332</v>
      </c>
      <c r="AA59" s="400" t="n">
        <f aca="false">AA51</f>
        <v>68978.4110873959</v>
      </c>
    </row>
    <row r="60" customFormat="false" ht="12.75" hidden="false" customHeight="false" outlineLevel="0" collapsed="false">
      <c r="A60" s="1" t="s">
        <v>327</v>
      </c>
      <c r="D60" s="400" t="n">
        <v>0</v>
      </c>
      <c r="E60" s="400" t="n">
        <v>0</v>
      </c>
      <c r="F60" s="400" t="n">
        <v>0</v>
      </c>
      <c r="G60" s="400" t="n">
        <v>0</v>
      </c>
      <c r="H60" s="400" t="n">
        <v>0</v>
      </c>
      <c r="I60" s="400" t="n">
        <v>0</v>
      </c>
      <c r="J60" s="400" t="n">
        <v>0</v>
      </c>
      <c r="K60" s="400" t="n">
        <v>0</v>
      </c>
      <c r="L60" s="400" t="n">
        <v>0</v>
      </c>
      <c r="M60" s="400" t="n">
        <v>0</v>
      </c>
      <c r="N60" s="400" t="n">
        <v>0</v>
      </c>
      <c r="O60" s="400" t="n">
        <v>0</v>
      </c>
      <c r="P60" s="400" t="n">
        <v>0</v>
      </c>
      <c r="Q60" s="400" t="n">
        <v>0</v>
      </c>
      <c r="R60" s="400" t="n">
        <v>0</v>
      </c>
      <c r="S60" s="400" t="n">
        <v>0</v>
      </c>
      <c r="T60" s="400" t="n">
        <v>0</v>
      </c>
      <c r="U60" s="400" t="n">
        <v>0</v>
      </c>
      <c r="V60" s="400" t="n">
        <v>0</v>
      </c>
      <c r="W60" s="400" t="n">
        <v>0</v>
      </c>
      <c r="X60" s="400" t="n">
        <v>0</v>
      </c>
      <c r="Y60" s="400" t="n">
        <v>0</v>
      </c>
      <c r="Z60" s="400" t="n">
        <v>0</v>
      </c>
      <c r="AA60" s="373" t="n">
        <f aca="false">5*AA10*$C$49</f>
        <v>565069.3174614</v>
      </c>
    </row>
    <row r="61" customFormat="false" ht="12.75" hidden="false" customHeight="false" outlineLevel="0" collapsed="false">
      <c r="A61" s="1" t="s">
        <v>328</v>
      </c>
      <c r="D61" s="400" t="n">
        <f aca="false">D59+D60</f>
        <v>-133750</v>
      </c>
      <c r="E61" s="400" t="n">
        <f aca="false">E59+E60</f>
        <v>151.431157383647</v>
      </c>
      <c r="F61" s="400" t="n">
        <f aca="false">F59+F60</f>
        <v>-133750</v>
      </c>
      <c r="G61" s="400" t="n">
        <f aca="false">G59+G60</f>
        <v>32516.6538653341</v>
      </c>
      <c r="H61" s="400" t="n">
        <f aca="false">H59+H60</f>
        <v>24745.8994179654</v>
      </c>
      <c r="I61" s="400" t="n">
        <f aca="false">I59+I60</f>
        <v>22457.8143943336</v>
      </c>
      <c r="J61" s="400" t="n">
        <f aca="false">J59+J60</f>
        <v>46859.8425158826</v>
      </c>
      <c r="K61" s="400" t="n">
        <f aca="false">K59+K60</f>
        <v>45255.1214162389</v>
      </c>
      <c r="L61" s="400" t="n">
        <f aca="false">L59+L60</f>
        <v>43728.8755336606</v>
      </c>
      <c r="M61" s="400" t="n">
        <f aca="false">M59+M60</f>
        <v>41392.4562035698</v>
      </c>
      <c r="N61" s="400" t="n">
        <f aca="false">N59+N60</f>
        <v>41160.2400697648</v>
      </c>
      <c r="O61" s="400" t="n">
        <f aca="false">O59+O60</f>
        <v>40495.8969368153</v>
      </c>
      <c r="P61" s="400" t="n">
        <f aca="false">P59+P60</f>
        <v>40208.2752463445</v>
      </c>
      <c r="Q61" s="400" t="n">
        <f aca="false">Q59+Q60</f>
        <v>45541.580353078</v>
      </c>
      <c r="R61" s="400" t="n">
        <f aca="false">R59+R60</f>
        <v>48088.9520818573</v>
      </c>
      <c r="S61" s="400" t="n">
        <f aca="false">S59+S60</f>
        <v>48017.9932217934</v>
      </c>
      <c r="T61" s="400" t="n">
        <f aca="false">T59+T60</f>
        <v>48392.0288296817</v>
      </c>
      <c r="U61" s="400" t="n">
        <f aca="false">U59+U60</f>
        <v>48760.4526585721</v>
      </c>
      <c r="V61" s="400" t="n">
        <f aca="false">V59+V60</f>
        <v>41801.6742614725</v>
      </c>
      <c r="W61" s="400" t="n">
        <f aca="false">W59+W60</f>
        <v>36524.9990548953</v>
      </c>
      <c r="X61" s="400" t="n">
        <f aca="false">X59+X60</f>
        <v>39286.0740532658</v>
      </c>
      <c r="Y61" s="400" t="n">
        <f aca="false">Y59+Y60</f>
        <v>44253.7152065058</v>
      </c>
      <c r="Z61" s="400" t="n">
        <f aca="false">Z59+Z60</f>
        <v>48490.2835242332</v>
      </c>
      <c r="AA61" s="400" t="n">
        <f aca="false">AA59+AA60</f>
        <v>634047.728548796</v>
      </c>
    </row>
    <row r="62" customFormat="false" ht="12.75" hidden="false" customHeight="false" outlineLevel="0" collapsed="false">
      <c r="A62" s="161" t="s">
        <v>329</v>
      </c>
      <c r="D62" s="406" t="n">
        <f aca="false">D83</f>
        <v>0.153940488071777</v>
      </c>
      <c r="E62" s="400"/>
      <c r="G62" s="400"/>
      <c r="H62" s="400"/>
      <c r="I62" s="400"/>
      <c r="J62" s="400"/>
      <c r="K62" s="400"/>
      <c r="L62" s="400"/>
      <c r="M62" s="400"/>
      <c r="N62" s="400"/>
      <c r="O62" s="400"/>
      <c r="P62" s="400"/>
      <c r="Q62" s="400"/>
      <c r="R62" s="400"/>
      <c r="S62" s="400"/>
      <c r="T62" s="400"/>
      <c r="U62" s="400"/>
      <c r="V62" s="400"/>
      <c r="W62" s="400"/>
      <c r="X62" s="400"/>
      <c r="Y62" s="400"/>
      <c r="Z62" s="400"/>
    </row>
    <row r="63" customFormat="false" ht="12.75" hidden="false" customHeight="false" outlineLevel="0" collapsed="false">
      <c r="A63" s="161"/>
      <c r="C63" s="407"/>
      <c r="E63" s="400"/>
    </row>
    <row r="64" customFormat="false" ht="12.75" hidden="false" customHeight="false" outlineLevel="0" collapsed="false">
      <c r="A64" s="391" t="s">
        <v>330</v>
      </c>
      <c r="E64" s="400"/>
    </row>
    <row r="65" customFormat="false" ht="12.75" hidden="false" customHeight="false" outlineLevel="0" collapsed="false">
      <c r="A65" s="1" t="s">
        <v>326</v>
      </c>
      <c r="D65" s="400" t="n">
        <f aca="false">D51</f>
        <v>-133750</v>
      </c>
      <c r="E65" s="400" t="n">
        <f aca="false">E51</f>
        <v>151.431157383647</v>
      </c>
      <c r="F65" s="400" t="n">
        <f aca="false">F51</f>
        <v>-133750</v>
      </c>
      <c r="G65" s="400" t="n">
        <f aca="false">G51</f>
        <v>32516.6538653341</v>
      </c>
      <c r="H65" s="400" t="n">
        <f aca="false">H51</f>
        <v>24745.8994179654</v>
      </c>
      <c r="I65" s="400" t="n">
        <f aca="false">I51</f>
        <v>22457.8143943336</v>
      </c>
      <c r="J65" s="400" t="n">
        <f aca="false">J51</f>
        <v>46859.8425158826</v>
      </c>
      <c r="K65" s="400" t="n">
        <f aca="false">K51</f>
        <v>45255.1214162389</v>
      </c>
      <c r="L65" s="400" t="n">
        <f aca="false">L51</f>
        <v>43728.8755336606</v>
      </c>
      <c r="M65" s="400" t="n">
        <f aca="false">M51</f>
        <v>41392.4562035698</v>
      </c>
      <c r="N65" s="400" t="n">
        <f aca="false">N51</f>
        <v>41160.2400697648</v>
      </c>
      <c r="O65" s="400" t="n">
        <f aca="false">O51</f>
        <v>40495.8969368153</v>
      </c>
      <c r="P65" s="400" t="n">
        <f aca="false">P51</f>
        <v>40208.2752463445</v>
      </c>
      <c r="Q65" s="400" t="n">
        <f aca="false">Q51</f>
        <v>45541.580353078</v>
      </c>
      <c r="R65" s="400" t="n">
        <f aca="false">R51</f>
        <v>48088.9520818573</v>
      </c>
      <c r="S65" s="400" t="n">
        <f aca="false">S51</f>
        <v>48017.9932217934</v>
      </c>
      <c r="T65" s="400" t="n">
        <f aca="false">T51</f>
        <v>48392.0288296817</v>
      </c>
      <c r="U65" s="400" t="n">
        <f aca="false">U51</f>
        <v>48760.4526585721</v>
      </c>
      <c r="V65" s="400" t="n">
        <f aca="false">V51</f>
        <v>41801.6742614725</v>
      </c>
      <c r="W65" s="400" t="n">
        <f aca="false">W51</f>
        <v>36524.9990548953</v>
      </c>
      <c r="X65" s="400" t="n">
        <f aca="false">X51</f>
        <v>39286.0740532658</v>
      </c>
      <c r="Y65" s="400" t="n">
        <f aca="false">Y51</f>
        <v>44253.7152065058</v>
      </c>
      <c r="Z65" s="400" t="n">
        <f aca="false">Z51</f>
        <v>48490.2835242332</v>
      </c>
      <c r="AA65" s="400" t="n">
        <f aca="false">AA51</f>
        <v>68978.4110873959</v>
      </c>
    </row>
    <row r="66" customFormat="false" ht="12.75" hidden="false" customHeight="false" outlineLevel="0" collapsed="false">
      <c r="A66" s="1" t="s">
        <v>331</v>
      </c>
      <c r="D66" s="408" t="n">
        <v>0</v>
      </c>
      <c r="E66" s="400" t="n">
        <v>0</v>
      </c>
      <c r="F66" s="400" t="n">
        <v>0</v>
      </c>
      <c r="G66" s="400" t="n">
        <v>0</v>
      </c>
      <c r="H66" s="400" t="n">
        <v>0</v>
      </c>
      <c r="I66" s="400" t="n">
        <v>0</v>
      </c>
      <c r="J66" s="400" t="n">
        <v>0</v>
      </c>
      <c r="K66" s="400" t="n">
        <v>0</v>
      </c>
      <c r="L66" s="400" t="n">
        <v>0</v>
      </c>
      <c r="M66" s="400" t="n">
        <v>0</v>
      </c>
      <c r="N66" s="400" t="n">
        <v>0</v>
      </c>
      <c r="O66" s="400" t="n">
        <v>0</v>
      </c>
      <c r="P66" s="400" t="n">
        <v>0</v>
      </c>
      <c r="Q66" s="400" t="n">
        <v>0</v>
      </c>
      <c r="R66" s="400" t="n">
        <v>0</v>
      </c>
      <c r="S66" s="400" t="n">
        <v>0</v>
      </c>
      <c r="T66" s="400" t="n">
        <v>0</v>
      </c>
      <c r="U66" s="400" t="n">
        <v>0</v>
      </c>
      <c r="V66" s="400" t="n">
        <v>0</v>
      </c>
      <c r="W66" s="400" t="n">
        <v>0</v>
      </c>
      <c r="X66" s="400" t="n">
        <v>0</v>
      </c>
      <c r="Y66" s="400" t="n">
        <v>0</v>
      </c>
      <c r="Z66" s="400" t="n">
        <v>0</v>
      </c>
      <c r="AA66" s="373" t="n">
        <f aca="false">0.5*Assumptions!$C$11*CF!$C$49</f>
        <v>308750</v>
      </c>
    </row>
    <row r="67" customFormat="false" ht="12.75" hidden="false" customHeight="false" outlineLevel="0" collapsed="false">
      <c r="A67" s="1" t="s">
        <v>328</v>
      </c>
      <c r="B67" s="388"/>
      <c r="D67" s="400" t="n">
        <f aca="false">D65+D66</f>
        <v>-133750</v>
      </c>
      <c r="E67" s="400" t="n">
        <f aca="false">E65+E66</f>
        <v>151.431157383647</v>
      </c>
      <c r="F67" s="400" t="n">
        <f aca="false">F65+F66</f>
        <v>-133750</v>
      </c>
      <c r="G67" s="400" t="n">
        <f aca="false">G65+G66</f>
        <v>32516.6538653341</v>
      </c>
      <c r="H67" s="400" t="n">
        <f aca="false">H65+H66</f>
        <v>24745.8994179654</v>
      </c>
      <c r="I67" s="400" t="n">
        <f aca="false">I65+I66</f>
        <v>22457.8143943336</v>
      </c>
      <c r="J67" s="400" t="n">
        <f aca="false">J65+J66</f>
        <v>46859.8425158826</v>
      </c>
      <c r="K67" s="400" t="n">
        <f aca="false">K65+K66</f>
        <v>45255.1214162389</v>
      </c>
      <c r="L67" s="400" t="n">
        <f aca="false">L65+L66</f>
        <v>43728.8755336606</v>
      </c>
      <c r="M67" s="400" t="n">
        <f aca="false">M65+M66</f>
        <v>41392.4562035698</v>
      </c>
      <c r="N67" s="400" t="n">
        <f aca="false">N65+N66</f>
        <v>41160.2400697648</v>
      </c>
      <c r="O67" s="400" t="n">
        <f aca="false">O65+O66</f>
        <v>40495.8969368153</v>
      </c>
      <c r="P67" s="400" t="n">
        <f aca="false">P65+P66</f>
        <v>40208.2752463445</v>
      </c>
      <c r="Q67" s="400" t="n">
        <f aca="false">Q65+Q66</f>
        <v>45541.580353078</v>
      </c>
      <c r="R67" s="400" t="n">
        <f aca="false">R65+R66</f>
        <v>48088.9520818573</v>
      </c>
      <c r="S67" s="400" t="n">
        <f aca="false">S65+S66</f>
        <v>48017.9932217934</v>
      </c>
      <c r="T67" s="400" t="n">
        <f aca="false">T65+T66</f>
        <v>48392.0288296817</v>
      </c>
      <c r="U67" s="400" t="n">
        <f aca="false">U65+U66</f>
        <v>48760.4526585721</v>
      </c>
      <c r="V67" s="400" t="n">
        <f aca="false">V65+V66</f>
        <v>41801.6742614725</v>
      </c>
      <c r="W67" s="400" t="n">
        <f aca="false">W65+W66</f>
        <v>36524.9990548953</v>
      </c>
      <c r="X67" s="400" t="n">
        <f aca="false">X65+X66</f>
        <v>39286.0740532658</v>
      </c>
      <c r="Y67" s="400" t="n">
        <f aca="false">Y65+Y66</f>
        <v>44253.7152065058</v>
      </c>
      <c r="Z67" s="400" t="n">
        <f aca="false">Z65+Z66</f>
        <v>48490.2835242332</v>
      </c>
      <c r="AA67" s="400" t="n">
        <f aca="false">AA65+AA66</f>
        <v>377728.411087396</v>
      </c>
      <c r="AB67" s="399"/>
      <c r="AC67" s="399"/>
    </row>
    <row r="68" customFormat="false" ht="12.75" hidden="false" customHeight="false" outlineLevel="0" collapsed="false">
      <c r="A68" s="161" t="s">
        <v>332</v>
      </c>
      <c r="D68" s="406" t="n">
        <f aca="false">D87</f>
        <v>0.146832509836709</v>
      </c>
      <c r="E68" s="400"/>
    </row>
    <row r="69" customFormat="false" ht="12.75" hidden="false" customHeight="false" outlineLevel="0" collapsed="false">
      <c r="E69" s="400"/>
    </row>
    <row r="70" customFormat="false" ht="12.75" hidden="false" customHeight="false" outlineLevel="0" collapsed="false">
      <c r="E70" s="400"/>
    </row>
    <row r="71" customFormat="false" ht="12.75" hidden="false" customHeight="false" outlineLevel="0" collapsed="false">
      <c r="E71" s="1"/>
    </row>
    <row r="72" customFormat="false" ht="12.75" hidden="false" customHeight="false" outlineLevel="0" collapsed="false">
      <c r="E72" s="1"/>
    </row>
    <row r="73" customFormat="false" ht="18.75" hidden="false" customHeight="false" outlineLevel="0" collapsed="false">
      <c r="A73" s="14" t="s">
        <v>333</v>
      </c>
      <c r="E73" s="1"/>
    </row>
    <row r="74" customFormat="false" ht="18.75" hidden="false" customHeight="false" outlineLevel="0" collapsed="false">
      <c r="A74" s="14"/>
      <c r="E74" s="1"/>
    </row>
    <row r="75" customFormat="false" ht="13.5" hidden="false" customHeight="false" outlineLevel="0" collapsed="false">
      <c r="A75" s="319" t="s">
        <v>269</v>
      </c>
      <c r="B75" s="319"/>
      <c r="C75" s="359"/>
      <c r="D75" s="409" t="n">
        <v>36525</v>
      </c>
      <c r="E75" s="409" t="n">
        <v>36891</v>
      </c>
      <c r="F75" s="409" t="n">
        <v>37256</v>
      </c>
      <c r="G75" s="409" t="n">
        <v>37621</v>
      </c>
      <c r="H75" s="409" t="n">
        <v>37986</v>
      </c>
      <c r="I75" s="409" t="n">
        <v>38352</v>
      </c>
      <c r="J75" s="409" t="n">
        <v>38717</v>
      </c>
      <c r="K75" s="409" t="n">
        <v>39082</v>
      </c>
      <c r="L75" s="409" t="n">
        <v>39447</v>
      </c>
      <c r="M75" s="409" t="n">
        <v>39813</v>
      </c>
      <c r="N75" s="409" t="n">
        <v>40178</v>
      </c>
      <c r="O75" s="409" t="n">
        <v>40543</v>
      </c>
      <c r="P75" s="409" t="n">
        <v>40908</v>
      </c>
      <c r="Q75" s="409" t="n">
        <v>41274</v>
      </c>
      <c r="R75" s="409" t="n">
        <v>41639</v>
      </c>
      <c r="S75" s="409" t="n">
        <v>42004</v>
      </c>
      <c r="T75" s="409" t="n">
        <v>42369</v>
      </c>
      <c r="U75" s="409" t="n">
        <v>42735</v>
      </c>
      <c r="V75" s="409" t="n">
        <v>43100</v>
      </c>
      <c r="W75" s="409" t="n">
        <v>43465</v>
      </c>
      <c r="X75" s="409" t="n">
        <v>43830</v>
      </c>
      <c r="Y75" s="409" t="n">
        <v>44196</v>
      </c>
      <c r="Z75" s="0"/>
      <c r="AA75" s="70"/>
      <c r="AC75" s="1"/>
    </row>
    <row r="76" customFormat="false" ht="12.75" hidden="false" customHeight="false" outlineLevel="0" collapsed="false">
      <c r="E76" s="1"/>
      <c r="Z76" s="0"/>
      <c r="AA76" s="70"/>
      <c r="AC76" s="1"/>
    </row>
    <row r="77" customFormat="false" ht="12.75" hidden="false" customHeight="false" outlineLevel="0" collapsed="false">
      <c r="A77" s="1" t="s">
        <v>334</v>
      </c>
      <c r="B77" s="410" t="n">
        <f aca="false">D79</f>
        <v>0.136189376356812</v>
      </c>
      <c r="D77" s="102" t="n">
        <f aca="false">D50+F50/((1+B77)^((F8-D8)/365))</f>
        <v>-263309.448179105</v>
      </c>
      <c r="E77" s="1"/>
      <c r="Z77" s="0"/>
      <c r="AA77" s="70"/>
      <c r="AC77" s="1"/>
    </row>
    <row r="78" customFormat="false" ht="12.75" hidden="false" customHeight="false" outlineLevel="0" collapsed="false">
      <c r="A78" s="1" t="s">
        <v>335</v>
      </c>
      <c r="D78" s="102" t="n">
        <f aca="false">D77+D49</f>
        <v>-263309.448179105</v>
      </c>
      <c r="E78" s="400" t="n">
        <f aca="false">G51+E51</f>
        <v>32668.0850227177</v>
      </c>
      <c r="F78" s="400" t="n">
        <f aca="false">H51</f>
        <v>24745.8994179654</v>
      </c>
      <c r="G78" s="400" t="n">
        <f aca="false">I51</f>
        <v>22457.8143943336</v>
      </c>
      <c r="H78" s="400" t="n">
        <f aca="false">J51</f>
        <v>46859.8425158826</v>
      </c>
      <c r="I78" s="400" t="n">
        <f aca="false">K51</f>
        <v>45255.1214162389</v>
      </c>
      <c r="J78" s="400" t="n">
        <f aca="false">L51</f>
        <v>43728.8755336606</v>
      </c>
      <c r="K78" s="400" t="n">
        <f aca="false">M51</f>
        <v>41392.4562035698</v>
      </c>
      <c r="L78" s="400" t="n">
        <f aca="false">N51</f>
        <v>41160.2400697648</v>
      </c>
      <c r="M78" s="400" t="n">
        <f aca="false">O51</f>
        <v>40495.8969368153</v>
      </c>
      <c r="N78" s="400" t="n">
        <f aca="false">P51</f>
        <v>40208.2752463445</v>
      </c>
      <c r="O78" s="400" t="n">
        <f aca="false">Q51</f>
        <v>45541.580353078</v>
      </c>
      <c r="P78" s="400" t="n">
        <f aca="false">R51</f>
        <v>48088.9520818573</v>
      </c>
      <c r="Q78" s="400" t="n">
        <f aca="false">S51</f>
        <v>48017.9932217934</v>
      </c>
      <c r="R78" s="400" t="n">
        <f aca="false">T51</f>
        <v>48392.0288296817</v>
      </c>
      <c r="S78" s="400" t="n">
        <f aca="false">U51</f>
        <v>48760.4526585721</v>
      </c>
      <c r="T78" s="400" t="n">
        <f aca="false">V51</f>
        <v>41801.6742614725</v>
      </c>
      <c r="U78" s="400" t="n">
        <f aca="false">W51</f>
        <v>36524.9990548953</v>
      </c>
      <c r="V78" s="400" t="n">
        <f aca="false">X51</f>
        <v>39286.0740532658</v>
      </c>
      <c r="W78" s="400" t="n">
        <f aca="false">Y51</f>
        <v>44253.7152065058</v>
      </c>
      <c r="X78" s="400" t="n">
        <f aca="false">Z51</f>
        <v>48490.2835242332</v>
      </c>
      <c r="Y78" s="400" t="n">
        <f aca="false">AA51</f>
        <v>68978.4110873959</v>
      </c>
      <c r="Z78" s="0"/>
      <c r="AA78" s="70"/>
      <c r="AC78" s="1"/>
    </row>
    <row r="79" customFormat="false" ht="12.75" hidden="false" customHeight="false" outlineLevel="0" collapsed="false">
      <c r="A79" s="1" t="s">
        <v>336</v>
      </c>
      <c r="D79" s="406" t="n">
        <f aca="false">IRR(D78:Y78)</f>
        <v>0.136189376356812</v>
      </c>
      <c r="E79" s="1"/>
      <c r="Z79" s="0"/>
      <c r="AA79" s="70"/>
      <c r="AC79" s="1"/>
    </row>
    <row r="80" customFormat="false" ht="12.75" hidden="false" customHeight="false" outlineLevel="0" collapsed="false">
      <c r="D80" s="400"/>
      <c r="E80" s="400"/>
      <c r="F80" s="400"/>
      <c r="G80" s="400"/>
      <c r="H80" s="400"/>
      <c r="I80" s="400"/>
      <c r="J80" s="400"/>
      <c r="K80" s="400"/>
      <c r="L80" s="400"/>
      <c r="M80" s="400"/>
      <c r="N80" s="400"/>
      <c r="O80" s="400"/>
      <c r="P80" s="400"/>
      <c r="Q80" s="400"/>
      <c r="R80" s="400"/>
      <c r="S80" s="400"/>
      <c r="T80" s="400"/>
      <c r="U80" s="400"/>
      <c r="V80" s="400"/>
      <c r="W80" s="400"/>
      <c r="X80" s="400"/>
      <c r="Y80" s="400"/>
      <c r="Z80" s="0"/>
      <c r="AA80" s="70"/>
      <c r="AC80" s="1"/>
    </row>
    <row r="81" customFormat="false" ht="12.75" hidden="false" customHeight="false" outlineLevel="0" collapsed="false">
      <c r="A81" s="1" t="s">
        <v>334</v>
      </c>
      <c r="B81" s="410" t="n">
        <f aca="false">D83</f>
        <v>0.153940488071777</v>
      </c>
      <c r="D81" s="102" t="n">
        <f aca="false">D50+F50/((1+B81)^((F8-D8)/365))</f>
        <v>-262809.663719529</v>
      </c>
      <c r="E81" s="400"/>
      <c r="F81" s="400"/>
      <c r="G81" s="400"/>
      <c r="H81" s="400"/>
      <c r="I81" s="400"/>
      <c r="J81" s="400"/>
      <c r="K81" s="400"/>
      <c r="L81" s="400"/>
      <c r="M81" s="400"/>
      <c r="N81" s="400"/>
      <c r="O81" s="400"/>
      <c r="P81" s="400"/>
      <c r="Q81" s="400"/>
      <c r="R81" s="400"/>
      <c r="S81" s="400"/>
      <c r="T81" s="400"/>
      <c r="U81" s="400"/>
      <c r="V81" s="400"/>
      <c r="W81" s="400"/>
      <c r="X81" s="400"/>
      <c r="Y81" s="400"/>
      <c r="Z81" s="0"/>
      <c r="AA81" s="70"/>
      <c r="AC81" s="1"/>
    </row>
    <row r="82" customFormat="false" ht="12.75" hidden="false" customHeight="false" outlineLevel="0" collapsed="false">
      <c r="A82" s="1" t="s">
        <v>325</v>
      </c>
      <c r="D82" s="400" t="n">
        <f aca="false">D81+D49</f>
        <v>-262809.663719529</v>
      </c>
      <c r="E82" s="400" t="n">
        <f aca="false">G61+E61</f>
        <v>32668.0850227177</v>
      </c>
      <c r="F82" s="400" t="n">
        <f aca="false">H61</f>
        <v>24745.8994179654</v>
      </c>
      <c r="G82" s="400" t="n">
        <f aca="false">I61</f>
        <v>22457.8143943336</v>
      </c>
      <c r="H82" s="400" t="n">
        <f aca="false">J61</f>
        <v>46859.8425158826</v>
      </c>
      <c r="I82" s="400" t="n">
        <f aca="false">K61</f>
        <v>45255.1214162389</v>
      </c>
      <c r="J82" s="400" t="n">
        <f aca="false">L61</f>
        <v>43728.8755336606</v>
      </c>
      <c r="K82" s="400" t="n">
        <f aca="false">M61</f>
        <v>41392.4562035698</v>
      </c>
      <c r="L82" s="400" t="n">
        <f aca="false">N61</f>
        <v>41160.2400697648</v>
      </c>
      <c r="M82" s="400" t="n">
        <f aca="false">O61</f>
        <v>40495.8969368153</v>
      </c>
      <c r="N82" s="400" t="n">
        <f aca="false">P61</f>
        <v>40208.2752463445</v>
      </c>
      <c r="O82" s="400" t="n">
        <f aca="false">Q61</f>
        <v>45541.580353078</v>
      </c>
      <c r="P82" s="400" t="n">
        <f aca="false">R61</f>
        <v>48088.9520818573</v>
      </c>
      <c r="Q82" s="400" t="n">
        <f aca="false">S61</f>
        <v>48017.9932217934</v>
      </c>
      <c r="R82" s="400" t="n">
        <f aca="false">T61</f>
        <v>48392.0288296817</v>
      </c>
      <c r="S82" s="400" t="n">
        <f aca="false">U61</f>
        <v>48760.4526585721</v>
      </c>
      <c r="T82" s="400" t="n">
        <f aca="false">V61</f>
        <v>41801.6742614725</v>
      </c>
      <c r="U82" s="400" t="n">
        <f aca="false">W61</f>
        <v>36524.9990548953</v>
      </c>
      <c r="V82" s="400" t="n">
        <f aca="false">X61</f>
        <v>39286.0740532658</v>
      </c>
      <c r="W82" s="400" t="n">
        <f aca="false">Y61</f>
        <v>44253.7152065058</v>
      </c>
      <c r="X82" s="400" t="n">
        <f aca="false">Z61</f>
        <v>48490.2835242332</v>
      </c>
      <c r="Y82" s="400" t="n">
        <f aca="false">AA61</f>
        <v>634047.728548796</v>
      </c>
      <c r="Z82" s="0"/>
      <c r="AA82" s="70"/>
      <c r="AC82" s="1"/>
    </row>
    <row r="83" customFormat="false" ht="12.75" hidden="false" customHeight="false" outlineLevel="0" collapsed="false">
      <c r="A83" s="1" t="s">
        <v>336</v>
      </c>
      <c r="D83" s="406" t="n">
        <f aca="false">IRR(D82:Y82)</f>
        <v>0.153940488071777</v>
      </c>
      <c r="E83" s="1"/>
      <c r="Z83" s="0"/>
      <c r="AA83" s="70"/>
      <c r="AC83" s="1"/>
    </row>
    <row r="84" customFormat="false" ht="12.75" hidden="false" customHeight="false" outlineLevel="0" collapsed="false">
      <c r="E84" s="1"/>
      <c r="Z84" s="0"/>
      <c r="AA84" s="70"/>
      <c r="AC84" s="1"/>
    </row>
    <row r="85" customFormat="false" ht="12.75" hidden="false" customHeight="false" outlineLevel="0" collapsed="false">
      <c r="A85" s="1" t="s">
        <v>334</v>
      </c>
      <c r="B85" s="410" t="n">
        <f aca="false">D87</f>
        <v>0.146832509836709</v>
      </c>
      <c r="D85" s="102" t="n">
        <f aca="false">D50+F50/((1+B85)^((F8-D8)/365))</f>
        <v>-263008.629002015</v>
      </c>
      <c r="E85" s="1"/>
      <c r="Z85" s="0"/>
      <c r="AA85" s="70"/>
      <c r="AC85" s="1"/>
    </row>
    <row r="86" customFormat="false" ht="12.75" hidden="false" customHeight="false" outlineLevel="0" collapsed="false">
      <c r="A86" s="1" t="s">
        <v>330</v>
      </c>
      <c r="D86" s="411" t="n">
        <f aca="false">D85+D49</f>
        <v>-263008.629002015</v>
      </c>
      <c r="E86" s="400" t="n">
        <f aca="false">G67+E67</f>
        <v>32668.0850227177</v>
      </c>
      <c r="F86" s="400" t="n">
        <f aca="false">H67</f>
        <v>24745.8994179654</v>
      </c>
      <c r="G86" s="400" t="n">
        <f aca="false">I67</f>
        <v>22457.8143943336</v>
      </c>
      <c r="H86" s="400" t="n">
        <f aca="false">J67</f>
        <v>46859.8425158826</v>
      </c>
      <c r="I86" s="400" t="n">
        <f aca="false">K67</f>
        <v>45255.1214162389</v>
      </c>
      <c r="J86" s="400" t="n">
        <f aca="false">L67</f>
        <v>43728.8755336606</v>
      </c>
      <c r="K86" s="400" t="n">
        <f aca="false">M67</f>
        <v>41392.4562035698</v>
      </c>
      <c r="L86" s="400" t="n">
        <f aca="false">N67</f>
        <v>41160.2400697648</v>
      </c>
      <c r="M86" s="400" t="n">
        <f aca="false">O67</f>
        <v>40495.8969368153</v>
      </c>
      <c r="N86" s="400" t="n">
        <f aca="false">P67</f>
        <v>40208.2752463445</v>
      </c>
      <c r="O86" s="400" t="n">
        <f aca="false">Q67</f>
        <v>45541.580353078</v>
      </c>
      <c r="P86" s="400" t="n">
        <f aca="false">R67</f>
        <v>48088.9520818573</v>
      </c>
      <c r="Q86" s="400" t="n">
        <f aca="false">S67</f>
        <v>48017.9932217934</v>
      </c>
      <c r="R86" s="400" t="n">
        <f aca="false">T67</f>
        <v>48392.0288296817</v>
      </c>
      <c r="S86" s="400" t="n">
        <f aca="false">U67</f>
        <v>48760.4526585721</v>
      </c>
      <c r="T86" s="400" t="n">
        <f aca="false">V67</f>
        <v>41801.6742614725</v>
      </c>
      <c r="U86" s="400" t="n">
        <f aca="false">W67</f>
        <v>36524.9990548953</v>
      </c>
      <c r="V86" s="400" t="n">
        <f aca="false">X67</f>
        <v>39286.0740532658</v>
      </c>
      <c r="W86" s="400" t="n">
        <f aca="false">Y67</f>
        <v>44253.7152065058</v>
      </c>
      <c r="X86" s="400" t="n">
        <f aca="false">Z67</f>
        <v>48490.2835242332</v>
      </c>
      <c r="Y86" s="400" t="n">
        <f aca="false">AA67</f>
        <v>377728.411087396</v>
      </c>
      <c r="Z86" s="0"/>
      <c r="AA86" s="70"/>
      <c r="AC86" s="1"/>
    </row>
    <row r="87" customFormat="false" ht="12.75" hidden="false" customHeight="false" outlineLevel="0" collapsed="false">
      <c r="A87" s="1" t="s">
        <v>336</v>
      </c>
      <c r="D87" s="406" t="n">
        <f aca="false">IRR(D86:Y86)</f>
        <v>0.146832509836709</v>
      </c>
      <c r="E87" s="1"/>
    </row>
    <row r="88" customFormat="false" ht="12.75" hidden="false" customHeight="false" outlineLevel="0" collapsed="false">
      <c r="E88" s="1"/>
      <c r="Z88" s="0"/>
    </row>
    <row r="89" customFormat="false" ht="12.75" hidden="false" customHeight="false" outlineLevel="0" collapsed="false">
      <c r="E89" s="1"/>
      <c r="Z89" s="0"/>
    </row>
    <row r="90" customFormat="false" ht="12.75" hidden="false" customHeight="false" outlineLevel="0" collapsed="false">
      <c r="E90" s="1"/>
      <c r="Z90" s="0"/>
    </row>
    <row r="91" customFormat="false" ht="12.75" hidden="false" customHeight="false" outlineLevel="0" collapsed="false">
      <c r="E91" s="1"/>
      <c r="Z91" s="0"/>
    </row>
    <row r="92" customFormat="false" ht="12.75" hidden="false" customHeight="false" outlineLevel="0" collapsed="false">
      <c r="E92" s="1"/>
      <c r="Z92" s="0"/>
    </row>
    <row r="93" customFormat="false" ht="12.75" hidden="false" customHeight="false" outlineLevel="0" collapsed="false">
      <c r="E93" s="1"/>
    </row>
    <row r="94" customFormat="false" ht="12.75" hidden="false" customHeight="false" outlineLevel="0" collapsed="false">
      <c r="E94" s="1"/>
    </row>
    <row r="95" customFormat="false" ht="12.75" hidden="false" customHeight="false" outlineLevel="0" collapsed="false">
      <c r="E95" s="1"/>
    </row>
    <row r="96" customFormat="false" ht="12.75" hidden="false" customHeight="false" outlineLevel="0" collapsed="false">
      <c r="E96" s="1"/>
    </row>
    <row r="97" customFormat="false" ht="12.75" hidden="false" customHeight="false" outlineLevel="0" collapsed="false">
      <c r="E97" s="1"/>
    </row>
    <row r="98" customFormat="false" ht="12.75" hidden="false" customHeight="false" outlineLevel="0" collapsed="false">
      <c r="E98" s="1"/>
    </row>
    <row r="99" customFormat="false" ht="12.75" hidden="false" customHeight="false" outlineLevel="0" collapsed="false">
      <c r="E99" s="1"/>
    </row>
    <row r="100" customFormat="false" ht="12.75" hidden="false" customHeight="false" outlineLevel="0" collapsed="false">
      <c r="E100" s="1"/>
    </row>
    <row r="101" customFormat="false" ht="12.75" hidden="false" customHeight="false" outlineLevel="0" collapsed="false">
      <c r="E101" s="1"/>
    </row>
    <row r="102" customFormat="false" ht="12.75" hidden="false" customHeight="false" outlineLevel="0" collapsed="false">
      <c r="E102" s="1"/>
    </row>
    <row r="103" customFormat="false" ht="12.75" hidden="false" customHeight="false" outlineLevel="0" collapsed="false">
      <c r="E103" s="1"/>
    </row>
    <row r="104" customFormat="false" ht="12.75" hidden="false" customHeight="false" outlineLevel="0" collapsed="false">
      <c r="E104" s="1"/>
    </row>
    <row r="105" customFormat="false" ht="12.75" hidden="false" customHeight="false" outlineLevel="0" collapsed="false">
      <c r="E105" s="1"/>
    </row>
    <row r="106" customFormat="false" ht="12.75" hidden="false" customHeight="false" outlineLevel="0" collapsed="false">
      <c r="E106" s="1"/>
    </row>
    <row r="107" customFormat="false" ht="12.75" hidden="false" customHeight="false" outlineLevel="0" collapsed="false">
      <c r="E107" s="1"/>
    </row>
    <row r="108" customFormat="false" ht="12.75" hidden="false" customHeight="false" outlineLevel="0" collapsed="false">
      <c r="E108" s="1"/>
    </row>
    <row r="109" customFormat="false" ht="12.75" hidden="false" customHeight="false" outlineLevel="0" collapsed="false">
      <c r="E109" s="1"/>
    </row>
    <row r="110" customFormat="false" ht="12.75" hidden="false" customHeight="false" outlineLevel="0" collapsed="false">
      <c r="E110" s="1"/>
    </row>
    <row r="111" customFormat="false" ht="12.75" hidden="false" customHeight="false" outlineLevel="0" collapsed="false">
      <c r="A111" s="0"/>
      <c r="B111" s="0"/>
      <c r="C111" s="0"/>
      <c r="D111" s="0"/>
      <c r="F111" s="0"/>
      <c r="G111" s="0"/>
      <c r="H111" s="0"/>
      <c r="I111" s="0"/>
      <c r="J111" s="0"/>
      <c r="K111" s="0"/>
      <c r="L111" s="0"/>
      <c r="M111" s="0"/>
      <c r="N111" s="0"/>
      <c r="O111" s="0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0"/>
      <c r="AI111" s="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0"/>
      <c r="BD111" s="0"/>
      <c r="BE111" s="0"/>
      <c r="BF111" s="0"/>
      <c r="BG111" s="0"/>
      <c r="BH111" s="0"/>
      <c r="BI111" s="0"/>
      <c r="BJ111" s="0"/>
      <c r="BK111" s="0"/>
      <c r="BL111" s="0"/>
      <c r="BM111" s="0"/>
      <c r="BN111" s="0"/>
      <c r="BO111" s="0"/>
      <c r="BP111" s="0"/>
      <c r="BQ111" s="0"/>
      <c r="BR111" s="0"/>
      <c r="BS111" s="0"/>
      <c r="BT111" s="0"/>
      <c r="BU111" s="0"/>
      <c r="BV111" s="0"/>
      <c r="BW111" s="0"/>
      <c r="BX111" s="0"/>
      <c r="BY111" s="0"/>
      <c r="BZ111" s="0"/>
      <c r="CA111" s="0"/>
      <c r="CB111" s="0"/>
      <c r="CC111" s="0"/>
      <c r="CD111" s="0"/>
      <c r="CE111" s="0"/>
      <c r="CF111" s="0"/>
      <c r="CG111" s="0"/>
      <c r="CH111" s="0"/>
      <c r="CI111" s="0"/>
      <c r="CJ111" s="0"/>
      <c r="CK111" s="0"/>
      <c r="CL111" s="0"/>
    </row>
    <row r="112" customFormat="false" ht="12.75" hidden="false" customHeight="false" outlineLevel="0" collapsed="false">
      <c r="A112" s="0"/>
      <c r="B112" s="0"/>
      <c r="C112" s="0"/>
      <c r="D112" s="0"/>
      <c r="F112" s="0"/>
      <c r="G112" s="0"/>
      <c r="H112" s="0"/>
      <c r="I112" s="0"/>
      <c r="J112" s="0"/>
      <c r="K112" s="0"/>
      <c r="L112" s="0"/>
      <c r="M112" s="0"/>
      <c r="N112" s="0"/>
      <c r="O112" s="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0"/>
      <c r="BD112" s="0"/>
      <c r="BE112" s="0"/>
      <c r="BF112" s="0"/>
      <c r="BG112" s="0"/>
      <c r="BH112" s="0"/>
      <c r="BI112" s="0"/>
      <c r="BJ112" s="0"/>
      <c r="BK112" s="0"/>
      <c r="BL112" s="0"/>
      <c r="BM112" s="0"/>
      <c r="BN112" s="0"/>
      <c r="BO112" s="0"/>
      <c r="BP112" s="0"/>
      <c r="BQ112" s="0"/>
      <c r="BR112" s="0"/>
      <c r="BS112" s="0"/>
      <c r="BT112" s="0"/>
      <c r="BU112" s="0"/>
      <c r="BV112" s="0"/>
      <c r="BW112" s="0"/>
      <c r="BX112" s="0"/>
      <c r="BY112" s="0"/>
      <c r="BZ112" s="0"/>
      <c r="CA112" s="0"/>
      <c r="CB112" s="0"/>
      <c r="CC112" s="0"/>
      <c r="CD112" s="0"/>
      <c r="CE112" s="0"/>
      <c r="CF112" s="0"/>
      <c r="CG112" s="0"/>
      <c r="CH112" s="0"/>
      <c r="CI112" s="0"/>
      <c r="CJ112" s="0"/>
      <c r="CK112" s="0"/>
      <c r="CL112" s="0"/>
    </row>
    <row r="113" customFormat="false" ht="12.75" hidden="false" customHeight="false" outlineLevel="0" collapsed="false">
      <c r="A113" s="0"/>
      <c r="B113" s="0"/>
      <c r="C113" s="0"/>
      <c r="D113" s="0"/>
      <c r="F113" s="0"/>
      <c r="G113" s="0"/>
      <c r="H113" s="0"/>
      <c r="I113" s="0"/>
      <c r="J113" s="0"/>
      <c r="K113" s="0"/>
      <c r="L113" s="0"/>
      <c r="M113" s="0"/>
      <c r="N113" s="0"/>
      <c r="O113" s="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0"/>
      <c r="BD113" s="0"/>
      <c r="BE113" s="0"/>
      <c r="BF113" s="0"/>
      <c r="BG113" s="0"/>
      <c r="BH113" s="0"/>
      <c r="BI113" s="0"/>
      <c r="BJ113" s="0"/>
      <c r="BK113" s="0"/>
      <c r="BL113" s="0"/>
      <c r="BM113" s="0"/>
      <c r="BN113" s="0"/>
      <c r="BO113" s="0"/>
      <c r="BP113" s="0"/>
      <c r="BQ113" s="0"/>
      <c r="BR113" s="0"/>
      <c r="BS113" s="0"/>
      <c r="BT113" s="0"/>
      <c r="BU113" s="0"/>
      <c r="BV113" s="0"/>
      <c r="BW113" s="0"/>
      <c r="BX113" s="0"/>
      <c r="BY113" s="0"/>
      <c r="BZ113" s="0"/>
      <c r="CA113" s="0"/>
      <c r="CB113" s="0"/>
      <c r="CC113" s="0"/>
      <c r="CD113" s="0"/>
      <c r="CE113" s="0"/>
      <c r="CF113" s="0"/>
      <c r="CG113" s="0"/>
      <c r="CH113" s="0"/>
      <c r="CI113" s="0"/>
      <c r="CJ113" s="0"/>
      <c r="CK113" s="0"/>
      <c r="CL113" s="0"/>
    </row>
    <row r="114" customFormat="false" ht="12.75" hidden="false" customHeight="false" outlineLevel="0" collapsed="false">
      <c r="A114" s="0"/>
      <c r="B114" s="0"/>
      <c r="C114" s="0"/>
      <c r="D114" s="0"/>
      <c r="F114" s="0"/>
      <c r="G114" s="0"/>
      <c r="H114" s="0"/>
      <c r="I114" s="0"/>
      <c r="J114" s="0"/>
      <c r="K114" s="0"/>
      <c r="L114" s="0"/>
      <c r="M114" s="0"/>
      <c r="N114" s="0"/>
      <c r="O114" s="0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0"/>
      <c r="AC114" s="0"/>
      <c r="AD114" s="0"/>
      <c r="AE114" s="0"/>
      <c r="AF114" s="0"/>
      <c r="AG114" s="0"/>
      <c r="AH114" s="0"/>
      <c r="AI114" s="0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0"/>
      <c r="BD114" s="0"/>
      <c r="BE114" s="0"/>
      <c r="BF114" s="0"/>
      <c r="BG114" s="0"/>
      <c r="BH114" s="0"/>
      <c r="BI114" s="0"/>
      <c r="BJ114" s="0"/>
      <c r="BK114" s="0"/>
      <c r="BL114" s="0"/>
      <c r="BM114" s="0"/>
      <c r="BN114" s="0"/>
      <c r="BO114" s="0"/>
      <c r="BP114" s="0"/>
      <c r="BQ114" s="0"/>
      <c r="BR114" s="0"/>
      <c r="BS114" s="0"/>
      <c r="BT114" s="0"/>
      <c r="BU114" s="0"/>
      <c r="BV114" s="0"/>
      <c r="BW114" s="0"/>
      <c r="BX114" s="0"/>
      <c r="BY114" s="0"/>
      <c r="BZ114" s="0"/>
      <c r="CA114" s="0"/>
      <c r="CB114" s="0"/>
      <c r="CC114" s="0"/>
      <c r="CD114" s="0"/>
      <c r="CE114" s="0"/>
      <c r="CF114" s="0"/>
      <c r="CG114" s="0"/>
      <c r="CH114" s="0"/>
      <c r="CI114" s="0"/>
      <c r="CJ114" s="0"/>
      <c r="CK114" s="0"/>
      <c r="CL114" s="0"/>
    </row>
    <row r="115" customFormat="false" ht="12.75" hidden="false" customHeight="false" outlineLevel="0" collapsed="false">
      <c r="A115" s="0"/>
      <c r="B115" s="0"/>
      <c r="C115" s="0"/>
      <c r="D115" s="0"/>
      <c r="F115" s="0"/>
      <c r="G115" s="0"/>
      <c r="H115" s="0"/>
      <c r="I115" s="0"/>
      <c r="J115" s="0"/>
      <c r="K115" s="0"/>
      <c r="L115" s="0"/>
      <c r="M115" s="0"/>
      <c r="N115" s="0"/>
      <c r="O115" s="0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0"/>
      <c r="AC115" s="0"/>
      <c r="AD115" s="0"/>
      <c r="AE115" s="0"/>
      <c r="AF115" s="0"/>
      <c r="AG115" s="0"/>
      <c r="AH115" s="0"/>
      <c r="AI115" s="0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0"/>
      <c r="BD115" s="0"/>
      <c r="BE115" s="0"/>
      <c r="BF115" s="0"/>
      <c r="BG115" s="0"/>
      <c r="BH115" s="0"/>
      <c r="BI115" s="0"/>
      <c r="BJ115" s="0"/>
      <c r="BK115" s="0"/>
      <c r="BL115" s="0"/>
      <c r="BM115" s="0"/>
      <c r="BN115" s="0"/>
      <c r="BO115" s="0"/>
      <c r="BP115" s="0"/>
      <c r="BQ115" s="0"/>
      <c r="BR115" s="0"/>
      <c r="BS115" s="0"/>
      <c r="BT115" s="0"/>
      <c r="BU115" s="0"/>
      <c r="BV115" s="0"/>
      <c r="BW115" s="0"/>
      <c r="BX115" s="0"/>
      <c r="BY115" s="0"/>
      <c r="BZ115" s="0"/>
      <c r="CA115" s="0"/>
      <c r="CB115" s="0"/>
      <c r="CC115" s="0"/>
      <c r="CD115" s="0"/>
      <c r="CE115" s="0"/>
      <c r="CF115" s="0"/>
      <c r="CG115" s="0"/>
      <c r="CH115" s="0"/>
      <c r="CI115" s="0"/>
      <c r="CJ115" s="0"/>
      <c r="CK115" s="0"/>
      <c r="CL115" s="0"/>
    </row>
    <row r="116" customFormat="false" ht="12.75" hidden="false" customHeight="false" outlineLevel="0" collapsed="false">
      <c r="A116" s="0"/>
      <c r="B116" s="0"/>
      <c r="C116" s="0"/>
      <c r="D116" s="0"/>
      <c r="F116" s="0"/>
      <c r="G116" s="0"/>
      <c r="H116" s="0"/>
      <c r="I116" s="0"/>
      <c r="J116" s="0"/>
      <c r="K116" s="0"/>
      <c r="L116" s="0"/>
      <c r="M116" s="0"/>
      <c r="N116" s="0"/>
      <c r="O116" s="0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0"/>
      <c r="BD116" s="0"/>
      <c r="BE116" s="0"/>
      <c r="BF116" s="0"/>
      <c r="BG116" s="0"/>
      <c r="BH116" s="0"/>
      <c r="BI116" s="0"/>
      <c r="BJ116" s="0"/>
      <c r="BK116" s="0"/>
      <c r="BL116" s="0"/>
      <c r="BM116" s="0"/>
      <c r="BN116" s="0"/>
      <c r="BO116" s="0"/>
      <c r="BP116" s="0"/>
      <c r="BQ116" s="0"/>
      <c r="BR116" s="0"/>
      <c r="BS116" s="0"/>
      <c r="BT116" s="0"/>
      <c r="BU116" s="0"/>
      <c r="BV116" s="0"/>
      <c r="BW116" s="0"/>
      <c r="BX116" s="0"/>
      <c r="BY116" s="0"/>
      <c r="BZ116" s="0"/>
      <c r="CA116" s="0"/>
      <c r="CB116" s="0"/>
      <c r="CC116" s="0"/>
      <c r="CD116" s="0"/>
      <c r="CE116" s="0"/>
      <c r="CF116" s="0"/>
      <c r="CG116" s="0"/>
      <c r="CH116" s="0"/>
      <c r="CI116" s="0"/>
      <c r="CJ116" s="0"/>
      <c r="CK116" s="0"/>
      <c r="CL116" s="0"/>
    </row>
    <row r="117" customFormat="false" ht="12.75" hidden="false" customHeight="false" outlineLevel="0" collapsed="false">
      <c r="A117" s="0"/>
      <c r="B117" s="0"/>
      <c r="C117" s="0"/>
      <c r="D117" s="0"/>
      <c r="F117" s="0"/>
      <c r="G117" s="0"/>
      <c r="H117" s="0"/>
      <c r="I117" s="0"/>
      <c r="J117" s="0"/>
      <c r="K117" s="0"/>
      <c r="L117" s="0"/>
      <c r="M117" s="0"/>
      <c r="N117" s="0"/>
      <c r="O117" s="0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0"/>
      <c r="BD117" s="0"/>
      <c r="BE117" s="0"/>
      <c r="BF117" s="0"/>
      <c r="BG117" s="0"/>
      <c r="BH117" s="0"/>
      <c r="BI117" s="0"/>
      <c r="BJ117" s="0"/>
      <c r="BK117" s="0"/>
      <c r="BL117" s="0"/>
      <c r="BM117" s="0"/>
      <c r="BN117" s="0"/>
      <c r="BO117" s="0"/>
      <c r="BP117" s="0"/>
      <c r="BQ117" s="0"/>
      <c r="BR117" s="0"/>
      <c r="BS117" s="0"/>
      <c r="BT117" s="0"/>
      <c r="BU117" s="0"/>
      <c r="BV117" s="0"/>
      <c r="BW117" s="0"/>
      <c r="BX117" s="0"/>
      <c r="BY117" s="0"/>
      <c r="BZ117" s="0"/>
      <c r="CA117" s="0"/>
      <c r="CB117" s="0"/>
      <c r="CC117" s="0"/>
      <c r="CD117" s="0"/>
      <c r="CE117" s="0"/>
      <c r="CF117" s="0"/>
      <c r="CG117" s="0"/>
      <c r="CH117" s="0"/>
      <c r="CI117" s="0"/>
      <c r="CJ117" s="0"/>
      <c r="CK117" s="0"/>
      <c r="CL117" s="0"/>
    </row>
    <row r="118" customFormat="false" ht="12.75" hidden="false" customHeight="false" outlineLevel="0" collapsed="false">
      <c r="A118" s="0"/>
      <c r="B118" s="0"/>
      <c r="C118" s="0"/>
      <c r="D118" s="0"/>
      <c r="F118" s="0"/>
      <c r="G118" s="0"/>
      <c r="H118" s="0"/>
      <c r="I118" s="0"/>
      <c r="J118" s="0"/>
      <c r="K118" s="0"/>
      <c r="L118" s="0"/>
      <c r="M118" s="0"/>
      <c r="N118" s="0"/>
      <c r="O118" s="0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0"/>
      <c r="AC118" s="0"/>
      <c r="AD118" s="0"/>
      <c r="AE118" s="0"/>
      <c r="AF118" s="0"/>
      <c r="AG118" s="0"/>
      <c r="AH118" s="0"/>
      <c r="AI118" s="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0"/>
      <c r="BD118" s="0"/>
      <c r="BE118" s="0"/>
      <c r="BF118" s="0"/>
      <c r="BG118" s="0"/>
      <c r="BH118" s="0"/>
      <c r="BI118" s="0"/>
      <c r="BJ118" s="0"/>
      <c r="BK118" s="0"/>
      <c r="BL118" s="0"/>
      <c r="BM118" s="0"/>
      <c r="BN118" s="0"/>
      <c r="BO118" s="0"/>
      <c r="BP118" s="0"/>
      <c r="BQ118" s="0"/>
      <c r="BR118" s="0"/>
      <c r="BS118" s="0"/>
      <c r="BT118" s="0"/>
      <c r="BU118" s="0"/>
      <c r="BV118" s="0"/>
      <c r="BW118" s="0"/>
      <c r="BX118" s="0"/>
      <c r="BY118" s="0"/>
      <c r="BZ118" s="0"/>
      <c r="CA118" s="0"/>
      <c r="CB118" s="0"/>
      <c r="CC118" s="0"/>
      <c r="CD118" s="0"/>
      <c r="CE118" s="0"/>
      <c r="CF118" s="0"/>
      <c r="CG118" s="0"/>
      <c r="CH118" s="0"/>
      <c r="CI118" s="0"/>
      <c r="CJ118" s="0"/>
      <c r="CK118" s="0"/>
      <c r="CL118" s="0"/>
    </row>
    <row r="119" customFormat="false" ht="12.75" hidden="false" customHeight="false" outlineLevel="0" collapsed="false">
      <c r="A119" s="0"/>
      <c r="B119" s="0"/>
      <c r="C119" s="0"/>
      <c r="D119" s="0"/>
      <c r="F119" s="0"/>
      <c r="G119" s="0"/>
      <c r="H119" s="0"/>
      <c r="I119" s="0"/>
      <c r="J119" s="0"/>
      <c r="K119" s="0"/>
      <c r="L119" s="0"/>
      <c r="M119" s="0"/>
      <c r="N119" s="0"/>
      <c r="O119" s="0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0"/>
      <c r="AC119" s="0"/>
      <c r="AD119" s="0"/>
      <c r="AE119" s="0"/>
      <c r="AF119" s="0"/>
      <c r="AG119" s="0"/>
      <c r="AH119" s="0"/>
      <c r="AI119" s="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0"/>
      <c r="BD119" s="0"/>
      <c r="BE119" s="0"/>
      <c r="BF119" s="0"/>
      <c r="BG119" s="0"/>
      <c r="BH119" s="0"/>
      <c r="BI119" s="0"/>
      <c r="BJ119" s="0"/>
      <c r="BK119" s="0"/>
      <c r="BL119" s="0"/>
      <c r="BM119" s="0"/>
      <c r="BN119" s="0"/>
      <c r="BO119" s="0"/>
      <c r="BP119" s="0"/>
      <c r="BQ119" s="0"/>
      <c r="BR119" s="0"/>
      <c r="BS119" s="0"/>
      <c r="BT119" s="0"/>
      <c r="BU119" s="0"/>
      <c r="BV119" s="0"/>
      <c r="BW119" s="0"/>
      <c r="BX119" s="0"/>
      <c r="BY119" s="0"/>
      <c r="BZ119" s="0"/>
      <c r="CA119" s="0"/>
      <c r="CB119" s="0"/>
      <c r="CC119" s="0"/>
      <c r="CD119" s="0"/>
      <c r="CE119" s="0"/>
      <c r="CF119" s="0"/>
      <c r="CG119" s="0"/>
      <c r="CH119" s="0"/>
      <c r="CI119" s="0"/>
      <c r="CJ119" s="0"/>
      <c r="CK119" s="0"/>
      <c r="CL119" s="0"/>
    </row>
    <row r="120" customFormat="false" ht="12.75" hidden="false" customHeight="false" outlineLevel="0" collapsed="false">
      <c r="A120" s="0"/>
      <c r="B120" s="0"/>
      <c r="C120" s="0"/>
      <c r="D120" s="0"/>
      <c r="F120" s="0"/>
      <c r="G120" s="0"/>
      <c r="H120" s="0"/>
      <c r="I120" s="0"/>
      <c r="J120" s="0"/>
      <c r="K120" s="0"/>
      <c r="L120" s="0"/>
      <c r="M120" s="0"/>
      <c r="N120" s="0"/>
      <c r="O120" s="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BD120" s="0"/>
      <c r="BE120" s="0"/>
      <c r="BF120" s="0"/>
      <c r="BG120" s="0"/>
      <c r="BH120" s="0"/>
      <c r="BI120" s="0"/>
      <c r="BJ120" s="0"/>
      <c r="BK120" s="0"/>
      <c r="BL120" s="0"/>
      <c r="BM120" s="0"/>
      <c r="BN120" s="0"/>
      <c r="BO120" s="0"/>
      <c r="BP120" s="0"/>
      <c r="BQ120" s="0"/>
      <c r="BR120" s="0"/>
      <c r="BS120" s="0"/>
      <c r="BT120" s="0"/>
      <c r="BU120" s="0"/>
      <c r="BV120" s="0"/>
      <c r="BW120" s="0"/>
      <c r="BX120" s="0"/>
      <c r="BY120" s="0"/>
      <c r="BZ120" s="0"/>
      <c r="CA120" s="0"/>
      <c r="CB120" s="0"/>
      <c r="CC120" s="0"/>
      <c r="CD120" s="0"/>
      <c r="CE120" s="0"/>
      <c r="CF120" s="0"/>
      <c r="CG120" s="0"/>
      <c r="CH120" s="0"/>
      <c r="CI120" s="0"/>
      <c r="CJ120" s="0"/>
      <c r="CK120" s="0"/>
      <c r="CL120" s="0"/>
    </row>
    <row r="121" customFormat="false" ht="12.75" hidden="false" customHeight="false" outlineLevel="0" collapsed="false">
      <c r="A121" s="0"/>
      <c r="B121" s="0"/>
      <c r="C121" s="0"/>
      <c r="D121" s="0"/>
      <c r="F121" s="0"/>
      <c r="G121" s="0"/>
      <c r="H121" s="0"/>
      <c r="I121" s="0"/>
      <c r="J121" s="0"/>
      <c r="K121" s="0"/>
      <c r="L121" s="0"/>
      <c r="M121" s="0"/>
      <c r="N121" s="0"/>
      <c r="O121" s="0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0"/>
      <c r="BD121" s="0"/>
      <c r="BE121" s="0"/>
      <c r="BF121" s="0"/>
      <c r="BG121" s="0"/>
      <c r="BH121" s="0"/>
      <c r="BI121" s="0"/>
      <c r="BJ121" s="0"/>
      <c r="BK121" s="0"/>
      <c r="BL121" s="0"/>
      <c r="BM121" s="0"/>
      <c r="BN121" s="0"/>
      <c r="BO121" s="0"/>
      <c r="BP121" s="0"/>
      <c r="BQ121" s="0"/>
      <c r="BR121" s="0"/>
      <c r="BS121" s="0"/>
      <c r="BT121" s="0"/>
      <c r="BU121" s="0"/>
      <c r="BV121" s="0"/>
      <c r="BW121" s="0"/>
      <c r="BX121" s="0"/>
      <c r="BY121" s="0"/>
      <c r="BZ121" s="0"/>
      <c r="CA121" s="0"/>
      <c r="CB121" s="0"/>
      <c r="CC121" s="0"/>
      <c r="CD121" s="0"/>
      <c r="CE121" s="0"/>
      <c r="CF121" s="0"/>
      <c r="CG121" s="0"/>
      <c r="CH121" s="0"/>
      <c r="CI121" s="0"/>
      <c r="CJ121" s="0"/>
      <c r="CK121" s="0"/>
      <c r="CL121" s="0"/>
    </row>
    <row r="122" customFormat="false" ht="12.75" hidden="false" customHeight="false" outlineLevel="0" collapsed="false">
      <c r="A122" s="0"/>
      <c r="B122" s="0"/>
      <c r="C122" s="0"/>
      <c r="D122" s="0"/>
      <c r="F122" s="0"/>
      <c r="G122" s="0"/>
      <c r="H122" s="0"/>
      <c r="I122" s="0"/>
      <c r="J122" s="0"/>
      <c r="K122" s="0"/>
      <c r="L122" s="0"/>
      <c r="M122" s="0"/>
      <c r="N122" s="0"/>
      <c r="O122" s="0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0"/>
      <c r="AC122" s="0"/>
      <c r="AD122" s="0"/>
      <c r="AE122" s="0"/>
      <c r="AF122" s="0"/>
      <c r="AG122" s="0"/>
      <c r="AH122" s="0"/>
      <c r="AI122" s="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0"/>
      <c r="BD122" s="0"/>
      <c r="BE122" s="0"/>
      <c r="BF122" s="0"/>
      <c r="BG122" s="0"/>
      <c r="BH122" s="0"/>
      <c r="BI122" s="0"/>
      <c r="BJ122" s="0"/>
      <c r="BK122" s="0"/>
      <c r="BL122" s="0"/>
      <c r="BM122" s="0"/>
      <c r="BN122" s="0"/>
      <c r="BO122" s="0"/>
      <c r="BP122" s="0"/>
      <c r="BQ122" s="0"/>
      <c r="BR122" s="0"/>
      <c r="BS122" s="0"/>
      <c r="BT122" s="0"/>
      <c r="BU122" s="0"/>
      <c r="BV122" s="0"/>
      <c r="BW122" s="0"/>
      <c r="BX122" s="0"/>
      <c r="BY122" s="0"/>
      <c r="BZ122" s="0"/>
      <c r="CA122" s="0"/>
      <c r="CB122" s="0"/>
      <c r="CC122" s="0"/>
      <c r="CD122" s="0"/>
      <c r="CE122" s="0"/>
      <c r="CF122" s="0"/>
      <c r="CG122" s="0"/>
      <c r="CH122" s="0"/>
      <c r="CI122" s="0"/>
      <c r="CJ122" s="0"/>
      <c r="CK122" s="0"/>
      <c r="CL122" s="0"/>
    </row>
    <row r="123" customFormat="false" ht="12.75" hidden="false" customHeight="false" outlineLevel="0" collapsed="false">
      <c r="A123" s="0"/>
      <c r="B123" s="0"/>
      <c r="C123" s="0"/>
      <c r="D123" s="0"/>
      <c r="F123" s="0"/>
      <c r="G123" s="0"/>
      <c r="H123" s="0"/>
      <c r="I123" s="0"/>
      <c r="J123" s="0"/>
      <c r="K123" s="0"/>
      <c r="L123" s="0"/>
      <c r="M123" s="0"/>
      <c r="N123" s="0"/>
      <c r="O123" s="0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0"/>
      <c r="AC123" s="0"/>
      <c r="AD123" s="0"/>
      <c r="AE123" s="0"/>
      <c r="AF123" s="0"/>
      <c r="AG123" s="0"/>
      <c r="AH123" s="0"/>
      <c r="AI123" s="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0"/>
      <c r="BD123" s="0"/>
      <c r="BE123" s="0"/>
      <c r="BF123" s="0"/>
      <c r="BG123" s="0"/>
      <c r="BH123" s="0"/>
      <c r="BI123" s="0"/>
      <c r="BJ123" s="0"/>
      <c r="BK123" s="0"/>
      <c r="BL123" s="0"/>
      <c r="BM123" s="0"/>
      <c r="BN123" s="0"/>
      <c r="BO123" s="0"/>
      <c r="BP123" s="0"/>
      <c r="BQ123" s="0"/>
      <c r="BR123" s="0"/>
      <c r="BS123" s="0"/>
      <c r="BT123" s="0"/>
      <c r="BU123" s="0"/>
      <c r="BV123" s="0"/>
      <c r="BW123" s="0"/>
      <c r="BX123" s="0"/>
      <c r="BY123" s="0"/>
      <c r="BZ123" s="0"/>
      <c r="CA123" s="0"/>
      <c r="CB123" s="0"/>
      <c r="CC123" s="0"/>
      <c r="CD123" s="0"/>
      <c r="CE123" s="0"/>
      <c r="CF123" s="0"/>
      <c r="CG123" s="0"/>
      <c r="CH123" s="0"/>
      <c r="CI123" s="0"/>
      <c r="CJ123" s="0"/>
      <c r="CK123" s="0"/>
      <c r="CL123" s="0"/>
    </row>
    <row r="124" customFormat="false" ht="12.75" hidden="false" customHeight="false" outlineLevel="0" collapsed="false">
      <c r="A124" s="0"/>
      <c r="B124" s="0"/>
      <c r="C124" s="0"/>
      <c r="D124" s="0"/>
      <c r="F124" s="0"/>
      <c r="G124" s="0"/>
      <c r="H124" s="0"/>
      <c r="I124" s="0"/>
      <c r="J124" s="0"/>
      <c r="K124" s="0"/>
      <c r="L124" s="0"/>
      <c r="M124" s="0"/>
      <c r="N124" s="0"/>
      <c r="O124" s="0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0"/>
      <c r="AC124" s="0"/>
      <c r="AD124" s="0"/>
      <c r="AE124" s="0"/>
      <c r="AF124" s="0"/>
      <c r="AG124" s="0"/>
      <c r="AH124" s="0"/>
      <c r="AI124" s="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0"/>
      <c r="BD124" s="0"/>
      <c r="BE124" s="0"/>
      <c r="BF124" s="0"/>
      <c r="BG124" s="0"/>
      <c r="BH124" s="0"/>
      <c r="BI124" s="0"/>
      <c r="BJ124" s="0"/>
      <c r="BK124" s="0"/>
      <c r="BL124" s="0"/>
      <c r="BM124" s="0"/>
      <c r="BN124" s="0"/>
      <c r="BO124" s="0"/>
      <c r="BP124" s="0"/>
      <c r="BQ124" s="0"/>
      <c r="BR124" s="0"/>
      <c r="BS124" s="0"/>
      <c r="BT124" s="0"/>
      <c r="BU124" s="0"/>
      <c r="BV124" s="0"/>
      <c r="BW124" s="0"/>
      <c r="BX124" s="0"/>
      <c r="BY124" s="0"/>
      <c r="BZ124" s="0"/>
      <c r="CA124" s="0"/>
      <c r="CB124" s="0"/>
      <c r="CC124" s="0"/>
      <c r="CD124" s="0"/>
      <c r="CE124" s="0"/>
      <c r="CF124" s="0"/>
      <c r="CG124" s="0"/>
      <c r="CH124" s="0"/>
      <c r="CI124" s="0"/>
      <c r="CJ124" s="0"/>
      <c r="CK124" s="0"/>
      <c r="CL124" s="0"/>
    </row>
    <row r="125" customFormat="false" ht="12.75" hidden="false" customHeight="false" outlineLevel="0" collapsed="false">
      <c r="A125" s="0"/>
      <c r="B125" s="0"/>
      <c r="C125" s="0"/>
      <c r="D125" s="0"/>
      <c r="F125" s="0"/>
      <c r="G125" s="0"/>
      <c r="H125" s="0"/>
      <c r="I125" s="0"/>
      <c r="J125" s="0"/>
      <c r="K125" s="0"/>
      <c r="L125" s="0"/>
      <c r="M125" s="0"/>
      <c r="N125" s="0"/>
      <c r="O125" s="0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0"/>
      <c r="AC125" s="0"/>
      <c r="AD125" s="0"/>
      <c r="AE125" s="0"/>
      <c r="AF125" s="0"/>
      <c r="AG125" s="0"/>
      <c r="AH125" s="0"/>
      <c r="AI125" s="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0"/>
      <c r="BD125" s="0"/>
      <c r="BE125" s="0"/>
      <c r="BF125" s="0"/>
      <c r="BG125" s="0"/>
      <c r="BH125" s="0"/>
      <c r="BI125" s="0"/>
      <c r="BJ125" s="0"/>
      <c r="BK125" s="0"/>
      <c r="BL125" s="0"/>
      <c r="BM125" s="0"/>
      <c r="BN125" s="0"/>
      <c r="BO125" s="0"/>
      <c r="BP125" s="0"/>
      <c r="BQ125" s="0"/>
      <c r="BR125" s="0"/>
      <c r="BS125" s="0"/>
      <c r="BT125" s="0"/>
      <c r="BU125" s="0"/>
      <c r="BV125" s="0"/>
      <c r="BW125" s="0"/>
      <c r="BX125" s="0"/>
      <c r="BY125" s="0"/>
      <c r="BZ125" s="0"/>
      <c r="CA125" s="0"/>
      <c r="CB125" s="0"/>
      <c r="CC125" s="0"/>
      <c r="CD125" s="0"/>
      <c r="CE125" s="0"/>
      <c r="CF125" s="0"/>
      <c r="CG125" s="0"/>
      <c r="CH125" s="0"/>
      <c r="CI125" s="0"/>
      <c r="CJ125" s="0"/>
      <c r="CK125" s="0"/>
      <c r="CL125" s="0"/>
    </row>
    <row r="126" customFormat="false" ht="12.75" hidden="false" customHeight="false" outlineLevel="0" collapsed="false">
      <c r="E126" s="1"/>
    </row>
    <row r="127" customFormat="false" ht="12.75" hidden="false" customHeight="false" outlineLevel="0" collapsed="false">
      <c r="E127" s="1"/>
    </row>
    <row r="128" customFormat="false" ht="12.75" hidden="false" customHeight="false" outlineLevel="0" collapsed="false">
      <c r="E128" s="1"/>
    </row>
    <row r="129" customFormat="false" ht="12.75" hidden="false" customHeight="false" outlineLevel="0" collapsed="false">
      <c r="E129" s="1"/>
    </row>
  </sheetData>
  <printOptions headings="false" gridLines="false" gridLinesSet="true" horizontalCentered="false" verticalCentered="false"/>
  <pageMargins left="0.179861111111111" right="1.25972222222222" top="0.370138888888889" bottom="0.4" header="0.170138888888889" footer="0.209722222222222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  <colBreaks count="1" manualBreakCount="1">
    <brk id="16" man="true" max="65535" min="0"/>
  </col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88"/>
  <sheetViews>
    <sheetView showFormulas="false" showGridLines="true" showRowColHeaders="true" showZeros="true" rightToLeft="false" tabSelected="true" showOutlineSymbols="true" defaultGridColor="true" view="normal" topLeftCell="W78" colorId="64" zoomScale="75" zoomScaleNormal="75" zoomScalePageLayoutView="100" workbookViewId="0">
      <selection pane="topLeft" activeCell="AP87" activeCellId="0" sqref="AP8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51.99"/>
    <col collapsed="false" customWidth="true" hidden="false" outlineLevel="0" max="2" min="2" style="1" width="14.14"/>
    <col collapsed="false" customWidth="false" hidden="false" outlineLevel="0" max="7" min="3" style="1" width="9.14"/>
    <col collapsed="false" customWidth="true" hidden="false" outlineLevel="0" max="8" min="8" style="1" width="9.7"/>
    <col collapsed="false" customWidth="false" hidden="false" outlineLevel="0" max="45" min="9" style="1" width="9.14"/>
    <col collapsed="false" customWidth="true" hidden="false" outlineLevel="0" max="46" min="46" style="1" width="9.7"/>
    <col collapsed="false" customWidth="true" hidden="false" outlineLevel="0" max="47" min="47" style="1" width="9.28"/>
    <col collapsed="false" customWidth="true" hidden="false" outlineLevel="0" max="48" min="48" style="1" width="11.7"/>
    <col collapsed="false" customWidth="false" hidden="false" outlineLevel="0" max="257" min="49" style="1" width="9.14"/>
  </cols>
  <sheetData>
    <row r="1" customFormat="false" ht="18.75" hidden="false" customHeight="false" outlineLevel="0" collapsed="false">
      <c r="A1" s="317" t="s">
        <v>337</v>
      </c>
      <c r="B1" s="77"/>
    </row>
    <row r="2" customFormat="false" ht="12.75" hidden="false" customHeight="false" outlineLevel="0" collapsed="false">
      <c r="E2" s="1" t="n">
        <v>2</v>
      </c>
      <c r="G2" s="1" t="n">
        <v>2</v>
      </c>
      <c r="H2" s="1" t="n">
        <f aca="false">1+G2</f>
        <v>3</v>
      </c>
      <c r="I2" s="1" t="n">
        <f aca="false">H2</f>
        <v>3</v>
      </c>
      <c r="J2" s="1" t="n">
        <f aca="false">1+I2</f>
        <v>4</v>
      </c>
      <c r="K2" s="1" t="n">
        <f aca="false">J2</f>
        <v>4</v>
      </c>
      <c r="L2" s="1" t="n">
        <f aca="false">1+K2</f>
        <v>5</v>
      </c>
      <c r="M2" s="1" t="n">
        <f aca="false">L2</f>
        <v>5</v>
      </c>
      <c r="N2" s="1" t="n">
        <f aca="false">1+M2</f>
        <v>6</v>
      </c>
      <c r="O2" s="1" t="n">
        <f aca="false">N2</f>
        <v>6</v>
      </c>
      <c r="P2" s="1" t="n">
        <f aca="false">1+O2</f>
        <v>7</v>
      </c>
      <c r="Q2" s="1" t="n">
        <f aca="false">P2</f>
        <v>7</v>
      </c>
      <c r="R2" s="1" t="n">
        <f aca="false">1+Q2</f>
        <v>8</v>
      </c>
      <c r="S2" s="1" t="n">
        <f aca="false">R2</f>
        <v>8</v>
      </c>
      <c r="T2" s="1" t="n">
        <f aca="false">1+S2</f>
        <v>9</v>
      </c>
      <c r="U2" s="1" t="n">
        <f aca="false">T2</f>
        <v>9</v>
      </c>
      <c r="V2" s="1" t="n">
        <f aca="false">1+U2</f>
        <v>10</v>
      </c>
      <c r="W2" s="1" t="n">
        <f aca="false">V2</f>
        <v>10</v>
      </c>
      <c r="X2" s="1" t="n">
        <f aca="false">1+W2</f>
        <v>11</v>
      </c>
      <c r="Y2" s="1" t="n">
        <f aca="false">X2</f>
        <v>11</v>
      </c>
      <c r="Z2" s="1" t="n">
        <f aca="false">1+Y2</f>
        <v>12</v>
      </c>
      <c r="AA2" s="1" t="n">
        <f aca="false">Z2</f>
        <v>12</v>
      </c>
      <c r="AB2" s="1" t="n">
        <f aca="false">1+AA2</f>
        <v>13</v>
      </c>
      <c r="AC2" s="1" t="n">
        <f aca="false">AB2</f>
        <v>13</v>
      </c>
      <c r="AD2" s="1" t="n">
        <f aca="false">1+AC2</f>
        <v>14</v>
      </c>
      <c r="AE2" s="1" t="n">
        <f aca="false">AD2</f>
        <v>14</v>
      </c>
      <c r="AF2" s="1" t="n">
        <f aca="false">1+AE2</f>
        <v>15</v>
      </c>
      <c r="AG2" s="1" t="n">
        <f aca="false">AF2</f>
        <v>15</v>
      </c>
      <c r="AH2" s="1" t="n">
        <f aca="false">1+AG2</f>
        <v>16</v>
      </c>
      <c r="AI2" s="1" t="n">
        <f aca="false">AH2</f>
        <v>16</v>
      </c>
      <c r="AJ2" s="1" t="n">
        <f aca="false">1+AI2</f>
        <v>17</v>
      </c>
      <c r="AK2" s="1" t="n">
        <f aca="false">AJ2</f>
        <v>17</v>
      </c>
      <c r="AL2" s="1" t="n">
        <f aca="false">1+AK2</f>
        <v>18</v>
      </c>
      <c r="AM2" s="1" t="n">
        <f aca="false">AL2</f>
        <v>18</v>
      </c>
      <c r="AN2" s="1" t="n">
        <f aca="false">1+AM2</f>
        <v>19</v>
      </c>
      <c r="AO2" s="1" t="n">
        <f aca="false">AN2</f>
        <v>19</v>
      </c>
      <c r="AP2" s="1" t="n">
        <f aca="false">1+AO2</f>
        <v>20</v>
      </c>
      <c r="AQ2" s="1" t="n">
        <f aca="false">AP2</f>
        <v>20</v>
      </c>
      <c r="AR2" s="1" t="n">
        <f aca="false">1+AQ2</f>
        <v>21</v>
      </c>
      <c r="AS2" s="78" t="n">
        <f aca="false">AR2</f>
        <v>21</v>
      </c>
      <c r="AT2" s="78" t="n">
        <f aca="false">AS2+1</f>
        <v>22</v>
      </c>
      <c r="AU2" s="78" t="n">
        <f aca="false">AT2</f>
        <v>22</v>
      </c>
      <c r="AV2" s="78"/>
    </row>
    <row r="3" customFormat="false" ht="12.75" hidden="false" customHeight="false" outlineLevel="0" collapsed="false">
      <c r="AS3" s="78"/>
      <c r="AT3" s="78"/>
      <c r="AU3" s="78"/>
      <c r="AV3" s="78"/>
    </row>
    <row r="4" customFormat="false" ht="18.75" hidden="false" customHeight="false" outlineLevel="0" collapsed="false">
      <c r="A4" s="14" t="s">
        <v>300</v>
      </c>
      <c r="B4" s="357"/>
      <c r="E4" s="0"/>
      <c r="AB4" s="70"/>
      <c r="AC4" s="70"/>
      <c r="AD4" s="70"/>
    </row>
    <row r="5" customFormat="false" ht="18.75" hidden="false" customHeight="false" outlineLevel="0" collapsed="false">
      <c r="A5" s="14"/>
      <c r="E5" s="0"/>
      <c r="AB5" s="358"/>
      <c r="AC5" s="358"/>
      <c r="AD5" s="70"/>
    </row>
    <row r="6" customFormat="false" ht="13.5" hidden="false" customHeight="false" outlineLevel="0" collapsed="false">
      <c r="A6" s="319" t="s">
        <v>269</v>
      </c>
      <c r="B6" s="319"/>
      <c r="C6" s="359"/>
      <c r="D6" s="412" t="n">
        <v>36525</v>
      </c>
      <c r="E6" s="412" t="n">
        <v>36571</v>
      </c>
      <c r="F6" s="412" t="n">
        <v>36616</v>
      </c>
      <c r="G6" s="412" t="n">
        <v>36753</v>
      </c>
      <c r="H6" s="412" t="n">
        <v>36937</v>
      </c>
      <c r="I6" s="412" t="n">
        <v>37118</v>
      </c>
      <c r="J6" s="412" t="n">
        <v>37302</v>
      </c>
      <c r="K6" s="412" t="n">
        <v>37483</v>
      </c>
      <c r="L6" s="412" t="n">
        <v>37667</v>
      </c>
      <c r="M6" s="412" t="n">
        <v>37848</v>
      </c>
      <c r="N6" s="412" t="n">
        <v>38032</v>
      </c>
      <c r="O6" s="412" t="n">
        <v>38214</v>
      </c>
      <c r="P6" s="412" t="n">
        <v>38398</v>
      </c>
      <c r="Q6" s="412" t="n">
        <v>38579</v>
      </c>
      <c r="R6" s="412" t="n">
        <v>38763</v>
      </c>
      <c r="S6" s="412" t="n">
        <v>38944</v>
      </c>
      <c r="T6" s="412" t="n">
        <v>39128</v>
      </c>
      <c r="U6" s="412" t="n">
        <v>39309</v>
      </c>
      <c r="V6" s="412" t="n">
        <v>39493</v>
      </c>
      <c r="W6" s="412" t="n">
        <v>39675</v>
      </c>
      <c r="X6" s="412" t="n">
        <v>39859</v>
      </c>
      <c r="Y6" s="412" t="n">
        <v>40040</v>
      </c>
      <c r="Z6" s="412" t="n">
        <v>40224</v>
      </c>
      <c r="AA6" s="412" t="n">
        <v>40405</v>
      </c>
      <c r="AB6" s="412" t="n">
        <v>40589</v>
      </c>
      <c r="AC6" s="412" t="n">
        <v>40770</v>
      </c>
      <c r="AD6" s="412" t="n">
        <v>40954</v>
      </c>
      <c r="AE6" s="412" t="n">
        <v>41136</v>
      </c>
      <c r="AF6" s="412" t="n">
        <v>41320</v>
      </c>
      <c r="AG6" s="412" t="n">
        <v>41501</v>
      </c>
      <c r="AH6" s="412" t="n">
        <v>41685</v>
      </c>
      <c r="AI6" s="412" t="n">
        <v>41866</v>
      </c>
      <c r="AJ6" s="412" t="n">
        <v>42050</v>
      </c>
      <c r="AK6" s="412" t="n">
        <v>42231</v>
      </c>
      <c r="AL6" s="412" t="n">
        <v>42415</v>
      </c>
      <c r="AM6" s="412" t="n">
        <v>42597</v>
      </c>
      <c r="AN6" s="412" t="n">
        <v>42781</v>
      </c>
      <c r="AO6" s="412" t="n">
        <v>42962</v>
      </c>
      <c r="AP6" s="412" t="n">
        <v>43146</v>
      </c>
      <c r="AQ6" s="412" t="n">
        <v>43327</v>
      </c>
      <c r="AR6" s="412" t="n">
        <v>43511</v>
      </c>
      <c r="AS6" s="409" t="n">
        <v>43692</v>
      </c>
      <c r="AT6" s="409" t="n">
        <v>43876</v>
      </c>
      <c r="AU6" s="409" t="n">
        <v>44196</v>
      </c>
      <c r="AV6" s="413" t="s">
        <v>159</v>
      </c>
    </row>
    <row r="7" customFormat="false" ht="12.75" hidden="false" customHeight="false" outlineLevel="0" collapsed="false">
      <c r="D7" s="414"/>
      <c r="E7" s="414"/>
      <c r="F7" s="414"/>
      <c r="G7" s="414"/>
      <c r="H7" s="414"/>
      <c r="I7" s="414"/>
      <c r="J7" s="414"/>
      <c r="K7" s="414"/>
      <c r="L7" s="414"/>
      <c r="M7" s="414"/>
      <c r="N7" s="414"/>
      <c r="O7" s="414"/>
      <c r="P7" s="414"/>
      <c r="Q7" s="414"/>
      <c r="R7" s="414"/>
      <c r="S7" s="414"/>
      <c r="T7" s="414"/>
      <c r="U7" s="414"/>
      <c r="V7" s="414"/>
      <c r="W7" s="414"/>
      <c r="X7" s="414"/>
      <c r="Y7" s="414"/>
      <c r="Z7" s="414"/>
      <c r="AA7" s="414"/>
      <c r="AB7" s="414"/>
      <c r="AC7" s="414"/>
      <c r="AD7" s="414"/>
      <c r="AE7" s="414"/>
      <c r="AF7" s="414"/>
      <c r="AG7" s="414"/>
      <c r="AH7" s="414"/>
      <c r="AI7" s="414"/>
      <c r="AJ7" s="414"/>
      <c r="AK7" s="414"/>
      <c r="AL7" s="414"/>
      <c r="AM7" s="414"/>
      <c r="AN7" s="414"/>
      <c r="AO7" s="414"/>
      <c r="AP7" s="414"/>
      <c r="AQ7" s="414"/>
      <c r="AR7" s="414"/>
      <c r="AS7" s="415"/>
      <c r="AT7" s="415"/>
      <c r="AU7" s="415"/>
      <c r="AV7" s="416"/>
    </row>
    <row r="8" customFormat="false" ht="12.75" hidden="false" customHeight="false" outlineLevel="0" collapsed="false">
      <c r="A8" s="385" t="s">
        <v>289</v>
      </c>
      <c r="D8" s="80" t="n">
        <f aca="false">+IS!D38</f>
        <v>0</v>
      </c>
      <c r="E8" s="115" t="n">
        <f aca="false">1/12*(Brownsville!$F$39+Caledonia!$F$39+'New Albany'!$F$39)</f>
        <v>4471.41794771421</v>
      </c>
      <c r="F8" s="80" t="n">
        <v>0</v>
      </c>
      <c r="G8" s="80" t="n">
        <f aca="false">6/12*(Brownsville!F39+Caledonia!F39+'New Albany'!F39)+2/7*(Wilton!F39)+1/6*(Calvert!F39+Wheatland!F39)</f>
        <v>34689.2131999769</v>
      </c>
      <c r="H8" s="115" t="n">
        <f aca="false">5/12*(Brownsville!F39+Caledonia!F39+'New Albany'!F39)+5/7*(Wilton!F39)+5/6*(Calvert!F39+Wheatland!F39)+1/12*(SUM(Brownsville:Wilton!G39))</f>
        <v>60752.8886525282</v>
      </c>
      <c r="I8" s="115" t="n">
        <f aca="false">1/2*(SUM(Brownsville:Wilton!G39))</f>
        <v>61186.0580025798</v>
      </c>
      <c r="J8" s="115" t="n">
        <f aca="false">5/12*(SUM(Brownsville:Wilton!G39))+1/12*(SUM(Brownsville:Wilton!H39))</f>
        <v>61143.4377215494</v>
      </c>
      <c r="K8" s="115" t="n">
        <f aca="false">1/2*(SUM(Brownsville:Wilton!H39))</f>
        <v>60930.3363163975</v>
      </c>
      <c r="L8" s="115" t="n">
        <f aca="false">5/12*(SUM(Brownsville:Wilton!H39))+1/12*(SUM(Brownsville:Wilton!I39))</f>
        <v>66412.916942759</v>
      </c>
      <c r="M8" s="115" t="n">
        <f aca="false">1/2*(SUM(Brownsville:Wilton!I39))</f>
        <v>93825.8200745664</v>
      </c>
      <c r="N8" s="115" t="n">
        <f aca="false">5/12*(SUM(Brownsville:Wilton!I39))+1/12*(SUM(Brownsville:Wilton!J39))</f>
        <v>94030.6085767229</v>
      </c>
      <c r="O8" s="115" t="n">
        <f aca="false">1/2*(SUM(Brownsville:Wilton!J39))</f>
        <v>95054.5510875053</v>
      </c>
      <c r="P8" s="115" t="n">
        <f aca="false">5/12*(SUM(Brownsville:Wilton!J39))+1/12*(SUM(Brownsville:Wilton!K39))</f>
        <v>95344.7919865071</v>
      </c>
      <c r="Q8" s="115" t="n">
        <f aca="false">1/2*(SUM(Brownsville:Wilton!K39))</f>
        <v>96795.9964815162</v>
      </c>
      <c r="R8" s="115" t="n">
        <f aca="false">5/12*(SUM(Brownsville:Wilton!K39))+1/12*(SUM(Brownsville:Wilton!L39))</f>
        <v>96895.6689677122</v>
      </c>
      <c r="S8" s="115" t="n">
        <f aca="false">1/2*(SUM(Brownsville:Wilton!L39))</f>
        <v>97394.0313986924</v>
      </c>
      <c r="T8" s="115" t="n">
        <f aca="false">5/12*(SUM(Brownsville:Wilton!L39))+1/12*(SUM(Brownsville:Wilton!M39))</f>
        <v>97761.9553506236</v>
      </c>
      <c r="U8" s="115" t="n">
        <f aca="false">1/2*(SUM(Brownsville:Wilton!M39))</f>
        <v>99601.5751102798</v>
      </c>
      <c r="V8" s="115" t="n">
        <f aca="false">5/12*(SUM(Brownsville:Wilton!M39))+1/12*(SUM(Brownsville:Wilton!N39))</f>
        <v>99766.1069753639</v>
      </c>
      <c r="W8" s="115" t="n">
        <f aca="false">1/2*(SUM(Brownsville:Wilton!N39))</f>
        <v>100588.766300785</v>
      </c>
      <c r="X8" s="115" t="n">
        <f aca="false">5/12*(SUM(Brownsville:Wilton!N39))+1/12*(SUM(Brownsville:Wilton!O39))</f>
        <v>100978.638203096</v>
      </c>
      <c r="Y8" s="115" t="n">
        <f aca="false">1/2*(SUM(Brownsville:Wilton!O39))</f>
        <v>102927.997714651</v>
      </c>
      <c r="Z8" s="115" t="n">
        <f aca="false">5/12*(SUM(Brownsville:Wilton!O39))+1/12*(SUM(Brownsville:Wilton!P39))</f>
        <v>102993.8236154</v>
      </c>
      <c r="AA8" s="115" t="n">
        <f aca="false">1/2*(SUM(Brownsville:Wilton!P39))</f>
        <v>103322.953119149</v>
      </c>
      <c r="AB8" s="115" t="n">
        <f aca="false">5/12*(SUM(Brownsville:Wilton!P39))+1/12*(SUM(Brownsville:Wilton!Q39))</f>
        <v>103720.339101883</v>
      </c>
      <c r="AC8" s="115" t="n">
        <f aca="false">1/2*(SUM(Brownsville:Wilton!Q39))</f>
        <v>105707.269015554</v>
      </c>
      <c r="AD8" s="115" t="n">
        <f aca="false">5/12*(SUM(Brownsville:Wilton!Q39))+1/12*(SUM(Brownsville:Wilton!R39))</f>
        <v>105881.623067357</v>
      </c>
      <c r="AE8" s="115" t="n">
        <f aca="false">1/2*(SUM(Brownsville:Wilton!R39))</f>
        <v>106753.393326371</v>
      </c>
      <c r="AF8" s="115" t="n">
        <f aca="false">5/12*(SUM(Brownsville:Wilton!R39))+1/12*(SUM(Brownsville:Wilton!S39))</f>
        <v>106864.123406596</v>
      </c>
      <c r="AG8" s="115" t="n">
        <f aca="false">1/2*(SUM(Brownsville:Wilton!S39))</f>
        <v>107417.773807722</v>
      </c>
      <c r="AH8" s="115" t="n">
        <f aca="false">5/12*(SUM(Brownsville:Wilton!S39))+1/12*(SUM(Brownsville:Wilton!T39))</f>
        <v>107553.841795271</v>
      </c>
      <c r="AI8" s="115" t="n">
        <f aca="false">1/2*(SUM(Brownsville:Wilton!T39))</f>
        <v>108234.181733017</v>
      </c>
      <c r="AJ8" s="115" t="n">
        <f aca="false">5/12*(SUM(Brownsville:Wilton!T39))+1/12*(SUM(Brownsville:Wilton!U39))</f>
        <v>108394.085191027</v>
      </c>
      <c r="AK8" s="115" t="n">
        <f aca="false">1/2*(SUM(Brownsville:Wilton!U39))</f>
        <v>109193.602481075</v>
      </c>
      <c r="AL8" s="115" t="n">
        <f aca="false">5/12*(SUM(Brownsville:Wilton!U39))+1/12*(SUM(Brownsville:Wilton!V39))</f>
        <v>109353.4529246</v>
      </c>
      <c r="AM8" s="115" t="n">
        <f aca="false">1/2*(SUM(Brownsville:Wilton!V39))</f>
        <v>110152.705142222</v>
      </c>
      <c r="AN8" s="115" t="n">
        <f aca="false">5/12*(SUM(Brownsville:Wilton!V39))+1/12*(SUM(Brownsville:Wilton!W39))</f>
        <v>110309.855033891</v>
      </c>
      <c r="AO8" s="115" t="n">
        <f aca="false">1/2*(SUM(Brownsville:Wilton!W39))</f>
        <v>111095.604492238</v>
      </c>
      <c r="AP8" s="115" t="n">
        <f aca="false">5/12*(SUM(Brownsville:Wilton!W39))+1/12*(SUM(Brownsville:Wilton!X39))</f>
        <v>111230.362857749</v>
      </c>
      <c r="AQ8" s="115" t="n">
        <f aca="false">1/2*(SUM(Brownsville:Wilton!X39))</f>
        <v>111904.154685309</v>
      </c>
      <c r="AR8" s="115" t="n">
        <f aca="false">5/12*(SUM(Brownsville:Wilton!X39))+1/12*(SUM(Brownsville:Wilton!Y39))</f>
        <v>111844.09642079</v>
      </c>
      <c r="AS8" s="115" t="n">
        <f aca="false">1/2*(SUM(Brownsville:Wilton!Y39))</f>
        <v>111543.805098195</v>
      </c>
      <c r="AT8" s="115" t="n">
        <f aca="false">5/12*(SUM(Brownsville:Wilton!Y39))+1/12*(SUM(Brownsville:Wilton!Z39))</f>
        <v>111788.814830543</v>
      </c>
      <c r="AU8" s="115" t="n">
        <f aca="false">11/12*(SUM(Brownsville:Wilton!Z39))</f>
        <v>207192.08306918</v>
      </c>
      <c r="AV8" s="371" t="n">
        <f aca="false">SUM(D8:AU8)</f>
        <v>4103004.72122666</v>
      </c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</row>
    <row r="9" customFormat="false" ht="12.75" hidden="false" customHeight="false" outlineLevel="0" collapsed="false">
      <c r="D9" s="80"/>
      <c r="E9" s="80"/>
      <c r="AS9" s="78"/>
      <c r="AT9" s="78"/>
      <c r="AU9" s="78"/>
      <c r="AV9" s="371"/>
    </row>
    <row r="10" customFormat="false" ht="12.75" hidden="false" customHeight="false" outlineLevel="0" collapsed="false">
      <c r="A10" s="1" t="s">
        <v>303</v>
      </c>
      <c r="D10" s="80" t="n">
        <v>0</v>
      </c>
      <c r="E10" s="80" t="n">
        <f aca="false">SUM(CF!D12:E12)</f>
        <v>-1147.62556847617</v>
      </c>
      <c r="F10" s="80" t="n">
        <v>0</v>
      </c>
      <c r="G10" s="80" t="n">
        <v>0</v>
      </c>
      <c r="H10" s="80" t="n">
        <v>0</v>
      </c>
      <c r="I10" s="80" t="n">
        <v>0</v>
      </c>
      <c r="J10" s="80" t="n">
        <v>0</v>
      </c>
      <c r="K10" s="80" t="n">
        <v>0</v>
      </c>
      <c r="L10" s="1" t="n">
        <v>0</v>
      </c>
      <c r="M10" s="80" t="n">
        <v>0</v>
      </c>
      <c r="N10" s="1" t="n">
        <v>0</v>
      </c>
      <c r="O10" s="80" t="n">
        <v>0</v>
      </c>
      <c r="P10" s="1" t="n">
        <v>0</v>
      </c>
      <c r="Q10" s="80" t="n">
        <v>0</v>
      </c>
      <c r="R10" s="1" t="n">
        <v>0</v>
      </c>
      <c r="S10" s="80" t="n">
        <v>0</v>
      </c>
      <c r="T10" s="1" t="n">
        <v>0</v>
      </c>
      <c r="U10" s="80" t="n">
        <v>0</v>
      </c>
      <c r="V10" s="1" t="n">
        <v>0</v>
      </c>
      <c r="W10" s="80" t="n">
        <v>0</v>
      </c>
      <c r="X10" s="1" t="n">
        <v>0</v>
      </c>
      <c r="Y10" s="80" t="n">
        <v>0</v>
      </c>
      <c r="Z10" s="1" t="n">
        <v>0</v>
      </c>
      <c r="AA10" s="80" t="n">
        <v>0</v>
      </c>
      <c r="AB10" s="1" t="n">
        <v>0</v>
      </c>
      <c r="AC10" s="80" t="n">
        <v>0</v>
      </c>
      <c r="AD10" s="1" t="n">
        <v>0</v>
      </c>
      <c r="AE10" s="80" t="n">
        <v>0</v>
      </c>
      <c r="AF10" s="1" t="n">
        <v>0</v>
      </c>
      <c r="AG10" s="80" t="n">
        <v>0</v>
      </c>
      <c r="AH10" s="1" t="n">
        <v>0</v>
      </c>
      <c r="AI10" s="80" t="n">
        <v>0</v>
      </c>
      <c r="AJ10" s="1" t="n">
        <v>0</v>
      </c>
      <c r="AK10" s="80" t="n">
        <v>0</v>
      </c>
      <c r="AL10" s="1" t="n">
        <v>0</v>
      </c>
      <c r="AM10" s="80" t="n">
        <v>0</v>
      </c>
      <c r="AN10" s="1" t="n">
        <v>0</v>
      </c>
      <c r="AO10" s="80" t="n">
        <v>0</v>
      </c>
      <c r="AP10" s="1" t="n">
        <v>0</v>
      </c>
      <c r="AQ10" s="80" t="n">
        <v>0</v>
      </c>
      <c r="AR10" s="1" t="n">
        <v>0</v>
      </c>
      <c r="AS10" s="115" t="n">
        <v>0</v>
      </c>
      <c r="AT10" s="115" t="n">
        <v>0</v>
      </c>
      <c r="AU10" s="78" t="n">
        <v>0</v>
      </c>
      <c r="AV10" s="371" t="n">
        <f aca="false">SUM(D10:AU10)</f>
        <v>-1147.62556847617</v>
      </c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</row>
    <row r="11" customFormat="false" ht="12.75" hidden="false" customHeight="false" outlineLevel="0" collapsed="false">
      <c r="A11" s="1" t="s">
        <v>304</v>
      </c>
      <c r="D11" s="80" t="n">
        <f aca="false">-D8</f>
        <v>-0</v>
      </c>
      <c r="E11" s="80" t="n">
        <f aca="false">-D11</f>
        <v>0</v>
      </c>
      <c r="F11" s="80" t="n">
        <v>0</v>
      </c>
      <c r="G11" s="80" t="n">
        <v>0</v>
      </c>
      <c r="H11" s="80" t="n">
        <v>0</v>
      </c>
      <c r="I11" s="80" t="n">
        <v>0</v>
      </c>
      <c r="J11" s="80" t="n">
        <v>0</v>
      </c>
      <c r="K11" s="80" t="n">
        <v>0</v>
      </c>
      <c r="L11" s="1" t="n">
        <v>0</v>
      </c>
      <c r="M11" s="1" t="n">
        <v>0</v>
      </c>
      <c r="N11" s="1" t="n">
        <v>0</v>
      </c>
      <c r="O11" s="1" t="n">
        <v>0</v>
      </c>
      <c r="P11" s="1" t="n">
        <v>0</v>
      </c>
      <c r="Q11" s="1" t="n">
        <v>0</v>
      </c>
      <c r="R11" s="1" t="n">
        <v>0</v>
      </c>
      <c r="S11" s="1" t="n">
        <v>0</v>
      </c>
      <c r="T11" s="1" t="n">
        <v>0</v>
      </c>
      <c r="U11" s="1" t="n">
        <v>0</v>
      </c>
      <c r="V11" s="1" t="n">
        <v>0</v>
      </c>
      <c r="W11" s="1" t="n">
        <v>0</v>
      </c>
      <c r="X11" s="1" t="n">
        <v>0</v>
      </c>
      <c r="Y11" s="1" t="n">
        <v>0</v>
      </c>
      <c r="Z11" s="1" t="n">
        <v>0</v>
      </c>
      <c r="AA11" s="1" t="n">
        <v>0</v>
      </c>
      <c r="AB11" s="1" t="n">
        <v>0</v>
      </c>
      <c r="AC11" s="1" t="n">
        <v>0</v>
      </c>
      <c r="AD11" s="1" t="n">
        <v>0</v>
      </c>
      <c r="AE11" s="1" t="n">
        <v>0</v>
      </c>
      <c r="AF11" s="1" t="n">
        <v>0</v>
      </c>
      <c r="AG11" s="1" t="n">
        <v>0</v>
      </c>
      <c r="AH11" s="1" t="n">
        <v>0</v>
      </c>
      <c r="AI11" s="1" t="n">
        <v>0</v>
      </c>
      <c r="AJ11" s="1" t="n">
        <v>0</v>
      </c>
      <c r="AK11" s="1" t="n">
        <v>0</v>
      </c>
      <c r="AL11" s="1" t="n">
        <v>0</v>
      </c>
      <c r="AM11" s="1" t="n">
        <v>0</v>
      </c>
      <c r="AN11" s="1" t="n">
        <v>0</v>
      </c>
      <c r="AO11" s="1" t="n">
        <v>0</v>
      </c>
      <c r="AP11" s="1" t="n">
        <v>0</v>
      </c>
      <c r="AQ11" s="1" t="n">
        <v>0</v>
      </c>
      <c r="AR11" s="1" t="n">
        <v>0</v>
      </c>
      <c r="AS11" s="78" t="n">
        <v>0</v>
      </c>
      <c r="AT11" s="78" t="n">
        <v>0</v>
      </c>
      <c r="AU11" s="78" t="n">
        <v>0</v>
      </c>
      <c r="AV11" s="371" t="n">
        <f aca="false">SUM(D11:AU11)</f>
        <v>0</v>
      </c>
    </row>
    <row r="12" customFormat="false" ht="12.75" hidden="false" customHeight="false" outlineLevel="0" collapsed="false">
      <c r="A12" s="1" t="s">
        <v>305</v>
      </c>
      <c r="D12" s="189" t="n">
        <v>0</v>
      </c>
      <c r="E12" s="189" t="n">
        <f aca="false">CF!E14</f>
        <v>3218.41178742862</v>
      </c>
      <c r="F12" s="189" t="n">
        <v>0</v>
      </c>
      <c r="G12" s="189" t="n">
        <f aca="false">CF!G14</f>
        <v>14796.1829139467</v>
      </c>
      <c r="H12" s="189" t="n">
        <v>0</v>
      </c>
      <c r="I12" s="189" t="n">
        <v>0</v>
      </c>
      <c r="J12" s="189" t="n">
        <v>0</v>
      </c>
      <c r="K12" s="189" t="n">
        <v>0</v>
      </c>
      <c r="L12" s="1" t="n">
        <v>0</v>
      </c>
      <c r="M12" s="1" t="n">
        <v>0</v>
      </c>
      <c r="N12" s="1" t="n">
        <v>0</v>
      </c>
      <c r="O12" s="1" t="n">
        <v>0</v>
      </c>
      <c r="P12" s="1" t="n">
        <v>0</v>
      </c>
      <c r="Q12" s="1" t="n">
        <v>0</v>
      </c>
      <c r="R12" s="1" t="n">
        <v>0</v>
      </c>
      <c r="S12" s="1" t="n">
        <v>0</v>
      </c>
      <c r="T12" s="1" t="n">
        <v>0</v>
      </c>
      <c r="U12" s="1" t="n">
        <v>0</v>
      </c>
      <c r="V12" s="1" t="n">
        <v>0</v>
      </c>
      <c r="W12" s="1" t="n">
        <v>0</v>
      </c>
      <c r="X12" s="1" t="n">
        <v>0</v>
      </c>
      <c r="Y12" s="1" t="n">
        <v>0</v>
      </c>
      <c r="Z12" s="1" t="n">
        <v>0</v>
      </c>
      <c r="AA12" s="1" t="n">
        <v>0</v>
      </c>
      <c r="AB12" s="1" t="n">
        <v>0</v>
      </c>
      <c r="AC12" s="1" t="n">
        <v>0</v>
      </c>
      <c r="AD12" s="1" t="n">
        <v>0</v>
      </c>
      <c r="AE12" s="1" t="n">
        <v>0</v>
      </c>
      <c r="AF12" s="1" t="n">
        <v>0</v>
      </c>
      <c r="AG12" s="1" t="n">
        <v>0</v>
      </c>
      <c r="AH12" s="1" t="n">
        <v>0</v>
      </c>
      <c r="AI12" s="1" t="n">
        <v>0</v>
      </c>
      <c r="AJ12" s="1" t="n">
        <v>0</v>
      </c>
      <c r="AK12" s="1" t="n">
        <v>0</v>
      </c>
      <c r="AL12" s="1" t="n">
        <v>0</v>
      </c>
      <c r="AM12" s="1" t="n">
        <v>0</v>
      </c>
      <c r="AN12" s="1" t="n">
        <v>0</v>
      </c>
      <c r="AO12" s="1" t="n">
        <v>0</v>
      </c>
      <c r="AP12" s="1" t="n">
        <v>0</v>
      </c>
      <c r="AQ12" s="1" t="n">
        <v>0</v>
      </c>
      <c r="AR12" s="1" t="n">
        <v>0</v>
      </c>
      <c r="AS12" s="78" t="n">
        <v>0</v>
      </c>
      <c r="AT12" s="78" t="n">
        <v>0</v>
      </c>
      <c r="AU12" s="78" t="n">
        <v>0</v>
      </c>
      <c r="AV12" s="371" t="n">
        <f aca="false">SUM(D12:AU12)</f>
        <v>18014.5947013754</v>
      </c>
      <c r="AW12" s="94"/>
      <c r="AX12" s="94"/>
      <c r="AY12" s="94"/>
      <c r="AZ12" s="94"/>
      <c r="BA12" s="94"/>
      <c r="BB12" s="94"/>
      <c r="BC12" s="94"/>
      <c r="BD12" s="94"/>
      <c r="BE12" s="94"/>
      <c r="BF12" s="94"/>
      <c r="BG12" s="94"/>
      <c r="BH12" s="94"/>
      <c r="BI12" s="94"/>
      <c r="BJ12" s="94"/>
      <c r="BK12" s="94"/>
      <c r="BL12" s="94"/>
      <c r="BM12" s="94"/>
      <c r="BN12" s="94"/>
      <c r="BO12" s="94"/>
      <c r="BP12" s="94"/>
      <c r="BQ12" s="94"/>
      <c r="BR12" s="94"/>
      <c r="BS12" s="94"/>
      <c r="BT12" s="94"/>
      <c r="BU12" s="94"/>
      <c r="BV12" s="94"/>
      <c r="BW12" s="94"/>
      <c r="BX12" s="94"/>
      <c r="BY12" s="94"/>
      <c r="BZ12" s="94"/>
      <c r="CA12" s="94"/>
      <c r="CB12" s="94"/>
      <c r="CC12" s="94"/>
      <c r="CD12" s="94"/>
      <c r="CE12" s="94"/>
      <c r="CF12" s="94"/>
      <c r="CG12" s="94"/>
      <c r="CH12" s="94"/>
      <c r="CI12" s="94"/>
      <c r="CJ12" s="94"/>
      <c r="CK12" s="94"/>
      <c r="CL12" s="94"/>
      <c r="CM12" s="94"/>
      <c r="CN12" s="94"/>
      <c r="CO12" s="94"/>
      <c r="CP12" s="94"/>
      <c r="CQ12" s="94"/>
      <c r="CR12" s="94"/>
      <c r="CS12" s="94"/>
      <c r="CT12" s="94"/>
      <c r="CU12" s="94"/>
      <c r="CV12" s="94"/>
      <c r="CW12" s="94"/>
      <c r="CX12" s="94"/>
      <c r="CY12" s="94"/>
      <c r="CZ12" s="94"/>
      <c r="DA12" s="94"/>
      <c r="DB12" s="94"/>
      <c r="DC12" s="94"/>
      <c r="DD12" s="94"/>
      <c r="DE12" s="94"/>
      <c r="DF12" s="94"/>
      <c r="DG12" s="94"/>
      <c r="DH12" s="94"/>
      <c r="DI12" s="94"/>
      <c r="DJ12" s="94"/>
      <c r="DK12" s="94"/>
      <c r="DL12" s="94"/>
      <c r="DM12" s="94"/>
      <c r="DN12" s="94"/>
      <c r="DO12" s="94"/>
      <c r="DP12" s="94"/>
      <c r="DQ12" s="94"/>
      <c r="DR12" s="94"/>
      <c r="DS12" s="94"/>
      <c r="DT12" s="94"/>
      <c r="DU12" s="94"/>
      <c r="DV12" s="94"/>
      <c r="DW12" s="94"/>
      <c r="DX12" s="94"/>
      <c r="DY12" s="94"/>
      <c r="DZ12" s="94"/>
      <c r="EA12" s="94"/>
      <c r="EB12" s="94"/>
      <c r="EC12" s="94"/>
      <c r="ED12" s="94"/>
      <c r="EE12" s="94"/>
      <c r="EF12" s="94"/>
      <c r="EG12" s="94"/>
      <c r="EH12" s="94"/>
      <c r="EI12" s="94"/>
      <c r="EJ12" s="94"/>
      <c r="EK12" s="94"/>
      <c r="EL12" s="94"/>
      <c r="EM12" s="94"/>
      <c r="EN12" s="94"/>
      <c r="EO12" s="94"/>
      <c r="EP12" s="94"/>
      <c r="EQ12" s="94"/>
      <c r="ER12" s="94"/>
      <c r="ES12" s="94"/>
      <c r="ET12" s="94"/>
      <c r="EU12" s="94"/>
      <c r="EV12" s="94"/>
      <c r="EW12" s="94"/>
      <c r="EX12" s="94"/>
      <c r="EY12" s="94"/>
      <c r="EZ12" s="94"/>
      <c r="FA12" s="94"/>
      <c r="FB12" s="94"/>
      <c r="FC12" s="94"/>
      <c r="FD12" s="94"/>
      <c r="FE12" s="94"/>
      <c r="FF12" s="94"/>
      <c r="FG12" s="94"/>
      <c r="FH12" s="94"/>
      <c r="FI12" s="94"/>
      <c r="FJ12" s="94"/>
      <c r="FK12" s="94"/>
      <c r="FL12" s="94"/>
      <c r="FM12" s="94"/>
      <c r="FN12" s="94"/>
      <c r="FO12" s="94"/>
      <c r="FP12" s="94"/>
      <c r="FQ12" s="94"/>
      <c r="FR12" s="94"/>
      <c r="FS12" s="94"/>
      <c r="FT12" s="94"/>
      <c r="FU12" s="94"/>
      <c r="FV12" s="94"/>
      <c r="FW12" s="94"/>
      <c r="FX12" s="94"/>
      <c r="FY12" s="94"/>
      <c r="FZ12" s="94"/>
      <c r="GA12" s="94"/>
      <c r="GB12" s="94"/>
      <c r="GC12" s="94"/>
      <c r="GD12" s="94"/>
      <c r="GE12" s="94"/>
      <c r="GF12" s="94"/>
      <c r="GG12" s="94"/>
      <c r="GH12" s="94"/>
      <c r="GI12" s="94"/>
      <c r="GJ12" s="94"/>
      <c r="GK12" s="94"/>
      <c r="GL12" s="94"/>
      <c r="GM12" s="94"/>
      <c r="GN12" s="94"/>
      <c r="GO12" s="94"/>
      <c r="GP12" s="94"/>
      <c r="GQ12" s="94"/>
      <c r="GR12" s="94"/>
      <c r="GS12" s="94"/>
      <c r="GT12" s="94"/>
      <c r="GU12" s="94"/>
      <c r="GV12" s="94"/>
      <c r="GW12" s="94"/>
      <c r="GX12" s="94"/>
      <c r="GY12" s="94"/>
      <c r="GZ12" s="94"/>
      <c r="HA12" s="94"/>
      <c r="HB12" s="94"/>
      <c r="HC12" s="94"/>
      <c r="HD12" s="94"/>
      <c r="HE12" s="94"/>
      <c r="HF12" s="94"/>
      <c r="HG12" s="94"/>
      <c r="HH12" s="94"/>
      <c r="HI12" s="94"/>
      <c r="HJ12" s="94"/>
      <c r="HK12" s="94"/>
      <c r="HL12" s="94"/>
      <c r="HM12" s="94"/>
      <c r="HN12" s="94"/>
      <c r="HO12" s="94"/>
      <c r="HP12" s="94"/>
      <c r="HQ12" s="94"/>
      <c r="HR12" s="94"/>
      <c r="HS12" s="94"/>
      <c r="HT12" s="94"/>
      <c r="HU12" s="94"/>
      <c r="HV12" s="94"/>
      <c r="HW12" s="94"/>
      <c r="HX12" s="94"/>
      <c r="HY12" s="94"/>
      <c r="HZ12" s="94"/>
      <c r="IA12" s="94"/>
      <c r="IB12" s="94"/>
      <c r="IC12" s="94"/>
      <c r="ID12" s="94"/>
      <c r="IE12" s="94"/>
      <c r="IF12" s="94"/>
      <c r="IG12" s="94"/>
      <c r="IH12" s="94"/>
      <c r="II12" s="94"/>
      <c r="IJ12" s="94"/>
      <c r="IK12" s="94"/>
      <c r="IL12" s="94"/>
      <c r="IM12" s="94"/>
      <c r="IN12" s="94"/>
      <c r="IO12" s="94"/>
      <c r="IP12" s="94"/>
      <c r="IQ12" s="94"/>
      <c r="IR12" s="94"/>
      <c r="IS12" s="94"/>
      <c r="IT12" s="94"/>
      <c r="IU12" s="94"/>
      <c r="IV12" s="94"/>
      <c r="IW12" s="94"/>
    </row>
    <row r="13" customFormat="false" ht="12.75" hidden="false" customHeight="false" outlineLevel="0" collapsed="false">
      <c r="A13" s="1" t="s">
        <v>306</v>
      </c>
      <c r="D13" s="80" t="n">
        <v>0</v>
      </c>
      <c r="E13" s="80" t="n">
        <f aca="false">-Debt!C31-Debt!B41-Debt!C54-Debt!B64-Debt!C77-Debt!B87</f>
        <v>-722.25</v>
      </c>
      <c r="F13" s="80" t="n">
        <v>0</v>
      </c>
      <c r="G13" s="80" t="n">
        <f aca="false">-(Debt!C36+Debt!C59+Debt!C82)</f>
        <v>-7944.75</v>
      </c>
      <c r="H13" s="80" t="n">
        <f aca="false">-HLOOKUP(H$2,Debt!$A$17:$V$115,94)-I13</f>
        <v>-11768.625</v>
      </c>
      <c r="I13" s="80" t="n">
        <f aca="false">-(Debt!D36+Debt!D59+Debt!D82)</f>
        <v>-13908.375</v>
      </c>
      <c r="J13" s="80" t="n">
        <f aca="false">-HLOOKUP(J$2,Debt!$A$17:$V$115,94)-K13</f>
        <v>-13648.5</v>
      </c>
      <c r="K13" s="80" t="n">
        <f aca="false">-(Debt!E36+Debt!E59+Debt!E82)</f>
        <v>-13648.5</v>
      </c>
      <c r="L13" s="80" t="n">
        <f aca="false">-HLOOKUP(L$2,Debt!$A$17:$V$115,94)-M13</f>
        <v>-19359</v>
      </c>
      <c r="M13" s="80" t="n">
        <f aca="false">-(Debt!F36+Debt!F59+Debt!F82)</f>
        <v>-0</v>
      </c>
      <c r="N13" s="80" t="n">
        <f aca="false">-HLOOKUP(N$2,Debt!$A$17:$V$115,94)-O13</f>
        <v>-9012.91666666667</v>
      </c>
      <c r="O13" s="80" t="n">
        <f aca="false">-(Debt!G36+Debt!G59+Debt!G82)</f>
        <v>-12618.0833333333</v>
      </c>
      <c r="P13" s="80" t="n">
        <f aca="false">-HLOOKUP(P$2,Debt!$A$17:$V$115,94)-Q13</f>
        <v>-12707</v>
      </c>
      <c r="Q13" s="80" t="n">
        <f aca="false">-(Debt!H36+Debt!H59+Debt!H82)</f>
        <v>-12707</v>
      </c>
      <c r="R13" s="80" t="n">
        <f aca="false">-HLOOKUP(R$2,Debt!$A$17:$V$115,94)-S13</f>
        <v>-14259</v>
      </c>
      <c r="S13" s="80" t="n">
        <f aca="false">-(Debt!I36+Debt!I59+Debt!I82)</f>
        <v>-14259</v>
      </c>
      <c r="T13" s="80" t="n">
        <f aca="false">-HLOOKUP(T$2,Debt!$A$17:$V$115,94)-U13</f>
        <v>-16684</v>
      </c>
      <c r="U13" s="80" t="n">
        <f aca="false">-(Debt!J36+Debt!J59+Debt!J82)</f>
        <v>-16684</v>
      </c>
      <c r="V13" s="80" t="n">
        <f aca="false">-HLOOKUP(V$2,Debt!$A$17:$V$115,94)-W13</f>
        <v>-18915</v>
      </c>
      <c r="W13" s="80" t="n">
        <f aca="false">-(Debt!K36+Debt!K59+Debt!K82)</f>
        <v>-18915</v>
      </c>
      <c r="X13" s="80" t="n">
        <f aca="false">-HLOOKUP(X$2,Debt!$A$17:$V$115,94)-Y13</f>
        <v>-23619.5</v>
      </c>
      <c r="Y13" s="80" t="n">
        <f aca="false">-(Debt!L36+Debt!L59+Debt!L82)</f>
        <v>-23619.5</v>
      </c>
      <c r="Z13" s="80" t="n">
        <f aca="false">-HLOOKUP(Z$2,Debt!$A$17:$V$115,94)-AA13</f>
        <v>-16215.1201788405</v>
      </c>
      <c r="AA13" s="80" t="n">
        <f aca="false">-(Debt!M36+Debt!M59+Debt!M82)</f>
        <v>-16215.1201788405</v>
      </c>
      <c r="AB13" s="80" t="n">
        <f aca="false">-HLOOKUP(AB$2,Debt!$A$17:$V$115,94)-AC13</f>
        <v>-18025.3539564551</v>
      </c>
      <c r="AC13" s="80" t="n">
        <f aca="false">-(Debt!N36+Debt!N59+Debt!N82)</f>
        <v>-18025.3539564551</v>
      </c>
      <c r="AD13" s="80" t="n">
        <f aca="false">-HLOOKUP(AD$2,Debt!$A$17:$V$115,94)-AE13</f>
        <v>-19857.4312275529</v>
      </c>
      <c r="AE13" s="80" t="n">
        <f aca="false">-(Debt!O36+Debt!O59+Debt!O82)</f>
        <v>-19857.4312275529</v>
      </c>
      <c r="AF13" s="80" t="n">
        <f aca="false">-HLOOKUP(AF$2,Debt!$A$17:$V$115,94)-AG13</f>
        <v>-21175.849212313</v>
      </c>
      <c r="AG13" s="80" t="n">
        <f aca="false">-(Debt!P36+Debt!P59+Debt!P82)</f>
        <v>-21175.849212313</v>
      </c>
      <c r="AH13" s="80" t="n">
        <f aca="false">-HLOOKUP(AH$2,Debt!$A$17:$V$115,94)-AI13</f>
        <v>-22629.3775680508</v>
      </c>
      <c r="AI13" s="80" t="n">
        <f aca="false">-(Debt!Q36+Debt!Q59+Debt!Q82)</f>
        <v>-22629.3775680508</v>
      </c>
      <c r="AJ13" s="80" t="n">
        <f aca="false">-HLOOKUP(AJ$2,Debt!$A$17:$V$115,94)-AK13</f>
        <v>-24662.0383210895</v>
      </c>
      <c r="AK13" s="80" t="n">
        <f aca="false">-(Debt!R36+Debt!R59+Debt!R82)</f>
        <v>-24662.0383210895</v>
      </c>
      <c r="AL13" s="80" t="n">
        <f aca="false">-HLOOKUP(AL$2,Debt!$A$17:$V$115,94)-AM13</f>
        <v>-25143.4432804799</v>
      </c>
      <c r="AM13" s="80" t="n">
        <f aca="false">-(Debt!S36+Debt!S59+Debt!S82)</f>
        <v>-25143.4432804799</v>
      </c>
      <c r="AN13" s="80" t="n">
        <f aca="false">-HLOOKUP(AN$2,Debt!$A$17:$V$115,94)-AO13</f>
        <v>-24559.8605924288</v>
      </c>
      <c r="AO13" s="80" t="n">
        <f aca="false">-(Debt!T36+Debt!T59+Debt!T82)</f>
        <v>-24559.8605924288</v>
      </c>
      <c r="AP13" s="80" t="n">
        <f aca="false">-HLOOKUP(AP$2,Debt!$A$17:$V$115,94)-AQ13</f>
        <v>-21652.9099498021</v>
      </c>
      <c r="AQ13" s="80" t="n">
        <f aca="false">-(Debt!U36+Debt!U59+Debt!U82)</f>
        <v>-21652.9099498021</v>
      </c>
      <c r="AR13" s="80" t="n">
        <f aca="false">-HLOOKUP(AR$2,Debt!$A$17:$V$115,94)-AS13</f>
        <v>-18578.6157129873</v>
      </c>
      <c r="AS13" s="115" t="n">
        <f aca="false">-(Debt!V36+Debt!V59+Debt!V82)</f>
        <v>-18578.6157129873</v>
      </c>
      <c r="AT13" s="115" t="n">
        <v>0</v>
      </c>
      <c r="AU13" s="115" t="n">
        <v>0</v>
      </c>
      <c r="AV13" s="371" t="n">
        <f aca="false">SUM(D13:AU13)</f>
        <v>-700000</v>
      </c>
    </row>
    <row r="14" customFormat="false" ht="12.75" hidden="false" customHeight="false" outlineLevel="0" collapsed="false">
      <c r="A14" s="1" t="s">
        <v>307</v>
      </c>
      <c r="D14" s="189" t="n">
        <v>0</v>
      </c>
      <c r="E14" s="189" t="n">
        <f aca="false">-Debt!B42-Debt!C32-Debt!B65-Debt!C55-Debt!B88-Debt!C78</f>
        <v>-5819.95416666667</v>
      </c>
      <c r="F14" s="189" t="n">
        <v>0</v>
      </c>
      <c r="G14" s="189" t="n">
        <f aca="false">-(Debt!C37+Debt!C60+Debt!C83)</f>
        <v>-34890.1488625</v>
      </c>
      <c r="H14" s="189" t="n">
        <f aca="false">-HLOOKUP(H$2,Debt!$A$17:$V$115,92)-I14</f>
        <v>-34564.81135</v>
      </c>
      <c r="I14" s="189" t="n">
        <f aca="false">-(Debt!D37+Debt!D60+Debt!D83)</f>
        <v>-34082.88615625</v>
      </c>
      <c r="J14" s="189" t="n">
        <f aca="false">-HLOOKUP(J$2,Debt!$A$17:$V$115,92)-K14</f>
        <v>-33513.3382</v>
      </c>
      <c r="K14" s="189" t="n">
        <f aca="false">-(Debt!E37+Debt!E60+Debt!E83)</f>
        <v>-32954.432125</v>
      </c>
      <c r="L14" s="189" t="n">
        <f aca="false">-HLOOKUP(L$2,Debt!$A$17:$V$115,92)-M14</f>
        <v>-32395.52605</v>
      </c>
      <c r="M14" s="189" t="n">
        <f aca="false">-(Debt!F37+Debt!F60+Debt!F83)</f>
        <v>-31602.775</v>
      </c>
      <c r="N14" s="189" t="n">
        <f aca="false">-HLOOKUP(N$2,Debt!$A$17:$V$115,92)-O14</f>
        <v>-31602.775</v>
      </c>
      <c r="O14" s="189" t="n">
        <f aca="false">-(Debt!G37+Debt!G60+Debt!G83)</f>
        <v>-31164.74725</v>
      </c>
      <c r="P14" s="189" t="n">
        <f aca="false">-HLOOKUP(P$2,Debt!$A$17:$V$115,92)-Q14</f>
        <v>-30551.5084</v>
      </c>
      <c r="Q14" s="189" t="n">
        <f aca="false">-(Debt!H37+Debt!H60+Debt!H83)</f>
        <v>-29933.9482</v>
      </c>
      <c r="R14" s="189" t="n">
        <f aca="false">-HLOOKUP(R$2,Debt!$A$17:$V$115,92)-S14</f>
        <v>-29316.388</v>
      </c>
      <c r="S14" s="189" t="n">
        <f aca="false">-(Debt!I37+Debt!I60+Debt!I83)</f>
        <v>-28623.4006</v>
      </c>
      <c r="T14" s="189" t="n">
        <f aca="false">-HLOOKUP(T$2,Debt!$A$17:$V$115,92)-U14</f>
        <v>-27930.4132</v>
      </c>
      <c r="U14" s="189" t="n">
        <f aca="false">-(Debt!J37+Debt!J60+Debt!J83)</f>
        <v>-27119.5708</v>
      </c>
      <c r="V14" s="189" t="n">
        <f aca="false">-HLOOKUP(V$2,Debt!$A$17:$V$115,92)-W14</f>
        <v>-26308.7284</v>
      </c>
      <c r="W14" s="189" t="n">
        <f aca="false">-(Debt!K37+Debt!K60+Debt!K83)</f>
        <v>-25389.4594</v>
      </c>
      <c r="X14" s="189" t="n">
        <f aca="false">-HLOOKUP(X$2,Debt!$A$17:$V$115,92)-Y14</f>
        <v>-24470.1904</v>
      </c>
      <c r="Y14" s="189" t="n">
        <f aca="false">-(Debt!L37+Debt!L60+Debt!L83)</f>
        <v>-19626.5535333333</v>
      </c>
      <c r="Z14" s="189" t="n">
        <f aca="false">-HLOOKUP(Z$2,Debt!$A$17:$V$115,92)-AA14</f>
        <v>-25870.1041666667</v>
      </c>
      <c r="AA14" s="189" t="n">
        <f aca="false">-(Debt!M37+Debt!M60+Debt!M83)</f>
        <v>-21328.351104669</v>
      </c>
      <c r="AB14" s="189" t="n">
        <f aca="false">-HLOOKUP(AB$2,Debt!$A$17:$V$115,92)-AC14</f>
        <v>-20482.327209338</v>
      </c>
      <c r="AC14" s="189" t="n">
        <f aca="false">-(Debt!N37+Debt!N60+Debt!N83)</f>
        <v>-19541.8543666599</v>
      </c>
      <c r="AD14" s="189" t="n">
        <f aca="false">-HLOOKUP(AD$2,Debt!$A$17:$V$115,92)-AE14</f>
        <v>-18601.3815239819</v>
      </c>
      <c r="AE14" s="189" t="n">
        <f aca="false">-(Debt!O37+Debt!O60+Debt!O83)</f>
        <v>-17565.3200496843</v>
      </c>
      <c r="AF14" s="189" t="n">
        <f aca="false">-HLOOKUP(AF$2,Debt!$A$17:$V$115,92)-AG14</f>
        <v>-16529.2585753868</v>
      </c>
      <c r="AG14" s="189" t="n">
        <f aca="false">-(Debt!P37+Debt!P60+Debt!P83)</f>
        <v>-15424.4086427343</v>
      </c>
      <c r="AH14" s="189" t="n">
        <f aca="false">-HLOOKUP(AH$2,Debt!$A$17:$V$115,92)-AI14</f>
        <v>-14319.5587100819</v>
      </c>
      <c r="AI14" s="189" t="n">
        <f aca="false">-(Debt!Q37+Debt!Q60+Debt!Q83)</f>
        <v>-13138.8709354688</v>
      </c>
      <c r="AJ14" s="189" t="n">
        <f aca="false">-HLOOKUP(AJ$2,Debt!$A$17:$V$115,92)-AK14</f>
        <v>-11958.1831608558</v>
      </c>
      <c r="AK14" s="189" t="n">
        <f aca="false">-(Debt!R37+Debt!R60+Debt!R83)</f>
        <v>-10671.4413114529</v>
      </c>
      <c r="AL14" s="189" t="n">
        <f aca="false">-HLOOKUP(AL$2,Debt!$A$17:$V$115,92)-AM14</f>
        <v>-9384.69946205009</v>
      </c>
      <c r="AM14" s="189" t="n">
        <f aca="false">-(Debt!S37+Debt!S60+Debt!S83)</f>
        <v>-8072.84030889105</v>
      </c>
      <c r="AN14" s="189" t="n">
        <f aca="false">-HLOOKUP(AN$2,Debt!$A$17:$V$115,92)-AO14</f>
        <v>-6760.98115573201</v>
      </c>
      <c r="AO14" s="189" t="n">
        <f aca="false">-(Debt!T37+Debt!T60+Debt!T83)</f>
        <v>-5479.57042932204</v>
      </c>
      <c r="AP14" s="189" t="n">
        <f aca="false">-HLOOKUP(AP$2,Debt!$A$17:$V$115,92)-AQ14</f>
        <v>-4198.15970291207</v>
      </c>
      <c r="AQ14" s="189" t="n">
        <f aca="false">-(Debt!U37+Debt!U60+Debt!U83)</f>
        <v>-3068.41912628114</v>
      </c>
      <c r="AR14" s="189" t="n">
        <f aca="false">-HLOOKUP(AR$2,Debt!$A$17:$V$115,92)-AS14</f>
        <v>-1938.67854965022</v>
      </c>
      <c r="AS14" s="417" t="n">
        <f aca="false">-(Debt!V37+Debt!V60+Debt!V83)</f>
        <v>-969.339274825109</v>
      </c>
      <c r="AT14" s="417" t="n">
        <v>0</v>
      </c>
      <c r="AU14" s="417" t="n">
        <v>0</v>
      </c>
      <c r="AV14" s="371" t="n">
        <f aca="false">SUM(D14:AU14)</f>
        <v>-817165.302860394</v>
      </c>
      <c r="AW14" s="80"/>
      <c r="AX14" s="80"/>
      <c r="AY14" s="80"/>
      <c r="AZ14" s="80"/>
      <c r="BA14" s="80"/>
      <c r="BB14" s="80"/>
      <c r="BC14" s="80"/>
      <c r="BD14" s="80"/>
      <c r="BE14" s="80"/>
      <c r="BF14" s="80"/>
      <c r="BG14" s="80"/>
      <c r="BH14" s="80"/>
      <c r="BI14" s="80"/>
      <c r="BJ14" s="80"/>
      <c r="BK14" s="80"/>
    </row>
    <row r="15" customFormat="false" ht="12.75" hidden="false" customHeight="false" outlineLevel="0" collapsed="false">
      <c r="D15" s="418"/>
      <c r="E15" s="419"/>
      <c r="F15" s="419"/>
      <c r="G15" s="419"/>
      <c r="H15" s="419"/>
      <c r="I15" s="419"/>
      <c r="J15" s="419"/>
      <c r="K15" s="419"/>
      <c r="L15" s="419"/>
      <c r="M15" s="419"/>
      <c r="N15" s="419"/>
      <c r="O15" s="419"/>
      <c r="P15" s="419"/>
      <c r="Q15" s="419"/>
      <c r="R15" s="419"/>
      <c r="S15" s="419"/>
      <c r="T15" s="419"/>
      <c r="U15" s="419"/>
      <c r="V15" s="419"/>
      <c r="W15" s="419"/>
      <c r="X15" s="419"/>
      <c r="Y15" s="419"/>
      <c r="Z15" s="419"/>
      <c r="AA15" s="419"/>
      <c r="AB15" s="419"/>
      <c r="AC15" s="419"/>
      <c r="AD15" s="419"/>
      <c r="AE15" s="419"/>
      <c r="AF15" s="419"/>
      <c r="AG15" s="419"/>
      <c r="AH15" s="419"/>
      <c r="AI15" s="419"/>
      <c r="AJ15" s="419"/>
      <c r="AK15" s="419"/>
      <c r="AL15" s="419"/>
      <c r="AM15" s="419"/>
      <c r="AN15" s="419"/>
      <c r="AO15" s="419"/>
      <c r="AP15" s="419"/>
      <c r="AQ15" s="419"/>
      <c r="AR15" s="419"/>
      <c r="AS15" s="420"/>
      <c r="AT15" s="420"/>
      <c r="AU15" s="420"/>
      <c r="AV15" s="421"/>
    </row>
    <row r="16" customFormat="false" ht="12.75" hidden="false" customHeight="false" outlineLevel="0" collapsed="false">
      <c r="A16" s="385" t="s">
        <v>308</v>
      </c>
      <c r="D16" s="377" t="n">
        <f aca="false">SUM(D8:D14)</f>
        <v>0</v>
      </c>
      <c r="E16" s="377" t="n">
        <f aca="false">SUM(E8:E14)</f>
        <v>0</v>
      </c>
      <c r="F16" s="377" t="n">
        <v>0</v>
      </c>
      <c r="G16" s="377" t="n">
        <f aca="false">SUM(G8:G15)</f>
        <v>6650.49725142361</v>
      </c>
      <c r="H16" s="377" t="n">
        <f aca="false">SUM(H8:H15)</f>
        <v>14419.4523025282</v>
      </c>
      <c r="I16" s="377" t="n">
        <f aca="false">SUM(I8:I15)</f>
        <v>13194.7968463298</v>
      </c>
      <c r="J16" s="377" t="n">
        <f aca="false">SUM(J8:J15)</f>
        <v>13981.5995215494</v>
      </c>
      <c r="K16" s="377" t="n">
        <f aca="false">SUM(K8:K15)</f>
        <v>14327.4041913975</v>
      </c>
      <c r="L16" s="377" t="n">
        <f aca="false">SUM(L8:L15)</f>
        <v>14658.390892759</v>
      </c>
      <c r="M16" s="377" t="n">
        <f aca="false">SUM(M8:M15)</f>
        <v>62223.0450745664</v>
      </c>
      <c r="N16" s="377" t="n">
        <f aca="false">SUM(N8:N15)</f>
        <v>53414.9169100563</v>
      </c>
      <c r="O16" s="377" t="n">
        <f aca="false">SUM(O8:O15)</f>
        <v>51271.720504172</v>
      </c>
      <c r="P16" s="377" t="n">
        <f aca="false">SUM(P8:P15)</f>
        <v>52086.2835865071</v>
      </c>
      <c r="Q16" s="377" t="n">
        <f aca="false">SUM(Q8:Q15)</f>
        <v>54155.0482815162</v>
      </c>
      <c r="R16" s="377" t="n">
        <f aca="false">SUM(R8:R15)</f>
        <v>53320.2809677122</v>
      </c>
      <c r="S16" s="377" t="n">
        <f aca="false">SUM(S8:S15)</f>
        <v>54511.6307986924</v>
      </c>
      <c r="T16" s="377" t="n">
        <f aca="false">SUM(T8:T15)</f>
        <v>53147.5421506236</v>
      </c>
      <c r="U16" s="377" t="n">
        <f aca="false">SUM(U8:U15)</f>
        <v>55798.0043102798</v>
      </c>
      <c r="V16" s="377" t="n">
        <f aca="false">SUM(V8:V15)</f>
        <v>54542.3785753639</v>
      </c>
      <c r="W16" s="377" t="n">
        <f aca="false">SUM(W8:W15)</f>
        <v>56284.3069007847</v>
      </c>
      <c r="X16" s="377" t="n">
        <f aca="false">SUM(X8:X15)</f>
        <v>52888.9478030957</v>
      </c>
      <c r="Y16" s="377" t="n">
        <f aca="false">SUM(Y8:Y15)</f>
        <v>59681.9441813173</v>
      </c>
      <c r="Z16" s="377" t="n">
        <f aca="false">SUM(Z8:Z15)</f>
        <v>60908.5992698931</v>
      </c>
      <c r="AA16" s="377" t="n">
        <f aca="false">SUM(AA8:AA15)</f>
        <v>65779.4818356391</v>
      </c>
      <c r="AB16" s="377" t="n">
        <f aca="false">SUM(AB8:AB15)</f>
        <v>65212.6579360898</v>
      </c>
      <c r="AC16" s="377" t="n">
        <f aca="false">SUM(AC8:AC15)</f>
        <v>68140.0606924392</v>
      </c>
      <c r="AD16" s="377" t="n">
        <f aca="false">SUM(AD8:AD15)</f>
        <v>67422.8103158222</v>
      </c>
      <c r="AE16" s="377" t="n">
        <f aca="false">SUM(AE8:AE15)</f>
        <v>69330.6420491333</v>
      </c>
      <c r="AF16" s="377" t="n">
        <f aca="false">SUM(AF8:AF15)</f>
        <v>69159.015618896</v>
      </c>
      <c r="AG16" s="377" t="n">
        <f aca="false">SUM(AG8:AG15)</f>
        <v>70817.5159526742</v>
      </c>
      <c r="AH16" s="377" t="n">
        <f aca="false">SUM(AH8:AH15)</f>
        <v>70604.9055171382</v>
      </c>
      <c r="AI16" s="377" t="n">
        <f aca="false">SUM(AI8:AI15)</f>
        <v>72465.9332294977</v>
      </c>
      <c r="AJ16" s="377" t="n">
        <f aca="false">SUM(AJ8:AJ15)</f>
        <v>71773.8637090817</v>
      </c>
      <c r="AK16" s="377" t="n">
        <f aca="false">SUM(AK8:AK15)</f>
        <v>73860.1228485328</v>
      </c>
      <c r="AL16" s="377" t="n">
        <f aca="false">SUM(AL8:AL15)</f>
        <v>74825.3101820697</v>
      </c>
      <c r="AM16" s="377" t="n">
        <f aca="false">SUM(AM8:AM15)</f>
        <v>76936.4215528512</v>
      </c>
      <c r="AN16" s="377" t="n">
        <f aca="false">SUM(AN8:AN15)</f>
        <v>78989.0132857306</v>
      </c>
      <c r="AO16" s="377" t="n">
        <f aca="false">SUM(AO8:AO15)</f>
        <v>81056.1734704867</v>
      </c>
      <c r="AP16" s="377" t="n">
        <f aca="false">SUM(AP8:AP15)</f>
        <v>85379.2932050352</v>
      </c>
      <c r="AQ16" s="377" t="n">
        <f aca="false">SUM(AQ8:AQ15)</f>
        <v>87182.8256092253</v>
      </c>
      <c r="AR16" s="377" t="n">
        <f aca="false">SUM(AR8:AR15)</f>
        <v>91326.8021581522</v>
      </c>
      <c r="AS16" s="422" t="n">
        <f aca="false">SUM(AS8:AS15)</f>
        <v>91995.8501103831</v>
      </c>
      <c r="AT16" s="422" t="n">
        <f aca="false">SUM(AT8:AT15)</f>
        <v>111788.814830543</v>
      </c>
      <c r="AU16" s="422" t="n">
        <f aca="false">SUM(AU8:AU15)</f>
        <v>207192.08306918</v>
      </c>
      <c r="AV16" s="386" t="n">
        <f aca="false">SUM(D16:AU16)</f>
        <v>2602706.38749917</v>
      </c>
    </row>
    <row r="17" customFormat="false" ht="12.75" hidden="false" customHeight="false" outlineLevel="0" collapsed="false">
      <c r="A17" s="385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0"/>
      <c r="AO17" s="80"/>
      <c r="AP17" s="80"/>
      <c r="AQ17" s="80"/>
      <c r="AR17" s="80"/>
      <c r="AS17" s="115"/>
      <c r="AT17" s="115"/>
      <c r="AU17" s="115"/>
      <c r="AV17" s="371"/>
    </row>
    <row r="18" customFormat="false" ht="12.75" hidden="false" customHeight="false" outlineLevel="0" collapsed="false">
      <c r="A18" s="1" t="s">
        <v>309</v>
      </c>
      <c r="D18" s="80" t="n">
        <v>0</v>
      </c>
      <c r="E18" s="80" t="n">
        <v>0</v>
      </c>
      <c r="F18" s="80" t="n">
        <v>0</v>
      </c>
      <c r="G18" s="115" t="n">
        <v>0</v>
      </c>
      <c r="H18" s="80" t="n">
        <v>0</v>
      </c>
      <c r="I18" s="80" t="n">
        <v>0</v>
      </c>
      <c r="J18" s="80" t="n">
        <v>0</v>
      </c>
      <c r="K18" s="80" t="n">
        <v>0</v>
      </c>
      <c r="L18" s="80" t="n">
        <v>0</v>
      </c>
      <c r="M18" s="80" t="n">
        <v>0</v>
      </c>
      <c r="N18" s="80" t="n">
        <v>0</v>
      </c>
      <c r="O18" s="80" t="n">
        <v>0</v>
      </c>
      <c r="P18" s="80" t="n">
        <v>0</v>
      </c>
      <c r="Q18" s="80" t="n">
        <v>0</v>
      </c>
      <c r="R18" s="80" t="n">
        <v>0</v>
      </c>
      <c r="S18" s="80" t="n">
        <v>0</v>
      </c>
      <c r="T18" s="80" t="n">
        <v>0</v>
      </c>
      <c r="U18" s="80" t="n">
        <v>0</v>
      </c>
      <c r="V18" s="80" t="n">
        <v>0</v>
      </c>
      <c r="W18" s="80" t="n">
        <v>0</v>
      </c>
      <c r="X18" s="80" t="n">
        <v>0</v>
      </c>
      <c r="Y18" s="80" t="n">
        <v>0</v>
      </c>
      <c r="Z18" s="80" t="n">
        <v>0</v>
      </c>
      <c r="AA18" s="80" t="n">
        <v>0</v>
      </c>
      <c r="AB18" s="80" t="n">
        <v>0</v>
      </c>
      <c r="AC18" s="80" t="n">
        <v>0</v>
      </c>
      <c r="AD18" s="80" t="n">
        <v>0</v>
      </c>
      <c r="AE18" s="80" t="n">
        <v>0</v>
      </c>
      <c r="AF18" s="80" t="n">
        <v>0</v>
      </c>
      <c r="AG18" s="80" t="n">
        <v>0</v>
      </c>
      <c r="AH18" s="80" t="n">
        <v>0</v>
      </c>
      <c r="AI18" s="80" t="n">
        <v>0</v>
      </c>
      <c r="AJ18" s="80" t="n">
        <v>0</v>
      </c>
      <c r="AK18" s="80" t="n">
        <v>0</v>
      </c>
      <c r="AL18" s="80" t="n">
        <v>0</v>
      </c>
      <c r="AM18" s="80" t="n">
        <v>0</v>
      </c>
      <c r="AN18" s="80" t="n">
        <v>0</v>
      </c>
      <c r="AO18" s="80" t="n">
        <v>0</v>
      </c>
      <c r="AP18" s="80" t="n">
        <v>0</v>
      </c>
      <c r="AQ18" s="80" t="n">
        <v>0</v>
      </c>
      <c r="AR18" s="80" t="n">
        <v>0</v>
      </c>
      <c r="AS18" s="115" t="n">
        <v>0</v>
      </c>
      <c r="AT18" s="115" t="n">
        <v>0</v>
      </c>
      <c r="AU18" s="115" t="n">
        <v>0</v>
      </c>
      <c r="AV18" s="371" t="n">
        <f aca="false">SUM(D18:AU18)</f>
        <v>0</v>
      </c>
      <c r="AW18" s="80"/>
      <c r="AX18" s="80"/>
      <c r="AY18" s="80"/>
      <c r="AZ18" s="80"/>
      <c r="BA18" s="80"/>
      <c r="BB18" s="80"/>
      <c r="BC18" s="80"/>
      <c r="BD18" s="80"/>
      <c r="BE18" s="80"/>
      <c r="BF18" s="80"/>
      <c r="BG18" s="80"/>
      <c r="BH18" s="80"/>
      <c r="BI18" s="80"/>
      <c r="BJ18" s="80"/>
      <c r="BK18" s="80"/>
    </row>
    <row r="19" customFormat="false" ht="12.75" hidden="false" customHeight="false" outlineLevel="0" collapsed="false"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80"/>
      <c r="AK19" s="80"/>
      <c r="AL19" s="80"/>
      <c r="AM19" s="80"/>
      <c r="AN19" s="80"/>
      <c r="AO19" s="80"/>
      <c r="AP19" s="80"/>
      <c r="AQ19" s="80"/>
      <c r="AR19" s="80"/>
      <c r="AS19" s="115"/>
      <c r="AT19" s="115"/>
      <c r="AU19" s="115"/>
      <c r="AV19" s="371"/>
    </row>
    <row r="20" customFormat="false" ht="12.75" hidden="false" customHeight="false" outlineLevel="0" collapsed="false">
      <c r="A20" s="385" t="s">
        <v>310</v>
      </c>
      <c r="D20" s="377" t="n">
        <f aca="false">D16+D18</f>
        <v>0</v>
      </c>
      <c r="E20" s="377" t="n">
        <f aca="false">E16+E18</f>
        <v>0</v>
      </c>
      <c r="F20" s="377" t="n">
        <f aca="false">F16+F18</f>
        <v>0</v>
      </c>
      <c r="G20" s="377" t="n">
        <f aca="false">G16+G18</f>
        <v>6650.49725142361</v>
      </c>
      <c r="H20" s="377" t="n">
        <f aca="false">H16+H18</f>
        <v>14419.4523025282</v>
      </c>
      <c r="I20" s="377" t="n">
        <f aca="false">I16+I18</f>
        <v>13194.7968463298</v>
      </c>
      <c r="J20" s="377" t="n">
        <f aca="false">J16+J18</f>
        <v>13981.5995215494</v>
      </c>
      <c r="K20" s="377" t="n">
        <f aca="false">K16+K18</f>
        <v>14327.4041913975</v>
      </c>
      <c r="L20" s="377" t="n">
        <f aca="false">L16+L18</f>
        <v>14658.390892759</v>
      </c>
      <c r="M20" s="377" t="n">
        <f aca="false">M16+M18</f>
        <v>62223.0450745664</v>
      </c>
      <c r="N20" s="377" t="n">
        <f aca="false">N16+N18</f>
        <v>53414.9169100563</v>
      </c>
      <c r="O20" s="377" t="n">
        <f aca="false">O16+O18</f>
        <v>51271.720504172</v>
      </c>
      <c r="P20" s="377" t="n">
        <f aca="false">P16+P18</f>
        <v>52086.2835865071</v>
      </c>
      <c r="Q20" s="377" t="n">
        <f aca="false">Q16+Q18</f>
        <v>54155.0482815162</v>
      </c>
      <c r="R20" s="377" t="n">
        <f aca="false">R16+R18</f>
        <v>53320.2809677122</v>
      </c>
      <c r="S20" s="377" t="n">
        <f aca="false">S16+S18</f>
        <v>54511.6307986924</v>
      </c>
      <c r="T20" s="377" t="n">
        <f aca="false">T16+T18</f>
        <v>53147.5421506236</v>
      </c>
      <c r="U20" s="377" t="n">
        <f aca="false">U16+U18</f>
        <v>55798.0043102798</v>
      </c>
      <c r="V20" s="377" t="n">
        <f aca="false">V16+V18</f>
        <v>54542.3785753639</v>
      </c>
      <c r="W20" s="377" t="n">
        <f aca="false">W16+W18</f>
        <v>56284.3069007847</v>
      </c>
      <c r="X20" s="377" t="n">
        <f aca="false">X16+X18</f>
        <v>52888.9478030957</v>
      </c>
      <c r="Y20" s="377" t="n">
        <f aca="false">Y16+Y18</f>
        <v>59681.9441813173</v>
      </c>
      <c r="Z20" s="377" t="n">
        <f aca="false">Z16+Z18</f>
        <v>60908.5992698931</v>
      </c>
      <c r="AA20" s="377" t="n">
        <f aca="false">AA16+AA18</f>
        <v>65779.4818356391</v>
      </c>
      <c r="AB20" s="377" t="n">
        <f aca="false">AB16+AB18</f>
        <v>65212.6579360898</v>
      </c>
      <c r="AC20" s="377" t="n">
        <f aca="false">AC16+AC18</f>
        <v>68140.0606924392</v>
      </c>
      <c r="AD20" s="377" t="n">
        <f aca="false">AD16+AD18</f>
        <v>67422.8103158222</v>
      </c>
      <c r="AE20" s="377" t="n">
        <f aca="false">AE16+AE18</f>
        <v>69330.6420491333</v>
      </c>
      <c r="AF20" s="377" t="n">
        <f aca="false">AF16+AF18</f>
        <v>69159.015618896</v>
      </c>
      <c r="AG20" s="377" t="n">
        <f aca="false">AG16+AG18</f>
        <v>70817.5159526742</v>
      </c>
      <c r="AH20" s="377" t="n">
        <f aca="false">AH16+AH18</f>
        <v>70604.9055171382</v>
      </c>
      <c r="AI20" s="377" t="n">
        <f aca="false">AI16+AI18</f>
        <v>72465.9332294977</v>
      </c>
      <c r="AJ20" s="377" t="n">
        <f aca="false">AJ16+AJ18</f>
        <v>71773.8637090817</v>
      </c>
      <c r="AK20" s="377" t="n">
        <f aca="false">AK16+AK18</f>
        <v>73860.1228485328</v>
      </c>
      <c r="AL20" s="377" t="n">
        <f aca="false">AL16+AL18</f>
        <v>74825.3101820697</v>
      </c>
      <c r="AM20" s="377" t="n">
        <f aca="false">AM16+AM18</f>
        <v>76936.4215528512</v>
      </c>
      <c r="AN20" s="377" t="n">
        <f aca="false">AN16+AN18</f>
        <v>78989.0132857306</v>
      </c>
      <c r="AO20" s="377" t="n">
        <f aca="false">AO16+AO18</f>
        <v>81056.1734704867</v>
      </c>
      <c r="AP20" s="377" t="n">
        <f aca="false">AP16+AP18</f>
        <v>85379.2932050352</v>
      </c>
      <c r="AQ20" s="377" t="n">
        <f aca="false">AQ16+AQ18</f>
        <v>87182.8256092253</v>
      </c>
      <c r="AR20" s="377" t="n">
        <f aca="false">AR16+AR18</f>
        <v>91326.8021581522</v>
      </c>
      <c r="AS20" s="422" t="n">
        <f aca="false">AS16+AS18</f>
        <v>91995.8501103831</v>
      </c>
      <c r="AT20" s="422" t="n">
        <f aca="false">AT16+AT18</f>
        <v>111788.814830543</v>
      </c>
      <c r="AU20" s="422" t="n">
        <f aca="false">AU16+AU18</f>
        <v>207192.08306918</v>
      </c>
      <c r="AV20" s="386" t="n">
        <f aca="false">SUM(D20:AU20)</f>
        <v>2602706.38749917</v>
      </c>
    </row>
    <row r="21" customFormat="false" ht="12.75" hidden="false" customHeight="false" outlineLevel="0" collapsed="false"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0"/>
      <c r="AP21" s="80"/>
      <c r="AQ21" s="80"/>
      <c r="AR21" s="80"/>
      <c r="AS21" s="115"/>
      <c r="AT21" s="115"/>
      <c r="AU21" s="115"/>
      <c r="AV21" s="371"/>
    </row>
    <row r="22" customFormat="false" ht="12.75" hidden="false" customHeight="false" outlineLevel="0" collapsed="false">
      <c r="A22" s="327" t="s">
        <v>311</v>
      </c>
      <c r="D22" s="1" t="n">
        <v>0</v>
      </c>
      <c r="E22" s="80" t="n">
        <v>0</v>
      </c>
      <c r="F22" s="80" t="n">
        <v>0</v>
      </c>
      <c r="G22" s="80" t="n">
        <f aca="false">1/2*(Brownsville!F69+Caledonia!F69+'New Albany'!F69)+2/7*(Calvert!F69+Wheatland!F69+Wilton!F69)</f>
        <v>-0</v>
      </c>
      <c r="H22" s="80" t="n">
        <f aca="false">5/12*(Brownsville!F69+Caledonia!F69+'New Albany'!F69)+5/7*(Calvert!F69+Wheatland!F69+Wilton!F69)+1/12*(SUM(Brownsville:Wilton!G69))</f>
        <v>0</v>
      </c>
      <c r="I22" s="80" t="n">
        <f aca="false">1/2*(SUM(Brownsville:Wilton!G69))</f>
        <v>0</v>
      </c>
      <c r="J22" s="80" t="n">
        <f aca="false">5/12*(SUM(Brownsville:Wilton!G69))+1/12*(SUM(Brownsville:Wilton!H69))</f>
        <v>0</v>
      </c>
      <c r="K22" s="80" t="n">
        <f aca="false">1/2*(SUM(Brownsville:Wilton!H69))</f>
        <v>0</v>
      </c>
      <c r="L22" s="80" t="n">
        <f aca="false">5/12*(SUM(Brownsville:Wilton!H69))+1/12*(SUM(Brownsville:Wilton!I69))</f>
        <v>0</v>
      </c>
      <c r="M22" s="80" t="n">
        <f aca="false">1/2*(SUM(Brownsville:Wilton!I69))</f>
        <v>0</v>
      </c>
      <c r="N22" s="80" t="n">
        <f aca="false">5/12*(SUM(Brownsville:Wilton!I69))+1/12*(SUM(Brownsville:Wilton!J69))</f>
        <v>0</v>
      </c>
      <c r="O22" s="80" t="n">
        <f aca="false">1/2*(SUM(Brownsville:Wilton!J69))</f>
        <v>0</v>
      </c>
      <c r="P22" s="80" t="n">
        <f aca="false">5/12*(SUM(Brownsville:Wilton!J69))+1/12*(SUM(Brownsville:Wilton!K69))</f>
        <v>0</v>
      </c>
      <c r="Q22" s="80" t="n">
        <f aca="false">1/2*(SUM(Brownsville:Wilton!K69))</f>
        <v>0</v>
      </c>
      <c r="R22" s="80" t="n">
        <f aca="false">5/12*(SUM(Brownsville:Wilton!K69))+1/12*(SUM(Brownsville:Wilton!L69))</f>
        <v>-328.215902298555</v>
      </c>
      <c r="S22" s="80" t="n">
        <f aca="false">1/2*(SUM(Brownsville:Wilton!L69))</f>
        <v>-1969.29541379133</v>
      </c>
      <c r="T22" s="80" t="n">
        <f aca="false">5/12*(SUM(Brownsville:Wilton!L69))+1/12*(SUM(Brownsville:Wilton!M69))</f>
        <v>-2012.39710374009</v>
      </c>
      <c r="U22" s="80" t="n">
        <f aca="false">1/2*(SUM(Brownsville:Wilton!M69))</f>
        <v>-2227.90555348388</v>
      </c>
      <c r="V22" s="80" t="n">
        <f aca="false">5/12*(SUM(Brownsville:Wilton!M69))+1/12*(SUM(Brownsville:Wilton!N69))</f>
        <v>-2256.51114894908</v>
      </c>
      <c r="W22" s="80" t="n">
        <f aca="false">1/2*(SUM(Brownsville:Wilton!N69))</f>
        <v>-2399.53912627509</v>
      </c>
      <c r="X22" s="80" t="n">
        <f aca="false">5/12*(SUM(Brownsville:Wilton!N69))+1/12*(SUM(Brownsville:Wilton!O69))</f>
        <v>-2444.49364096236</v>
      </c>
      <c r="Y22" s="80" t="n">
        <f aca="false">1/2*(SUM(Brownsville:Wilton!O69))</f>
        <v>-2669.26621439872</v>
      </c>
      <c r="Z22" s="80" t="n">
        <f aca="false">5/12*(SUM(Brownsville:Wilton!O69))+1/12*(SUM(Brownsville:Wilton!P69))</f>
        <v>-2693.14284330404</v>
      </c>
      <c r="AA22" s="80" t="n">
        <f aca="false">1/2*(SUM(Brownsville:Wilton!P69))</f>
        <v>-2812.52598783065</v>
      </c>
      <c r="AB22" s="80" t="n">
        <f aca="false">5/12*(SUM(Brownsville:Wilton!P69))+1/12*(SUM(Brownsville:Wilton!Q69))</f>
        <v>-2854.63078173877</v>
      </c>
      <c r="AC22" s="80" t="n">
        <f aca="false">1/2*(SUM(Brownsville:Wilton!Q69))</f>
        <v>-3065.15475127937</v>
      </c>
      <c r="AD22" s="80" t="n">
        <f aca="false">5/12*(SUM(Brownsville:Wilton!Q69))+1/12*(SUM(Brownsville:Wilton!R69))</f>
        <v>-3096.8210204423</v>
      </c>
      <c r="AE22" s="80" t="n">
        <f aca="false">1/2*(SUM(Brownsville:Wilton!R69))</f>
        <v>-3255.15236625697</v>
      </c>
      <c r="AF22" s="80" t="n">
        <f aca="false">5/12*(SUM(Brownsville:Wilton!R69))+1/12*(SUM(Brownsville:Wilton!S69))</f>
        <v>-3283.28865084462</v>
      </c>
      <c r="AG22" s="80" t="n">
        <f aca="false">1/2*(SUM(Brownsville:Wilton!S69))</f>
        <v>-3423.97007378286</v>
      </c>
      <c r="AH22" s="80" t="n">
        <f aca="false">5/12*(SUM(Brownsville:Wilton!S69))+1/12*(SUM(Brownsville:Wilton!T69))</f>
        <v>-3456.3754283634</v>
      </c>
      <c r="AI22" s="80" t="n">
        <f aca="false">1/2*(SUM(Brownsville:Wilton!T69))</f>
        <v>-3618.40220126611</v>
      </c>
      <c r="AJ22" s="80" t="n">
        <f aca="false">5/12*(SUM(Brownsville:Wilton!T69))+1/12*(SUM(Brownsville:Wilton!U69))</f>
        <v>-3834.94519009425</v>
      </c>
      <c r="AK22" s="80" t="n">
        <f aca="false">1/2*(SUM(Brownsville:Wilton!U69))</f>
        <v>-4917.66013423493</v>
      </c>
      <c r="AL22" s="80" t="n">
        <f aca="false">5/12*(SUM(Brownsville:Wilton!U69))+1/12*(SUM(Brownsville:Wilton!V69))</f>
        <v>-5135.2590849843</v>
      </c>
      <c r="AM22" s="80" t="n">
        <f aca="false">1/2*(SUM(Brownsville:Wilton!V69))</f>
        <v>-6223.25383873115</v>
      </c>
      <c r="AN22" s="80" t="n">
        <f aca="false">5/12*(SUM(Brownsville:Wilton!V69))+1/12*(SUM(Brownsville:Wilton!W69))</f>
        <v>-6259.09851020269</v>
      </c>
      <c r="AO22" s="80" t="n">
        <f aca="false">1/2*(SUM(Brownsville:Wilton!W69))</f>
        <v>-6438.32186756041</v>
      </c>
      <c r="AP22" s="80" t="n">
        <f aca="false">5/12*(SUM(Brownsville:Wilton!W69))+1/12*(SUM(Brownsville:Wilton!X69))</f>
        <v>-6470.53863360055</v>
      </c>
      <c r="AQ22" s="80" t="n">
        <f aca="false">1/2*(SUM(Brownsville:Wilton!X69))</f>
        <v>-6631.6224638013</v>
      </c>
      <c r="AR22" s="80" t="n">
        <f aca="false">5/12*(SUM(Brownsville:Wilton!X69))+1/12*(SUM(Brownsville:Wilton!Y69))</f>
        <v>-6648.75444508951</v>
      </c>
      <c r="AS22" s="115" t="n">
        <f aca="false">1/2*(SUM(Brownsville:Wilton!Y69))</f>
        <v>-6734.41435153053</v>
      </c>
      <c r="AT22" s="115" t="n">
        <f aca="false">5/12*(SUM(Brownsville:Wilton!Y69))+1/12*(SUM(Brownsville:Wilton!Z69))</f>
        <v>-6760.88380129754</v>
      </c>
      <c r="AU22" s="115" t="n">
        <f aca="false">11/12*(SUM(Brownsville:Wilton!Z69))</f>
        <v>-12637.5902585764</v>
      </c>
      <c r="AV22" s="371" t="n">
        <f aca="false">SUM(D22:AU22)</f>
        <v>-126559.430788712</v>
      </c>
    </row>
    <row r="23" customFormat="false" ht="12.75" hidden="false" customHeight="false" outlineLevel="0" collapsed="false">
      <c r="A23" s="327" t="s">
        <v>312</v>
      </c>
      <c r="D23" s="396" t="n">
        <f aca="false">CF!D25</f>
        <v>-0</v>
      </c>
      <c r="E23" s="396" t="n">
        <f aca="false">CF!E25</f>
        <v>302.862314767295</v>
      </c>
      <c r="F23" s="396" t="n">
        <v>0</v>
      </c>
      <c r="G23" s="396" t="n">
        <f aca="false">1/2*(-Tax!E39)*Allocation!$I$10+2/7*(-Tax!E39)*Allocation!$I$15</f>
        <v>3101.77751661502</v>
      </c>
      <c r="H23" s="396" t="n">
        <f aca="false">5/12*(-Tax!E39)*Allocation!$I$10+5/7*(-Tax!E39)*Allocation!$I$15+1/12*(SUM(Brownsville:Wilton!G70))</f>
        <v>6512.85233861636</v>
      </c>
      <c r="I23" s="396" t="n">
        <f aca="false">1/2*(SUM(Brownsville:Wilton!G70))</f>
        <v>10722.1901685105</v>
      </c>
      <c r="J23" s="396" t="n">
        <f aca="false">5/12*(SUM(Brownsville:Wilton!G70))+1/12*(SUM(Brownsville:Wilton!H70))</f>
        <v>10336.8023471648</v>
      </c>
      <c r="K23" s="396" t="n">
        <f aca="false">1/2*(SUM(Brownsville:Wilton!H70))</f>
        <v>8409.86324043614</v>
      </c>
      <c r="L23" s="396" t="n">
        <f aca="false">5/12*(SUM(Brownsville:Wilton!H70))+1/12*(SUM(Brownsville:Wilton!I70))</f>
        <v>6126.99819474948</v>
      </c>
      <c r="M23" s="396" t="n">
        <f aca="false">1/2*(SUM(Brownsville:Wilton!I70))</f>
        <v>-5287.32703368383</v>
      </c>
      <c r="N23" s="396" t="n">
        <f aca="false">5/12*(SUM(Brownsville:Wilton!I70))+1/12*(SUM(Brownsville:Wilton!J70))</f>
        <v>-5672.80061911426</v>
      </c>
      <c r="O23" s="396" t="n">
        <f aca="false">1/2*(SUM(Brownsville:Wilton!J70))</f>
        <v>-7600.1685462664</v>
      </c>
      <c r="P23" s="396" t="n">
        <f aca="false">5/12*(SUM(Brownsville:Wilton!J70))+1/12*(SUM(Brownsville:Wilton!K70))</f>
        <v>-8019.70589653126</v>
      </c>
      <c r="Q23" s="396" t="n">
        <f aca="false">1/2*(SUM(Brownsville:Wilton!K70))</f>
        <v>-10117.3926478556</v>
      </c>
      <c r="R23" s="396" t="n">
        <f aca="false">5/12*(SUM(Brownsville:Wilton!K70))+1/12*(SUM(Brownsville:Wilton!L70))</f>
        <v>-10231.7247867682</v>
      </c>
      <c r="S23" s="396" t="n">
        <f aca="false">1/2*(SUM(Brownsville:Wilton!L70))</f>
        <v>-10803.3854813313</v>
      </c>
      <c r="T23" s="396" t="n">
        <f aca="false">5/12*(SUM(Brownsville:Wilton!L70))+1/12*(SUM(Brownsville:Wilton!M70))</f>
        <v>-11003.5608156146</v>
      </c>
      <c r="U23" s="396" t="n">
        <f aca="false">1/2*(SUM(Brownsville:Wilton!M70))</f>
        <v>-12004.4374870311</v>
      </c>
      <c r="V23" s="396" t="n">
        <f aca="false">5/12*(SUM(Brownsville:Wilton!M70))+1/12*(SUM(Brownsville:Wilton!N70))</f>
        <v>-12158.5706288083</v>
      </c>
      <c r="W23" s="396" t="n">
        <f aca="false">1/2*(SUM(Brownsville:Wilton!N70))</f>
        <v>-12929.2363376943</v>
      </c>
      <c r="X23" s="396" t="n">
        <f aca="false">5/12*(SUM(Brownsville:Wilton!N70))+1/12*(SUM(Brownsville:Wilton!O70))</f>
        <v>-13171.460995952</v>
      </c>
      <c r="Y23" s="396" t="n">
        <f aca="false">1/2*(SUM(Brownsville:Wilton!O70))</f>
        <v>-14382.5842872407</v>
      </c>
      <c r="Z23" s="396" t="n">
        <f aca="false">5/12*(SUM(Brownsville:Wilton!O70))+1/12*(SUM(Brownsville:Wilton!P70))</f>
        <v>-14511.2367333225</v>
      </c>
      <c r="AA23" s="396" t="n">
        <f aca="false">1/2*(SUM(Brownsville:Wilton!P70))</f>
        <v>-15154.4989637317</v>
      </c>
      <c r="AB23" s="396" t="n">
        <f aca="false">5/12*(SUM(Brownsville:Wilton!P70))+1/12*(SUM(Brownsville:Wilton!Q70))</f>
        <v>-15381.368709437</v>
      </c>
      <c r="AC23" s="396" t="n">
        <f aca="false">1/2*(SUM(Brownsville:Wilton!Q70))</f>
        <v>-16515.7174379635</v>
      </c>
      <c r="AD23" s="396" t="n">
        <f aca="false">5/12*(SUM(Brownsville:Wilton!Q70))+1/12*(SUM(Brownsville:Wilton!R70))</f>
        <v>-16686.342152292</v>
      </c>
      <c r="AE23" s="396" t="n">
        <f aca="false">1/2*(SUM(Brownsville:Wilton!R70))</f>
        <v>-17539.4657239342</v>
      </c>
      <c r="AF23" s="396" t="n">
        <f aca="false">5/12*(SUM(Brownsville:Wilton!R70))+1/12*(SUM(Brownsville:Wilton!S70))</f>
        <v>-17691.0701170924</v>
      </c>
      <c r="AG23" s="396" t="n">
        <f aca="false">1/2*(SUM(Brownsville:Wilton!S70))</f>
        <v>-18449.0920828835</v>
      </c>
      <c r="AH23" s="396" t="n">
        <f aca="false">5/12*(SUM(Brownsville:Wilton!S70))+1/12*(SUM(Brownsville:Wilton!T70))</f>
        <v>-18623.6991494618</v>
      </c>
      <c r="AI23" s="396" t="n">
        <f aca="false">1/2*(SUM(Brownsville:Wilton!T70))</f>
        <v>-19496.7344823529</v>
      </c>
      <c r="AJ23" s="396" t="n">
        <f aca="false">5/12*(SUM(Brownsville:Wilton!T70))+1/12*(SUM(Brownsville:Wilton!U70))</f>
        <v>-20663.5149899814</v>
      </c>
      <c r="AK23" s="396" t="n">
        <f aca="false">1/2*(SUM(Brownsville:Wilton!U70))</f>
        <v>-26497.4175281239</v>
      </c>
      <c r="AL23" s="396" t="n">
        <f aca="false">5/12*(SUM(Brownsville:Wilton!U70))+1/12*(SUM(Brownsville:Wilton!V70))</f>
        <v>-27669.8877872108</v>
      </c>
      <c r="AM23" s="396" t="n">
        <f aca="false">1/2*(SUM(Brownsville:Wilton!V70))</f>
        <v>-33532.2390826452</v>
      </c>
      <c r="AN23" s="396" t="n">
        <f aca="false">5/12*(SUM(Brownsville:Wilton!V70))+1/12*(SUM(Brownsville:Wilton!W70))</f>
        <v>-33725.3779332802</v>
      </c>
      <c r="AO23" s="396" t="n">
        <f aca="false">1/2*(SUM(Brownsville:Wilton!W70))</f>
        <v>-34691.0721864554</v>
      </c>
      <c r="AP23" s="396" t="n">
        <f aca="false">5/12*(SUM(Brownsville:Wilton!W70))+1/12*(SUM(Brownsville:Wilton!X70))</f>
        <v>-34864.6630971467</v>
      </c>
      <c r="AQ23" s="396" t="n">
        <f aca="false">1/2*(SUM(Brownsville:Wilton!X70))</f>
        <v>-35732.6176506027</v>
      </c>
      <c r="AR23" s="396" t="n">
        <f aca="false">5/12*(SUM(Brownsville:Wilton!X70))+1/12*(SUM(Brownsville:Wilton!Y70))</f>
        <v>-35824.9284750367</v>
      </c>
      <c r="AS23" s="423" t="n">
        <f aca="false">1/2*(SUM(Brownsville:Wilton!Y70))</f>
        <v>-36286.4825972069</v>
      </c>
      <c r="AT23" s="423" t="n">
        <f aca="false">5/12*(SUM(Brownsville:Wilton!Y70))+1/12*(SUM(Brownsville:Wilton!Z70))</f>
        <v>-36429.1057234643</v>
      </c>
      <c r="AU23" s="423" t="n">
        <f aca="false">11/12*(SUM(Brownsville:Wilton!Z70))</f>
        <v>-68094.0724837113</v>
      </c>
      <c r="AV23" s="376" t="n">
        <f aca="false">SUM(D23:AU23)</f>
        <v>-681929.614530369</v>
      </c>
      <c r="AX23" s="80"/>
    </row>
    <row r="24" customFormat="false" ht="12.75" hidden="false" customHeight="false" outlineLevel="0" collapsed="false"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78"/>
      <c r="AT24" s="115"/>
      <c r="AU24" s="115"/>
      <c r="AV24" s="371"/>
    </row>
    <row r="25" customFormat="false" ht="12.75" hidden="false" customHeight="false" outlineLevel="0" collapsed="false">
      <c r="A25" s="385" t="s">
        <v>313</v>
      </c>
      <c r="D25" s="377" t="n">
        <f aca="false">D20+SUM(D22:D23)</f>
        <v>0</v>
      </c>
      <c r="E25" s="377" t="n">
        <f aca="false">E20+SUM(E22:E23)</f>
        <v>302.862314767295</v>
      </c>
      <c r="F25" s="377" t="n">
        <f aca="false">F20+SUM(F22:F23)</f>
        <v>0</v>
      </c>
      <c r="G25" s="377" t="n">
        <f aca="false">G20+SUM(G22:G23)</f>
        <v>9752.27476803864</v>
      </c>
      <c r="H25" s="377" t="n">
        <f aca="false">H20+SUM(H22:H23)</f>
        <v>20932.3046411445</v>
      </c>
      <c r="I25" s="377" t="n">
        <f aca="false">I20+SUM(I22:I23)</f>
        <v>23916.9870148403</v>
      </c>
      <c r="J25" s="377" t="n">
        <f aca="false">J20+SUM(J22:J23)</f>
        <v>24318.4018687142</v>
      </c>
      <c r="K25" s="377" t="n">
        <f aca="false">K20+SUM(K22:K23)</f>
        <v>22737.2674318336</v>
      </c>
      <c r="L25" s="377" t="n">
        <f aca="false">L20+SUM(L22:L23)</f>
        <v>20785.3890875085</v>
      </c>
      <c r="M25" s="377" t="n">
        <f aca="false">M20+SUM(M22:M23)</f>
        <v>56935.7180408826</v>
      </c>
      <c r="N25" s="377" t="n">
        <f aca="false">N20+SUM(N22:N23)</f>
        <v>47742.116290942</v>
      </c>
      <c r="O25" s="377" t="n">
        <f aca="false">O20+SUM(O22:O23)</f>
        <v>43671.5519579056</v>
      </c>
      <c r="P25" s="377" t="n">
        <f aca="false">P20+SUM(P22:P23)</f>
        <v>44066.5776899759</v>
      </c>
      <c r="Q25" s="377" t="n">
        <f aca="false">Q20+SUM(Q22:Q23)</f>
        <v>44037.6556336606</v>
      </c>
      <c r="R25" s="377" t="n">
        <f aca="false">R20+SUM(R22:R23)</f>
        <v>42760.3402786455</v>
      </c>
      <c r="S25" s="377" t="n">
        <f aca="false">S20+SUM(S22:S23)</f>
        <v>41738.9499035698</v>
      </c>
      <c r="T25" s="377" t="n">
        <f aca="false">T20+SUM(T22:T23)</f>
        <v>40131.584231269</v>
      </c>
      <c r="U25" s="377" t="n">
        <f aca="false">U20+SUM(U22:U23)</f>
        <v>41565.6612697648</v>
      </c>
      <c r="V25" s="377" t="n">
        <f aca="false">V20+SUM(V22:V23)</f>
        <v>40127.2967976065</v>
      </c>
      <c r="W25" s="377" t="n">
        <f aca="false">W20+SUM(W22:W23)</f>
        <v>40955.5314368153</v>
      </c>
      <c r="X25" s="377" t="n">
        <f aca="false">X20+SUM(X22:X23)</f>
        <v>37272.9931661813</v>
      </c>
      <c r="Y25" s="377" t="n">
        <f aca="false">Y20+SUM(Y22:Y23)</f>
        <v>42630.0936796779</v>
      </c>
      <c r="Z25" s="377" t="n">
        <f aca="false">Z20+SUM(Z22:Z23)</f>
        <v>43704.2196932665</v>
      </c>
      <c r="AA25" s="377" t="n">
        <f aca="false">AA20+SUM(AA22:AA23)</f>
        <v>47812.4568840768</v>
      </c>
      <c r="AB25" s="377" t="n">
        <f aca="false">AB20+SUM(AB22:AB23)</f>
        <v>46976.658444914</v>
      </c>
      <c r="AC25" s="377" t="n">
        <f aca="false">AC20+SUM(AC22:AC23)</f>
        <v>48559.1885031963</v>
      </c>
      <c r="AD25" s="377" t="n">
        <f aca="false">AD20+SUM(AD22:AD23)</f>
        <v>47639.6471430879</v>
      </c>
      <c r="AE25" s="377" t="n">
        <f aca="false">AE20+SUM(AE22:AE23)</f>
        <v>48536.0239589422</v>
      </c>
      <c r="AF25" s="377" t="n">
        <f aca="false">AF20+SUM(AF22:AF23)</f>
        <v>48184.656850959</v>
      </c>
      <c r="AG25" s="377" t="n">
        <f aca="false">AG20+SUM(AG22:AG23)</f>
        <v>48944.4537960079</v>
      </c>
      <c r="AH25" s="377" t="n">
        <f aca="false">AH20+SUM(AH22:AH23)</f>
        <v>48524.830939313</v>
      </c>
      <c r="AI25" s="377" t="n">
        <f aca="false">AI20+SUM(AI22:AI23)</f>
        <v>49350.7965458787</v>
      </c>
      <c r="AJ25" s="377" t="n">
        <f aca="false">AJ20+SUM(AJ22:AJ23)</f>
        <v>47275.403529006</v>
      </c>
      <c r="AK25" s="377" t="n">
        <f aca="false">AK20+SUM(AK22:AK23)</f>
        <v>42445.045186174</v>
      </c>
      <c r="AL25" s="377" t="n">
        <f aca="false">AL20+SUM(AL22:AL23)</f>
        <v>42020.1633098747</v>
      </c>
      <c r="AM25" s="377" t="n">
        <f aca="false">AM20+SUM(AM22:AM23)</f>
        <v>37180.9286314749</v>
      </c>
      <c r="AN25" s="377" t="n">
        <f aca="false">AN20+SUM(AN22:AN23)</f>
        <v>39004.5368422477</v>
      </c>
      <c r="AO25" s="377" t="n">
        <f aca="false">AO20+SUM(AO22:AO23)</f>
        <v>39926.7794164709</v>
      </c>
      <c r="AP25" s="377" t="n">
        <f aca="false">AP20+SUM(AP22:AP23)</f>
        <v>44044.091474288</v>
      </c>
      <c r="AQ25" s="377" t="n">
        <f aca="false">AQ20+SUM(AQ22:AQ23)</f>
        <v>44818.5854948213</v>
      </c>
      <c r="AR25" s="377" t="n">
        <f aca="false">AR20+SUM(AR22:AR23)</f>
        <v>48853.119238026</v>
      </c>
      <c r="AS25" s="422" t="n">
        <f aca="false">AS20+SUM(AS22:AS23)</f>
        <v>48974.9531616457</v>
      </c>
      <c r="AT25" s="422" t="n">
        <f aca="false">AT20+SUM(AT22:AT23)</f>
        <v>68598.8253057811</v>
      </c>
      <c r="AU25" s="422" t="n">
        <f aca="false">AU20+SUM(AU22:AU23)</f>
        <v>126460.420326892</v>
      </c>
      <c r="AV25" s="386" t="n">
        <f aca="false">SUM(D25:AU25)</f>
        <v>1794217.34218009</v>
      </c>
    </row>
    <row r="26" customFormat="false" ht="12.75" hidden="false" customHeight="false" outlineLevel="0" collapsed="false">
      <c r="AS26" s="78"/>
      <c r="AT26" s="78"/>
      <c r="AU26" s="78"/>
      <c r="AV26" s="371"/>
    </row>
    <row r="27" customFormat="false" ht="12.75" hidden="false" customHeight="false" outlineLevel="0" collapsed="false">
      <c r="A27" s="418" t="s">
        <v>338</v>
      </c>
      <c r="B27" s="418"/>
      <c r="C27" s="418"/>
      <c r="D27" s="419" t="s">
        <v>339</v>
      </c>
      <c r="E27" s="419" t="n">
        <f aca="false">-SUM(E10:E14)</f>
        <v>4471.41794771421</v>
      </c>
      <c r="F27" s="418" t="n">
        <v>0</v>
      </c>
      <c r="G27" s="419" t="n">
        <f aca="false">-SUM(G10:G14)</f>
        <v>28038.7159485533</v>
      </c>
      <c r="H27" s="419" t="n">
        <f aca="false">-SUM(H10:H14)</f>
        <v>46333.43635</v>
      </c>
      <c r="I27" s="419" t="n">
        <f aca="false">-SUM(I10:I14)</f>
        <v>47991.26115625</v>
      </c>
      <c r="J27" s="419" t="n">
        <f aca="false">-SUM(J10:J14)</f>
        <v>47161.8382</v>
      </c>
      <c r="K27" s="419" t="n">
        <f aca="false">-SUM(K10:K14)</f>
        <v>46602.932125</v>
      </c>
      <c r="L27" s="419" t="n">
        <f aca="false">-SUM(L10:L14)</f>
        <v>51754.52605</v>
      </c>
      <c r="M27" s="419" t="n">
        <f aca="false">-SUM(M10:M14)</f>
        <v>31602.775</v>
      </c>
      <c r="N27" s="419" t="n">
        <f aca="false">-SUM(N10:N14)</f>
        <v>40615.6916666667</v>
      </c>
      <c r="O27" s="419" t="n">
        <f aca="false">-SUM(O10:O14)</f>
        <v>43782.8305833333</v>
      </c>
      <c r="P27" s="419" t="n">
        <f aca="false">-SUM(P10:P14)</f>
        <v>43258.5084</v>
      </c>
      <c r="Q27" s="419" t="n">
        <f aca="false">-SUM(Q10:Q14)</f>
        <v>42640.9482</v>
      </c>
      <c r="R27" s="419" t="n">
        <f aca="false">-SUM(R10:R14)</f>
        <v>43575.388</v>
      </c>
      <c r="S27" s="419" t="n">
        <f aca="false">-SUM(S10:S14)</f>
        <v>42882.4006</v>
      </c>
      <c r="T27" s="419" t="n">
        <f aca="false">-SUM(T10:T14)</f>
        <v>44614.4132</v>
      </c>
      <c r="U27" s="419" t="n">
        <f aca="false">-SUM(U10:U14)</f>
        <v>43803.5708</v>
      </c>
      <c r="V27" s="419" t="n">
        <f aca="false">-SUM(V10:V14)</f>
        <v>45223.7284</v>
      </c>
      <c r="W27" s="419" t="n">
        <f aca="false">-SUM(W10:W14)</f>
        <v>44304.4594</v>
      </c>
      <c r="X27" s="419" t="n">
        <f aca="false">-SUM(X10:X14)</f>
        <v>48089.6904</v>
      </c>
      <c r="Y27" s="419" t="n">
        <f aca="false">-SUM(Y10:Y14)</f>
        <v>43246.0535333333</v>
      </c>
      <c r="Z27" s="419" t="n">
        <f aca="false">-SUM(Z10:Z14)</f>
        <v>42085.2243455072</v>
      </c>
      <c r="AA27" s="419" t="n">
        <f aca="false">-SUM(AA10:AA14)</f>
        <v>37543.4712835095</v>
      </c>
      <c r="AB27" s="419" t="n">
        <f aca="false">-SUM(AB10:AB14)</f>
        <v>38507.6811657931</v>
      </c>
      <c r="AC27" s="419" t="n">
        <f aca="false">-SUM(AC10:AC14)</f>
        <v>37567.2083231151</v>
      </c>
      <c r="AD27" s="419" t="n">
        <f aca="false">-SUM(AD10:AD14)</f>
        <v>38458.8127515348</v>
      </c>
      <c r="AE27" s="419" t="n">
        <f aca="false">-SUM(AE10:AE14)</f>
        <v>37422.7512772372</v>
      </c>
      <c r="AF27" s="419" t="n">
        <f aca="false">-SUM(AF10:AF14)</f>
        <v>37705.1077876997</v>
      </c>
      <c r="AG27" s="419" t="n">
        <f aca="false">-SUM(AG10:AG14)</f>
        <v>36600.2578550473</v>
      </c>
      <c r="AH27" s="419" t="n">
        <f aca="false">-SUM(AH10:AH14)</f>
        <v>36948.9362781327</v>
      </c>
      <c r="AI27" s="419" t="n">
        <f aca="false">-SUM(AI10:AI14)</f>
        <v>35768.2485035197</v>
      </c>
      <c r="AJ27" s="419" t="n">
        <f aca="false">-SUM(AJ10:AJ14)</f>
        <v>36620.2214819453</v>
      </c>
      <c r="AK27" s="419" t="n">
        <f aca="false">-SUM(AK10:AK14)</f>
        <v>35333.4796325425</v>
      </c>
      <c r="AL27" s="419" t="n">
        <f aca="false">-SUM(AL10:AL14)</f>
        <v>34528.14274253</v>
      </c>
      <c r="AM27" s="419" t="n">
        <f aca="false">-SUM(AM10:AM14)</f>
        <v>33216.283589371</v>
      </c>
      <c r="AN27" s="419" t="n">
        <f aca="false">-SUM(AN10:AN14)</f>
        <v>31320.8417481608</v>
      </c>
      <c r="AO27" s="419" t="n">
        <f aca="false">-SUM(AO10:AO14)</f>
        <v>30039.4310217508</v>
      </c>
      <c r="AP27" s="419" t="n">
        <f aca="false">-SUM(AP10:AP14)</f>
        <v>25851.0696527141</v>
      </c>
      <c r="AQ27" s="419" t="n">
        <f aca="false">-SUM(AQ10:AQ14)</f>
        <v>24721.3290760832</v>
      </c>
      <c r="AR27" s="419" t="n">
        <f aca="false">-SUM(AR10:AR14)</f>
        <v>20517.2942626375</v>
      </c>
      <c r="AS27" s="420" t="n">
        <f aca="false">-SUM(AS10:AS14)</f>
        <v>19547.9549878124</v>
      </c>
      <c r="AT27" s="420" t="n">
        <f aca="false">-SUM(AT10:AT14)</f>
        <v>-0</v>
      </c>
      <c r="AU27" s="420" t="n">
        <f aca="false">-SUM(AU10:AU14)</f>
        <v>-0</v>
      </c>
      <c r="AV27" s="371" t="n">
        <f aca="false">SUM(E27:AU27)</f>
        <v>1500298.33372749</v>
      </c>
    </row>
    <row r="28" customFormat="false" ht="12.75" hidden="false" customHeight="false" outlineLevel="0" collapsed="false">
      <c r="A28" s="424" t="s">
        <v>39</v>
      </c>
      <c r="B28" s="424"/>
      <c r="C28" s="424"/>
      <c r="D28" s="425"/>
      <c r="E28" s="425" t="n">
        <f aca="false">IF(E27=0,0,SUM(E8)/E27)</f>
        <v>1</v>
      </c>
      <c r="F28" s="424" t="n">
        <v>0</v>
      </c>
      <c r="G28" s="425" t="n">
        <f aca="false">SUM(G8:G10)/G27</f>
        <v>1.23718979369905</v>
      </c>
      <c r="H28" s="425" t="n">
        <f aca="false">SUM(H8:H10)/H27</f>
        <v>1.31121050883437</v>
      </c>
      <c r="I28" s="425" t="n">
        <f aca="false">SUM(I8:I10)/I27</f>
        <v>1.27494165663557</v>
      </c>
      <c r="J28" s="425" t="n">
        <f aca="false">SUM(J8:J10)/J27</f>
        <v>1.29646002054155</v>
      </c>
      <c r="K28" s="425" t="n">
        <f aca="false">SUM(K8:K10)/K27</f>
        <v>1.30743568136374</v>
      </c>
      <c r="L28" s="425" t="n">
        <f aca="false">SUM(L8:L10)/L27</f>
        <v>1.28322915909997</v>
      </c>
      <c r="M28" s="425" t="n">
        <f aca="false">SUM(M8:M10)/M27</f>
        <v>2.96891080212312</v>
      </c>
      <c r="N28" s="425" t="n">
        <f aca="false">SUM(N8:N10)/N27</f>
        <v>2.31513005732939</v>
      </c>
      <c r="O28" s="425" t="n">
        <f aca="false">SUM(O8:O10)/O27</f>
        <v>2.17104627135938</v>
      </c>
      <c r="P28" s="425" t="n">
        <f aca="false">SUM(P8:P10)/P27</f>
        <v>2.20407026300766</v>
      </c>
      <c r="Q28" s="425" t="n">
        <f aca="false">SUM(Q8:Q10)/Q27</f>
        <v>2.27002448509145</v>
      </c>
      <c r="R28" s="425" t="n">
        <f aca="false">SUM(R8:R10)/R27</f>
        <v>2.22363295922258</v>
      </c>
      <c r="S28" s="425" t="n">
        <f aca="false">SUM(S8:S10)/S27</f>
        <v>2.27118888019278</v>
      </c>
      <c r="T28" s="425" t="n">
        <f aca="false">SUM(T8:T10)/T27</f>
        <v>2.19126395123412</v>
      </c>
      <c r="U28" s="425" t="n">
        <f aca="false">SUM(U8:U10)/U27</f>
        <v>2.27382319046647</v>
      </c>
      <c r="V28" s="425" t="n">
        <f aca="false">SUM(V8:V10)/V27</f>
        <v>2.20605665443904</v>
      </c>
      <c r="W28" s="425" t="n">
        <f aca="false">SUM(W8:W10)/W27</f>
        <v>2.27039823221011</v>
      </c>
      <c r="X28" s="425" t="n">
        <f aca="false">SUM(X8:X10)/X27</f>
        <v>2.09979805158188</v>
      </c>
      <c r="Y28" s="425" t="n">
        <f aca="false">SUM(Y8:Y10)/Y27</f>
        <v>2.38005527221843</v>
      </c>
      <c r="Z28" s="425" t="n">
        <f aca="false">SUM(Z8:Z10)/Z27</f>
        <v>2.44726801905228</v>
      </c>
      <c r="AA28" s="425" t="n">
        <f aca="false">SUM(AA8:AA10)/AA27</f>
        <v>2.75208843473491</v>
      </c>
      <c r="AB28" s="425" t="n">
        <f aca="false">SUM(AB8:AB10)/AB27</f>
        <v>2.69349740004649</v>
      </c>
      <c r="AC28" s="425" t="n">
        <f aca="false">SUM(AC8:AC10)/AC27</f>
        <v>2.81381752155676</v>
      </c>
      <c r="AD28" s="425" t="n">
        <f aca="false">SUM(AD8:AD10)/AD27</f>
        <v>2.75311730893543</v>
      </c>
      <c r="AE28" s="425" t="n">
        <f aca="false">SUM(AE8:AE10)/AE27</f>
        <v>2.85263348318552</v>
      </c>
      <c r="AF28" s="425" t="n">
        <f aca="false">SUM(AF8:AF10)/AF27</f>
        <v>2.83420813987057</v>
      </c>
      <c r="AG28" s="425" t="n">
        <f aca="false">SUM(AG8:AG10)/AG27</f>
        <v>2.93489117571635</v>
      </c>
      <c r="AH28" s="425" t="n">
        <f aca="false">SUM(AH8:AH10)/AH27</f>
        <v>2.91087789336236</v>
      </c>
      <c r="AI28" s="425" t="n">
        <f aca="false">SUM(AI8:AI10)/AI27</f>
        <v>3.02598495205509</v>
      </c>
      <c r="AJ28" s="425" t="n">
        <f aca="false">SUM(AJ8:AJ10)/AJ27</f>
        <v>2.95995165524785</v>
      </c>
      <c r="AK28" s="425" t="n">
        <f aca="false">SUM(AK8:AK10)/AK27</f>
        <v>3.09037218005857</v>
      </c>
      <c r="AL28" s="425" t="n">
        <f aca="false">SUM(AL8:AL10)/AL27</f>
        <v>3.16708181323358</v>
      </c>
      <c r="AM28" s="425" t="n">
        <f aca="false">SUM(AM8:AM10)/AM27</f>
        <v>3.31622605659203</v>
      </c>
      <c r="AN28" s="425" t="n">
        <f aca="false">SUM(AN8:AN10)/AN27</f>
        <v>3.52193136828351</v>
      </c>
      <c r="AO28" s="425" t="n">
        <f aca="false">SUM(AO8:AO10)/AO27</f>
        <v>3.69832585749696</v>
      </c>
      <c r="AP28" s="425" t="n">
        <f aca="false">SUM(AP8:AP10)/AP27</f>
        <v>4.30273734712061</v>
      </c>
      <c r="AQ28" s="425" t="n">
        <f aca="false">SUM(AQ8:AQ10)/AQ27</f>
        <v>4.52662372402829</v>
      </c>
      <c r="AR28" s="425" t="n">
        <f aca="false">SUM(AR8:AR10)/AR27</f>
        <v>5.45121081703549</v>
      </c>
      <c r="AS28" s="426" t="n">
        <f aca="false">SUM(AS8:AS10)/AS27</f>
        <v>5.70616236674067</v>
      </c>
      <c r="AT28" s="426" t="s">
        <v>339</v>
      </c>
      <c r="AU28" s="426" t="s">
        <v>339</v>
      </c>
      <c r="AV28" s="371"/>
    </row>
    <row r="29" customFormat="false" ht="12.75" hidden="false" customHeight="false" outlineLevel="0" collapsed="false">
      <c r="AS29" s="78"/>
      <c r="AT29" s="78"/>
      <c r="AU29" s="78"/>
      <c r="AV29" s="371"/>
    </row>
    <row r="30" customFormat="false" ht="18.75" hidden="false" customHeight="false" outlineLevel="0" collapsed="false">
      <c r="A30" s="14" t="s">
        <v>316</v>
      </c>
      <c r="B30" s="357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70"/>
      <c r="AD30" s="70"/>
    </row>
    <row r="31" customFormat="false" ht="12.75" hidden="false" customHeight="false" outlineLevel="0" collapsed="false">
      <c r="D31" s="362"/>
      <c r="E31" s="362"/>
      <c r="F31" s="362"/>
      <c r="G31" s="362"/>
      <c r="H31" s="362"/>
      <c r="I31" s="362"/>
      <c r="J31" s="362"/>
      <c r="K31" s="362"/>
      <c r="L31" s="362"/>
      <c r="M31" s="362"/>
      <c r="N31" s="362"/>
      <c r="O31" s="362"/>
      <c r="P31" s="362"/>
      <c r="Q31" s="362"/>
      <c r="R31" s="362"/>
      <c r="S31" s="362"/>
      <c r="T31" s="362"/>
      <c r="U31" s="362"/>
      <c r="V31" s="362"/>
      <c r="W31" s="362"/>
      <c r="X31" s="362"/>
      <c r="Y31" s="362"/>
      <c r="Z31" s="362"/>
      <c r="AA31" s="362"/>
      <c r="AB31" s="70"/>
      <c r="AC31" s="70"/>
      <c r="AD31" s="70"/>
    </row>
    <row r="32" customFormat="false" ht="13.5" hidden="false" customHeight="false" outlineLevel="0" collapsed="false">
      <c r="A32" s="319" t="s">
        <v>269</v>
      </c>
      <c r="B32" s="319"/>
      <c r="C32" s="359"/>
      <c r="D32" s="412" t="n">
        <v>36525</v>
      </c>
      <c r="E32" s="412" t="n">
        <v>36571</v>
      </c>
      <c r="F32" s="412" t="n">
        <v>36616</v>
      </c>
      <c r="G32" s="412" t="n">
        <v>36753</v>
      </c>
      <c r="H32" s="412" t="n">
        <v>36937</v>
      </c>
      <c r="I32" s="412" t="n">
        <v>37118</v>
      </c>
      <c r="J32" s="412" t="n">
        <v>37302</v>
      </c>
      <c r="K32" s="412" t="n">
        <v>37483</v>
      </c>
      <c r="L32" s="412" t="n">
        <v>37667</v>
      </c>
      <c r="M32" s="412" t="n">
        <v>37848</v>
      </c>
      <c r="N32" s="412" t="n">
        <v>38032</v>
      </c>
      <c r="O32" s="412" t="n">
        <v>38214</v>
      </c>
      <c r="P32" s="412" t="n">
        <v>38398</v>
      </c>
      <c r="Q32" s="412" t="n">
        <v>38579</v>
      </c>
      <c r="R32" s="412" t="n">
        <v>38763</v>
      </c>
      <c r="S32" s="412" t="n">
        <v>38944</v>
      </c>
      <c r="T32" s="412" t="n">
        <v>39128</v>
      </c>
      <c r="U32" s="412" t="n">
        <v>39309</v>
      </c>
      <c r="V32" s="412" t="n">
        <v>39493</v>
      </c>
      <c r="W32" s="412" t="n">
        <v>39675</v>
      </c>
      <c r="X32" s="412" t="n">
        <v>39859</v>
      </c>
      <c r="Y32" s="412" t="n">
        <v>40040</v>
      </c>
      <c r="Z32" s="412" t="n">
        <v>40224</v>
      </c>
      <c r="AA32" s="412" t="n">
        <v>40405</v>
      </c>
      <c r="AB32" s="412" t="n">
        <v>40589</v>
      </c>
      <c r="AC32" s="412" t="n">
        <v>40770</v>
      </c>
      <c r="AD32" s="412" t="n">
        <v>40954</v>
      </c>
      <c r="AE32" s="412" t="n">
        <v>41136</v>
      </c>
      <c r="AF32" s="412" t="n">
        <v>41320</v>
      </c>
      <c r="AG32" s="412" t="n">
        <v>41501</v>
      </c>
      <c r="AH32" s="412" t="n">
        <v>41685</v>
      </c>
      <c r="AI32" s="412" t="n">
        <v>41866</v>
      </c>
      <c r="AJ32" s="412" t="n">
        <v>42050</v>
      </c>
      <c r="AK32" s="412" t="n">
        <v>42231</v>
      </c>
      <c r="AL32" s="412" t="n">
        <v>42415</v>
      </c>
      <c r="AM32" s="412" t="n">
        <v>42597</v>
      </c>
      <c r="AN32" s="412" t="n">
        <v>42781</v>
      </c>
      <c r="AO32" s="412" t="n">
        <v>42962</v>
      </c>
      <c r="AP32" s="412" t="n">
        <v>43146</v>
      </c>
      <c r="AQ32" s="412" t="n">
        <v>43327</v>
      </c>
      <c r="AR32" s="412" t="n">
        <v>43511</v>
      </c>
      <c r="AS32" s="409" t="n">
        <v>43692</v>
      </c>
      <c r="AT32" s="409" t="n">
        <v>43876</v>
      </c>
      <c r="AU32" s="409" t="n">
        <v>44196</v>
      </c>
    </row>
    <row r="33" customFormat="false" ht="12.75" hidden="false" customHeight="false" outlineLevel="0" collapsed="false">
      <c r="A33" s="361"/>
      <c r="B33" s="361"/>
      <c r="C33" s="322"/>
      <c r="D33" s="321"/>
      <c r="E33" s="321"/>
      <c r="F33" s="321"/>
      <c r="G33" s="321"/>
      <c r="H33" s="321"/>
      <c r="I33" s="321"/>
      <c r="J33" s="321"/>
      <c r="K33" s="321"/>
      <c r="L33" s="321"/>
      <c r="M33" s="321"/>
      <c r="N33" s="321"/>
      <c r="O33" s="321"/>
      <c r="P33" s="321"/>
      <c r="Q33" s="321"/>
      <c r="R33" s="321"/>
      <c r="S33" s="321"/>
      <c r="T33" s="321"/>
      <c r="U33" s="321"/>
      <c r="V33" s="321"/>
      <c r="W33" s="321"/>
      <c r="X33" s="321"/>
      <c r="Y33" s="321"/>
      <c r="Z33" s="321"/>
      <c r="AA33" s="321"/>
      <c r="AB33" s="70"/>
      <c r="AC33" s="70"/>
      <c r="AD33" s="70"/>
    </row>
    <row r="34" customFormat="false" ht="12.75" hidden="false" customHeight="false" outlineLevel="0" collapsed="false">
      <c r="A34" s="366" t="s">
        <v>308</v>
      </c>
      <c r="B34" s="361"/>
      <c r="C34" s="322"/>
      <c r="D34" s="427" t="n">
        <f aca="false">D20</f>
        <v>0</v>
      </c>
      <c r="E34" s="427" t="n">
        <f aca="false">E20</f>
        <v>0</v>
      </c>
      <c r="F34" s="427" t="n">
        <f aca="false">F20</f>
        <v>0</v>
      </c>
      <c r="G34" s="427" t="n">
        <f aca="false">G20</f>
        <v>6650.49725142361</v>
      </c>
      <c r="H34" s="427" t="n">
        <f aca="false">H20</f>
        <v>14419.4523025282</v>
      </c>
      <c r="I34" s="427" t="n">
        <f aca="false">I20</f>
        <v>13194.7968463298</v>
      </c>
      <c r="J34" s="427" t="n">
        <f aca="false">J20</f>
        <v>13981.5995215494</v>
      </c>
      <c r="K34" s="427" t="n">
        <f aca="false">K20</f>
        <v>14327.4041913975</v>
      </c>
      <c r="L34" s="427" t="n">
        <f aca="false">L20</f>
        <v>14658.390892759</v>
      </c>
      <c r="M34" s="427" t="n">
        <f aca="false">M20</f>
        <v>62223.0450745664</v>
      </c>
      <c r="N34" s="427" t="n">
        <f aca="false">N20</f>
        <v>53414.9169100563</v>
      </c>
      <c r="O34" s="427" t="n">
        <f aca="false">O20</f>
        <v>51271.720504172</v>
      </c>
      <c r="P34" s="427" t="n">
        <f aca="false">P20</f>
        <v>52086.2835865071</v>
      </c>
      <c r="Q34" s="427" t="n">
        <f aca="false">Q20</f>
        <v>54155.0482815162</v>
      </c>
      <c r="R34" s="427" t="n">
        <f aca="false">R20</f>
        <v>53320.2809677122</v>
      </c>
      <c r="S34" s="427" t="n">
        <f aca="false">S20</f>
        <v>54511.6307986924</v>
      </c>
      <c r="T34" s="427" t="n">
        <f aca="false">T20</f>
        <v>53147.5421506236</v>
      </c>
      <c r="U34" s="427" t="n">
        <f aca="false">U20</f>
        <v>55798.0043102798</v>
      </c>
      <c r="V34" s="427" t="n">
        <f aca="false">V20</f>
        <v>54542.3785753639</v>
      </c>
      <c r="W34" s="427" t="n">
        <f aca="false">W20</f>
        <v>56284.3069007847</v>
      </c>
      <c r="X34" s="427" t="n">
        <f aca="false">X20</f>
        <v>52888.9478030957</v>
      </c>
      <c r="Y34" s="427" t="n">
        <f aca="false">Y20</f>
        <v>59681.9441813173</v>
      </c>
      <c r="Z34" s="427" t="n">
        <f aca="false">Z20</f>
        <v>60908.5992698931</v>
      </c>
      <c r="AA34" s="427" t="n">
        <f aca="false">AA20</f>
        <v>65779.4818356391</v>
      </c>
      <c r="AB34" s="427" t="n">
        <f aca="false">AB20</f>
        <v>65212.6579360898</v>
      </c>
      <c r="AC34" s="427" t="n">
        <f aca="false">AC20</f>
        <v>68140.0606924392</v>
      </c>
      <c r="AD34" s="427" t="n">
        <f aca="false">AD20</f>
        <v>67422.8103158222</v>
      </c>
      <c r="AE34" s="427" t="n">
        <f aca="false">AE20</f>
        <v>69330.6420491333</v>
      </c>
      <c r="AF34" s="427" t="n">
        <f aca="false">AF20</f>
        <v>69159.015618896</v>
      </c>
      <c r="AG34" s="427" t="n">
        <f aca="false">AG20</f>
        <v>70817.5159526742</v>
      </c>
      <c r="AH34" s="427" t="n">
        <f aca="false">AH20</f>
        <v>70604.9055171382</v>
      </c>
      <c r="AI34" s="427" t="n">
        <f aca="false">AI20</f>
        <v>72465.9332294977</v>
      </c>
      <c r="AJ34" s="427" t="n">
        <f aca="false">AJ20</f>
        <v>71773.8637090817</v>
      </c>
      <c r="AK34" s="427" t="n">
        <f aca="false">AK20</f>
        <v>73860.1228485328</v>
      </c>
      <c r="AL34" s="427" t="n">
        <f aca="false">AL20</f>
        <v>74825.3101820697</v>
      </c>
      <c r="AM34" s="427" t="n">
        <f aca="false">AM20</f>
        <v>76936.4215528512</v>
      </c>
      <c r="AN34" s="427" t="n">
        <f aca="false">AN20</f>
        <v>78989.0132857306</v>
      </c>
      <c r="AO34" s="427" t="n">
        <f aca="false">AO20</f>
        <v>81056.1734704867</v>
      </c>
      <c r="AP34" s="427" t="n">
        <f aca="false">AP20</f>
        <v>85379.2932050352</v>
      </c>
      <c r="AQ34" s="427" t="n">
        <f aca="false">AQ20</f>
        <v>87182.8256092253</v>
      </c>
      <c r="AR34" s="427" t="n">
        <f aca="false">AR20</f>
        <v>91326.8021581522</v>
      </c>
      <c r="AS34" s="427" t="n">
        <f aca="false">AS20</f>
        <v>91995.8501103831</v>
      </c>
      <c r="AT34" s="427" t="n">
        <f aca="false">AT20</f>
        <v>111788.814830543</v>
      </c>
      <c r="AU34" s="427" t="n">
        <f aca="false">AU20</f>
        <v>207192.08306918</v>
      </c>
    </row>
    <row r="35" customFormat="false" ht="12.75" hidden="false" customHeight="false" outlineLevel="0" collapsed="false">
      <c r="A35" s="366"/>
      <c r="B35" s="361"/>
      <c r="C35" s="322"/>
      <c r="D35" s="321"/>
      <c r="E35" s="321"/>
      <c r="F35" s="321"/>
      <c r="G35" s="321"/>
      <c r="H35" s="321"/>
      <c r="I35" s="321"/>
      <c r="J35" s="321"/>
      <c r="K35" s="321"/>
      <c r="L35" s="321"/>
      <c r="M35" s="321"/>
      <c r="N35" s="321"/>
      <c r="O35" s="321"/>
      <c r="P35" s="321"/>
      <c r="Q35" s="321"/>
      <c r="R35" s="321"/>
      <c r="S35" s="321"/>
      <c r="T35" s="321"/>
      <c r="U35" s="321"/>
      <c r="V35" s="321"/>
      <c r="W35" s="321"/>
      <c r="X35" s="321"/>
      <c r="Y35" s="321"/>
      <c r="Z35" s="321"/>
      <c r="AA35" s="321"/>
      <c r="AB35" s="70"/>
      <c r="AC35" s="70"/>
      <c r="AD35" s="70"/>
    </row>
    <row r="36" customFormat="false" ht="12.75" hidden="false" customHeight="false" outlineLevel="0" collapsed="false">
      <c r="A36" s="367" t="s">
        <v>317</v>
      </c>
      <c r="B36" s="361"/>
      <c r="C36" s="322"/>
      <c r="D36" s="428" t="n">
        <f aca="false">D22</f>
        <v>0</v>
      </c>
      <c r="E36" s="428" t="n">
        <f aca="false">E22</f>
        <v>0</v>
      </c>
      <c r="F36" s="428" t="n">
        <f aca="false">F22</f>
        <v>0</v>
      </c>
      <c r="G36" s="428" t="n">
        <f aca="false">G22</f>
        <v>-0</v>
      </c>
      <c r="H36" s="428" t="n">
        <f aca="false">H22</f>
        <v>0</v>
      </c>
      <c r="I36" s="428" t="n">
        <f aca="false">I22</f>
        <v>0</v>
      </c>
      <c r="J36" s="428" t="n">
        <f aca="false">J22</f>
        <v>0</v>
      </c>
      <c r="K36" s="428" t="n">
        <f aca="false">K22</f>
        <v>0</v>
      </c>
      <c r="L36" s="428" t="n">
        <f aca="false">L22</f>
        <v>0</v>
      </c>
      <c r="M36" s="428" t="n">
        <f aca="false">M22</f>
        <v>0</v>
      </c>
      <c r="N36" s="428" t="n">
        <f aca="false">N22</f>
        <v>0</v>
      </c>
      <c r="O36" s="428" t="n">
        <f aca="false">O22</f>
        <v>0</v>
      </c>
      <c r="P36" s="428" t="n">
        <f aca="false">P22</f>
        <v>0</v>
      </c>
      <c r="Q36" s="428" t="n">
        <f aca="false">Q22</f>
        <v>0</v>
      </c>
      <c r="R36" s="428" t="n">
        <f aca="false">R22</f>
        <v>-328.215902298555</v>
      </c>
      <c r="S36" s="428" t="n">
        <f aca="false">S22</f>
        <v>-1969.29541379133</v>
      </c>
      <c r="T36" s="428" t="n">
        <f aca="false">T22</f>
        <v>-2012.39710374009</v>
      </c>
      <c r="U36" s="428" t="n">
        <f aca="false">U22</f>
        <v>-2227.90555348388</v>
      </c>
      <c r="V36" s="428" t="n">
        <f aca="false">V22</f>
        <v>-2256.51114894908</v>
      </c>
      <c r="W36" s="428" t="n">
        <f aca="false">W22</f>
        <v>-2399.53912627509</v>
      </c>
      <c r="X36" s="428" t="n">
        <f aca="false">X22</f>
        <v>-2444.49364096236</v>
      </c>
      <c r="Y36" s="428" t="n">
        <f aca="false">Y22</f>
        <v>-2669.26621439872</v>
      </c>
      <c r="Z36" s="428" t="n">
        <f aca="false">Z22</f>
        <v>-2693.14284330404</v>
      </c>
      <c r="AA36" s="428" t="n">
        <f aca="false">AA22</f>
        <v>-2812.52598783065</v>
      </c>
      <c r="AB36" s="428" t="n">
        <f aca="false">AB22</f>
        <v>-2854.63078173877</v>
      </c>
      <c r="AC36" s="428" t="n">
        <f aca="false">AC22</f>
        <v>-3065.15475127937</v>
      </c>
      <c r="AD36" s="428" t="n">
        <f aca="false">AD22</f>
        <v>-3096.8210204423</v>
      </c>
      <c r="AE36" s="428" t="n">
        <f aca="false">AE22</f>
        <v>-3255.15236625697</v>
      </c>
      <c r="AF36" s="428" t="n">
        <f aca="false">AF22</f>
        <v>-3283.28865084462</v>
      </c>
      <c r="AG36" s="428" t="n">
        <f aca="false">AG22</f>
        <v>-3423.97007378286</v>
      </c>
      <c r="AH36" s="428" t="n">
        <f aca="false">AH22</f>
        <v>-3456.3754283634</v>
      </c>
      <c r="AI36" s="428" t="n">
        <f aca="false">AI22</f>
        <v>-3618.40220126611</v>
      </c>
      <c r="AJ36" s="428" t="n">
        <f aca="false">AJ22</f>
        <v>-3834.94519009425</v>
      </c>
      <c r="AK36" s="428" t="n">
        <f aca="false">AK22</f>
        <v>-4917.66013423493</v>
      </c>
      <c r="AL36" s="428" t="n">
        <f aca="false">AL22</f>
        <v>-5135.2590849843</v>
      </c>
      <c r="AM36" s="428" t="n">
        <f aca="false">AM22</f>
        <v>-6223.25383873115</v>
      </c>
      <c r="AN36" s="428" t="n">
        <f aca="false">AN22</f>
        <v>-6259.09851020269</v>
      </c>
      <c r="AO36" s="428" t="n">
        <f aca="false">AO22</f>
        <v>-6438.32186756041</v>
      </c>
      <c r="AP36" s="428" t="n">
        <f aca="false">AP22</f>
        <v>-6470.53863360055</v>
      </c>
      <c r="AQ36" s="428" t="n">
        <f aca="false">AQ22</f>
        <v>-6631.6224638013</v>
      </c>
      <c r="AR36" s="428" t="n">
        <f aca="false">AR22</f>
        <v>-6648.75444508951</v>
      </c>
      <c r="AS36" s="428" t="n">
        <f aca="false">AS22</f>
        <v>-6734.41435153053</v>
      </c>
      <c r="AT36" s="428" t="n">
        <f aca="false">AT22</f>
        <v>-6760.88380129754</v>
      </c>
      <c r="AU36" s="428" t="n">
        <f aca="false">AU22</f>
        <v>-12637.5902585764</v>
      </c>
    </row>
    <row r="37" customFormat="false" ht="12.75" hidden="false" customHeight="false" outlineLevel="0" collapsed="false">
      <c r="A37" s="367" t="s">
        <v>318</v>
      </c>
      <c r="B37" s="361"/>
      <c r="C37" s="322"/>
      <c r="D37" s="429" t="n">
        <f aca="false">D23</f>
        <v>-0</v>
      </c>
      <c r="E37" s="429" t="n">
        <f aca="false">E23</f>
        <v>302.862314767295</v>
      </c>
      <c r="F37" s="429" t="n">
        <f aca="false">F23</f>
        <v>0</v>
      </c>
      <c r="G37" s="429" t="n">
        <f aca="false">G23</f>
        <v>3101.77751661502</v>
      </c>
      <c r="H37" s="429" t="n">
        <f aca="false">H23</f>
        <v>6512.85233861636</v>
      </c>
      <c r="I37" s="429" t="n">
        <f aca="false">I23</f>
        <v>10722.1901685105</v>
      </c>
      <c r="J37" s="429" t="n">
        <f aca="false">J23</f>
        <v>10336.8023471648</v>
      </c>
      <c r="K37" s="429" t="n">
        <f aca="false">K23</f>
        <v>8409.86324043614</v>
      </c>
      <c r="L37" s="429" t="n">
        <f aca="false">L23</f>
        <v>6126.99819474948</v>
      </c>
      <c r="M37" s="429" t="n">
        <f aca="false">M23</f>
        <v>-5287.32703368383</v>
      </c>
      <c r="N37" s="429" t="n">
        <f aca="false">N23</f>
        <v>-5672.80061911426</v>
      </c>
      <c r="O37" s="429" t="n">
        <f aca="false">O23</f>
        <v>-7600.1685462664</v>
      </c>
      <c r="P37" s="429" t="n">
        <f aca="false">P23</f>
        <v>-8019.70589653126</v>
      </c>
      <c r="Q37" s="429" t="n">
        <f aca="false">Q23</f>
        <v>-10117.3926478556</v>
      </c>
      <c r="R37" s="429" t="n">
        <f aca="false">R23</f>
        <v>-10231.7247867682</v>
      </c>
      <c r="S37" s="429" t="n">
        <f aca="false">S23</f>
        <v>-10803.3854813313</v>
      </c>
      <c r="T37" s="429" t="n">
        <f aca="false">T23</f>
        <v>-11003.5608156146</v>
      </c>
      <c r="U37" s="429" t="n">
        <f aca="false">U23</f>
        <v>-12004.4374870311</v>
      </c>
      <c r="V37" s="429" t="n">
        <f aca="false">V23</f>
        <v>-12158.5706288083</v>
      </c>
      <c r="W37" s="429" t="n">
        <f aca="false">W23</f>
        <v>-12929.2363376943</v>
      </c>
      <c r="X37" s="429" t="n">
        <f aca="false">X23</f>
        <v>-13171.460995952</v>
      </c>
      <c r="Y37" s="429" t="n">
        <f aca="false">Y23</f>
        <v>-14382.5842872407</v>
      </c>
      <c r="Z37" s="429" t="n">
        <f aca="false">Z23</f>
        <v>-14511.2367333225</v>
      </c>
      <c r="AA37" s="429" t="n">
        <f aca="false">AA23</f>
        <v>-15154.4989637317</v>
      </c>
      <c r="AB37" s="429" t="n">
        <f aca="false">AB23</f>
        <v>-15381.368709437</v>
      </c>
      <c r="AC37" s="429" t="n">
        <f aca="false">AC23</f>
        <v>-16515.7174379635</v>
      </c>
      <c r="AD37" s="429" t="n">
        <f aca="false">AD23</f>
        <v>-16686.342152292</v>
      </c>
      <c r="AE37" s="429" t="n">
        <f aca="false">AE23</f>
        <v>-17539.4657239342</v>
      </c>
      <c r="AF37" s="429" t="n">
        <f aca="false">AF23</f>
        <v>-17691.0701170924</v>
      </c>
      <c r="AG37" s="429" t="n">
        <f aca="false">AG23</f>
        <v>-18449.0920828835</v>
      </c>
      <c r="AH37" s="429" t="n">
        <f aca="false">AH23</f>
        <v>-18623.6991494618</v>
      </c>
      <c r="AI37" s="429" t="n">
        <f aca="false">AI23</f>
        <v>-19496.7344823529</v>
      </c>
      <c r="AJ37" s="429" t="n">
        <f aca="false">AJ23</f>
        <v>-20663.5149899814</v>
      </c>
      <c r="AK37" s="429" t="n">
        <f aca="false">AK23</f>
        <v>-26497.4175281239</v>
      </c>
      <c r="AL37" s="429" t="n">
        <f aca="false">AL23</f>
        <v>-27669.8877872108</v>
      </c>
      <c r="AM37" s="429" t="n">
        <f aca="false">AM23</f>
        <v>-33532.2390826452</v>
      </c>
      <c r="AN37" s="429" t="n">
        <f aca="false">AN23</f>
        <v>-33725.3779332802</v>
      </c>
      <c r="AO37" s="429" t="n">
        <f aca="false">AO23</f>
        <v>-34691.0721864554</v>
      </c>
      <c r="AP37" s="429" t="n">
        <f aca="false">AP23</f>
        <v>-34864.6630971467</v>
      </c>
      <c r="AQ37" s="429" t="n">
        <f aca="false">AQ23</f>
        <v>-35732.6176506027</v>
      </c>
      <c r="AR37" s="429" t="n">
        <f aca="false">AR23</f>
        <v>-35824.9284750367</v>
      </c>
      <c r="AS37" s="429" t="n">
        <f aca="false">AS23</f>
        <v>-36286.4825972069</v>
      </c>
      <c r="AT37" s="429" t="n">
        <f aca="false">AT23</f>
        <v>-36429.1057234643</v>
      </c>
      <c r="AU37" s="429" t="n">
        <f aca="false">AU23</f>
        <v>-68094.0724837113</v>
      </c>
    </row>
    <row r="38" customFormat="false" ht="12.75" hidden="false" customHeight="false" outlineLevel="0" collapsed="false">
      <c r="A38" s="367"/>
      <c r="B38" s="361"/>
      <c r="C38" s="322"/>
      <c r="D38" s="321"/>
      <c r="E38" s="321"/>
      <c r="F38" s="321"/>
      <c r="G38" s="321"/>
      <c r="H38" s="321"/>
      <c r="I38" s="321"/>
      <c r="J38" s="321"/>
      <c r="K38" s="321"/>
      <c r="L38" s="321"/>
      <c r="M38" s="321"/>
      <c r="N38" s="321"/>
      <c r="O38" s="321"/>
      <c r="P38" s="321"/>
      <c r="Q38" s="321"/>
      <c r="R38" s="321"/>
      <c r="S38" s="321"/>
      <c r="T38" s="321"/>
      <c r="U38" s="321"/>
      <c r="V38" s="321"/>
      <c r="W38" s="321"/>
      <c r="X38" s="321"/>
      <c r="Y38" s="321"/>
      <c r="Z38" s="321"/>
      <c r="AA38" s="321"/>
      <c r="AB38" s="70"/>
      <c r="AC38" s="70"/>
      <c r="AD38" s="70"/>
    </row>
    <row r="39" customFormat="false" ht="12.75" hidden="false" customHeight="false" outlineLevel="0" collapsed="false">
      <c r="A39" s="366" t="s">
        <v>313</v>
      </c>
      <c r="B39" s="361"/>
      <c r="C39" s="322"/>
      <c r="D39" s="427" t="n">
        <f aca="false">D25</f>
        <v>0</v>
      </c>
      <c r="E39" s="427" t="n">
        <f aca="false">E25</f>
        <v>302.862314767295</v>
      </c>
      <c r="F39" s="427" t="n">
        <f aca="false">F25</f>
        <v>0</v>
      </c>
      <c r="G39" s="427" t="n">
        <f aca="false">G25</f>
        <v>9752.27476803864</v>
      </c>
      <c r="H39" s="427" t="n">
        <f aca="false">H25</f>
        <v>20932.3046411445</v>
      </c>
      <c r="I39" s="427" t="n">
        <f aca="false">I25</f>
        <v>23916.9870148403</v>
      </c>
      <c r="J39" s="427" t="n">
        <f aca="false">J25</f>
        <v>24318.4018687142</v>
      </c>
      <c r="K39" s="427" t="n">
        <f aca="false">K25</f>
        <v>22737.2674318336</v>
      </c>
      <c r="L39" s="427" t="n">
        <f aca="false">L25</f>
        <v>20785.3890875085</v>
      </c>
      <c r="M39" s="427" t="n">
        <f aca="false">M25</f>
        <v>56935.7180408826</v>
      </c>
      <c r="N39" s="427" t="n">
        <f aca="false">N25</f>
        <v>47742.116290942</v>
      </c>
      <c r="O39" s="427" t="n">
        <f aca="false">O25</f>
        <v>43671.5519579056</v>
      </c>
      <c r="P39" s="427" t="n">
        <f aca="false">P25</f>
        <v>44066.5776899759</v>
      </c>
      <c r="Q39" s="427" t="n">
        <f aca="false">Q25</f>
        <v>44037.6556336606</v>
      </c>
      <c r="R39" s="427" t="n">
        <f aca="false">R25</f>
        <v>42760.3402786455</v>
      </c>
      <c r="S39" s="427" t="n">
        <f aca="false">S25</f>
        <v>41738.9499035698</v>
      </c>
      <c r="T39" s="427" t="n">
        <f aca="false">T25</f>
        <v>40131.584231269</v>
      </c>
      <c r="U39" s="427" t="n">
        <f aca="false">U25</f>
        <v>41565.6612697648</v>
      </c>
      <c r="V39" s="427" t="n">
        <f aca="false">V25</f>
        <v>40127.2967976065</v>
      </c>
      <c r="W39" s="427" t="n">
        <f aca="false">W25</f>
        <v>40955.5314368153</v>
      </c>
      <c r="X39" s="427" t="n">
        <f aca="false">X25</f>
        <v>37272.9931661813</v>
      </c>
      <c r="Y39" s="427" t="n">
        <f aca="false">Y25</f>
        <v>42630.0936796779</v>
      </c>
      <c r="Z39" s="427" t="n">
        <f aca="false">Z25</f>
        <v>43704.2196932665</v>
      </c>
      <c r="AA39" s="427" t="n">
        <f aca="false">AA25</f>
        <v>47812.4568840768</v>
      </c>
      <c r="AB39" s="427" t="n">
        <f aca="false">AB25</f>
        <v>46976.658444914</v>
      </c>
      <c r="AC39" s="427" t="n">
        <f aca="false">AC25</f>
        <v>48559.1885031963</v>
      </c>
      <c r="AD39" s="427" t="n">
        <f aca="false">AD25</f>
        <v>47639.6471430879</v>
      </c>
      <c r="AE39" s="427" t="n">
        <f aca="false">AE25</f>
        <v>48536.0239589422</v>
      </c>
      <c r="AF39" s="427" t="n">
        <f aca="false">AF25</f>
        <v>48184.656850959</v>
      </c>
      <c r="AG39" s="427" t="n">
        <f aca="false">AG25</f>
        <v>48944.4537960079</v>
      </c>
      <c r="AH39" s="427" t="n">
        <f aca="false">AH25</f>
        <v>48524.830939313</v>
      </c>
      <c r="AI39" s="427" t="n">
        <f aca="false">AI25</f>
        <v>49350.7965458787</v>
      </c>
      <c r="AJ39" s="427" t="n">
        <f aca="false">AJ25</f>
        <v>47275.403529006</v>
      </c>
      <c r="AK39" s="427" t="n">
        <f aca="false">AK25</f>
        <v>42445.045186174</v>
      </c>
      <c r="AL39" s="427" t="n">
        <f aca="false">AL25</f>
        <v>42020.1633098747</v>
      </c>
      <c r="AM39" s="427" t="n">
        <f aca="false">AM25</f>
        <v>37180.9286314749</v>
      </c>
      <c r="AN39" s="427" t="n">
        <f aca="false">AN25</f>
        <v>39004.5368422477</v>
      </c>
      <c r="AO39" s="427" t="n">
        <f aca="false">AO25</f>
        <v>39926.7794164709</v>
      </c>
      <c r="AP39" s="427" t="n">
        <f aca="false">AP25</f>
        <v>44044.091474288</v>
      </c>
      <c r="AQ39" s="427" t="n">
        <f aca="false">AQ25</f>
        <v>44818.5854948213</v>
      </c>
      <c r="AR39" s="427" t="n">
        <f aca="false">AR25</f>
        <v>48853.119238026</v>
      </c>
      <c r="AS39" s="427" t="n">
        <f aca="false">AS25</f>
        <v>48974.9531616457</v>
      </c>
      <c r="AT39" s="427" t="n">
        <f aca="false">AT25</f>
        <v>68598.8253057811</v>
      </c>
      <c r="AU39" s="427" t="n">
        <f aca="false">AU25</f>
        <v>126460.420326892</v>
      </c>
    </row>
    <row r="40" customFormat="false" ht="12.75" hidden="false" customHeight="false" outlineLevel="0" collapsed="false">
      <c r="A40" s="361"/>
      <c r="B40" s="361"/>
      <c r="C40" s="322"/>
      <c r="D40" s="321"/>
      <c r="E40" s="321"/>
      <c r="F40" s="321"/>
      <c r="G40" s="321"/>
      <c r="H40" s="321"/>
      <c r="I40" s="321"/>
      <c r="J40" s="321"/>
      <c r="K40" s="321"/>
      <c r="L40" s="321"/>
      <c r="M40" s="321"/>
      <c r="N40" s="321"/>
      <c r="O40" s="321"/>
      <c r="P40" s="321"/>
      <c r="Q40" s="321"/>
      <c r="R40" s="321"/>
      <c r="S40" s="321"/>
      <c r="T40" s="321"/>
      <c r="U40" s="321"/>
      <c r="V40" s="321"/>
      <c r="W40" s="321"/>
      <c r="X40" s="321"/>
      <c r="Y40" s="321"/>
      <c r="Z40" s="321"/>
      <c r="AA40" s="321"/>
      <c r="AB40" s="70"/>
      <c r="AC40" s="70"/>
      <c r="AD40" s="70"/>
    </row>
    <row r="41" customFormat="false" ht="12.75" hidden="false" customHeight="false" outlineLevel="0" collapsed="false">
      <c r="A41" s="361"/>
      <c r="B41" s="361"/>
      <c r="C41" s="322"/>
      <c r="D41" s="321"/>
      <c r="E41" s="321"/>
      <c r="F41" s="321"/>
      <c r="G41" s="321"/>
      <c r="H41" s="321"/>
      <c r="I41" s="321"/>
      <c r="J41" s="321"/>
      <c r="K41" s="321"/>
      <c r="L41" s="321"/>
      <c r="M41" s="321"/>
      <c r="N41" s="321"/>
      <c r="O41" s="321"/>
      <c r="P41" s="321"/>
      <c r="Q41" s="321"/>
      <c r="R41" s="321"/>
      <c r="S41" s="321"/>
      <c r="T41" s="321"/>
      <c r="U41" s="321"/>
      <c r="V41" s="321"/>
      <c r="W41" s="321"/>
      <c r="X41" s="321"/>
      <c r="Y41" s="321"/>
      <c r="Z41" s="321"/>
      <c r="AA41" s="321"/>
      <c r="AB41" s="70"/>
      <c r="AC41" s="70"/>
      <c r="AD41" s="70"/>
    </row>
    <row r="42" customFormat="false" ht="12.75" hidden="false" customHeight="false" outlineLevel="0" collapsed="false">
      <c r="A42" s="391" t="s">
        <v>319</v>
      </c>
      <c r="B42" s="391"/>
      <c r="C42" s="391"/>
      <c r="AS42" s="78"/>
      <c r="AT42" s="78"/>
      <c r="AU42" s="78"/>
      <c r="AV42" s="371"/>
    </row>
    <row r="43" customFormat="false" ht="12.75" hidden="false" customHeight="false" outlineLevel="0" collapsed="false">
      <c r="A43" s="245" t="s">
        <v>320</v>
      </c>
      <c r="B43" s="397" t="n">
        <f aca="false">Assumptions!B13</f>
        <v>0.5</v>
      </c>
      <c r="C43" s="372" t="n">
        <v>0</v>
      </c>
      <c r="D43" s="80" t="n">
        <f aca="false">D25*$B$43</f>
        <v>0</v>
      </c>
      <c r="E43" s="80" t="n">
        <f aca="false">E25*$B$43</f>
        <v>151.431157383647</v>
      </c>
      <c r="F43" s="372" t="n">
        <f aca="false">$D$75*H8</f>
        <v>0</v>
      </c>
      <c r="G43" s="80" t="n">
        <f aca="false">G25*$B$43</f>
        <v>4876.13738401932</v>
      </c>
      <c r="H43" s="80" t="n">
        <f aca="false">H25*$B$43</f>
        <v>10466.1523205723</v>
      </c>
      <c r="I43" s="80" t="n">
        <f aca="false">I25*$B$43</f>
        <v>11958.4935074202</v>
      </c>
      <c r="J43" s="80" t="n">
        <f aca="false">J25*$B$43</f>
        <v>12159.2009343571</v>
      </c>
      <c r="K43" s="80" t="n">
        <f aca="false">K25*$B$43</f>
        <v>11368.6337159168</v>
      </c>
      <c r="L43" s="80" t="n">
        <f aca="false">L25*$B$43</f>
        <v>10392.6945437542</v>
      </c>
      <c r="M43" s="80" t="n">
        <f aca="false">M25*$B$43</f>
        <v>28467.8590204413</v>
      </c>
      <c r="N43" s="80" t="n">
        <f aca="false">N25*$B$43</f>
        <v>23871.058145471</v>
      </c>
      <c r="O43" s="80" t="n">
        <f aca="false">O25*$B$43</f>
        <v>21835.7759789528</v>
      </c>
      <c r="P43" s="80" t="n">
        <f aca="false">P25*$B$43</f>
        <v>22033.2888449879</v>
      </c>
      <c r="Q43" s="80" t="n">
        <f aca="false">Q25*$B$43</f>
        <v>22018.8278168303</v>
      </c>
      <c r="R43" s="80" t="n">
        <f aca="false">R25*$B$43</f>
        <v>21380.1701393227</v>
      </c>
      <c r="S43" s="80" t="n">
        <f aca="false">S25*$B$43</f>
        <v>20869.4749517849</v>
      </c>
      <c r="T43" s="80" t="n">
        <f aca="false">T25*$B$43</f>
        <v>20065.7921156345</v>
      </c>
      <c r="U43" s="80" t="n">
        <f aca="false">U25*$B$43</f>
        <v>20782.8306348824</v>
      </c>
      <c r="V43" s="80" t="n">
        <f aca="false">V25*$B$43</f>
        <v>20063.6483988033</v>
      </c>
      <c r="W43" s="80" t="n">
        <f aca="false">W25*$B$43</f>
        <v>20477.7657184077</v>
      </c>
      <c r="X43" s="80" t="n">
        <f aca="false">X25*$B$43</f>
        <v>18636.4965830907</v>
      </c>
      <c r="Y43" s="80" t="n">
        <f aca="false">Y25*$B$43</f>
        <v>21315.046839839</v>
      </c>
      <c r="Z43" s="80" t="n">
        <f aca="false">Z25*$B$43</f>
        <v>21852.1098466333</v>
      </c>
      <c r="AA43" s="80" t="n">
        <f aca="false">AA25*$B$43</f>
        <v>23906.2284420384</v>
      </c>
      <c r="AB43" s="80" t="n">
        <f aca="false">AB25*$B$43</f>
        <v>23488.329222457</v>
      </c>
      <c r="AC43" s="80" t="n">
        <f aca="false">AC25*$B$43</f>
        <v>24279.5942515981</v>
      </c>
      <c r="AD43" s="80" t="n">
        <f aca="false">AD25*$B$43</f>
        <v>23819.8235715439</v>
      </c>
      <c r="AE43" s="80" t="n">
        <f aca="false">AE25*$B$43</f>
        <v>24268.0119794711</v>
      </c>
      <c r="AF43" s="80" t="n">
        <f aca="false">AF25*$B$43</f>
        <v>24092.3284254795</v>
      </c>
      <c r="AG43" s="80" t="n">
        <f aca="false">AG25*$B$43</f>
        <v>24472.2268980039</v>
      </c>
      <c r="AH43" s="80" t="n">
        <f aca="false">AH25*$B$43</f>
        <v>24262.4154696565</v>
      </c>
      <c r="AI43" s="80" t="n">
        <f aca="false">AI25*$B$43</f>
        <v>24675.3982729393</v>
      </c>
      <c r="AJ43" s="80" t="n">
        <f aca="false">AJ25*$B$43</f>
        <v>23637.701764503</v>
      </c>
      <c r="AK43" s="80" t="n">
        <f aca="false">AK25*$B$43</f>
        <v>21222.522593087</v>
      </c>
      <c r="AL43" s="80" t="n">
        <f aca="false">AL25*$B$43</f>
        <v>21010.0816549373</v>
      </c>
      <c r="AM43" s="80" t="n">
        <f aca="false">AM25*$B$43</f>
        <v>18590.4643157374</v>
      </c>
      <c r="AN43" s="80" t="n">
        <f aca="false">AN25*$B$43</f>
        <v>19502.2684211238</v>
      </c>
      <c r="AO43" s="80" t="n">
        <f aca="false">AO25*$B$43</f>
        <v>19963.3897082354</v>
      </c>
      <c r="AP43" s="80" t="n">
        <f aca="false">AP25*$B$43</f>
        <v>22022.045737144</v>
      </c>
      <c r="AQ43" s="80" t="n">
        <f aca="false">AQ25*$B$43</f>
        <v>22409.2927474106</v>
      </c>
      <c r="AR43" s="80" t="n">
        <f aca="false">AR25*$B$43</f>
        <v>24426.559619013</v>
      </c>
      <c r="AS43" s="115" t="n">
        <f aca="false">AS25*$B$43</f>
        <v>24487.4765808229</v>
      </c>
      <c r="AT43" s="115" t="n">
        <f aca="false">AT25*$B$43</f>
        <v>34299.4126528905</v>
      </c>
      <c r="AU43" s="115" t="n">
        <f aca="false">AU25*$B$43</f>
        <v>63230.2101634462</v>
      </c>
      <c r="AV43" s="371" t="n">
        <f aca="false">SUM(D43:AU43)</f>
        <v>897108.671090044</v>
      </c>
    </row>
    <row r="44" customFormat="false" ht="12.75" hidden="false" customHeight="false" outlineLevel="0" collapsed="false">
      <c r="A44" s="398" t="s">
        <v>321</v>
      </c>
      <c r="C44" s="372" t="n">
        <v>0</v>
      </c>
      <c r="D44" s="102" t="n">
        <f aca="false">-0.5*B75</f>
        <v>-133750</v>
      </c>
      <c r="E44" s="372" t="n">
        <f aca="false">C44</f>
        <v>0</v>
      </c>
      <c r="F44" s="102" t="n">
        <f aca="false">D44</f>
        <v>-133750</v>
      </c>
      <c r="AS44" s="78"/>
      <c r="AT44" s="78"/>
      <c r="AU44" s="78"/>
    </row>
    <row r="45" customFormat="false" ht="12.75" hidden="false" customHeight="false" outlineLevel="0" collapsed="false">
      <c r="A45" s="398" t="s">
        <v>322</v>
      </c>
      <c r="C45" s="372" t="n">
        <v>0</v>
      </c>
      <c r="D45" s="102" t="n">
        <f aca="false">D44+D43</f>
        <v>-133750</v>
      </c>
      <c r="E45" s="102" t="n">
        <f aca="false">E44+E43</f>
        <v>151.431157383647</v>
      </c>
      <c r="F45" s="102" t="n">
        <f aca="false">F44+F43</f>
        <v>-133750</v>
      </c>
      <c r="G45" s="80" t="n">
        <f aca="false">G44+G43</f>
        <v>4876.13738401932</v>
      </c>
      <c r="H45" s="80" t="n">
        <f aca="false">H44+H43</f>
        <v>10466.1523205723</v>
      </c>
      <c r="I45" s="80" t="n">
        <f aca="false">I44+I43</f>
        <v>11958.4935074202</v>
      </c>
      <c r="J45" s="80" t="n">
        <f aca="false">J44+J43</f>
        <v>12159.2009343571</v>
      </c>
      <c r="K45" s="80" t="n">
        <f aca="false">K44+K43</f>
        <v>11368.6337159168</v>
      </c>
      <c r="L45" s="80" t="n">
        <f aca="false">L44+L43</f>
        <v>10392.6945437542</v>
      </c>
      <c r="M45" s="80" t="n">
        <f aca="false">M44+M43</f>
        <v>28467.8590204413</v>
      </c>
      <c r="N45" s="80" t="n">
        <f aca="false">N44+N43</f>
        <v>23871.058145471</v>
      </c>
      <c r="O45" s="80" t="n">
        <f aca="false">O44+O43</f>
        <v>21835.7759789528</v>
      </c>
      <c r="P45" s="80" t="n">
        <f aca="false">P44+P43</f>
        <v>22033.2888449879</v>
      </c>
      <c r="Q45" s="80" t="n">
        <f aca="false">Q44+Q43</f>
        <v>22018.8278168303</v>
      </c>
      <c r="R45" s="80" t="n">
        <f aca="false">R44+R43</f>
        <v>21380.1701393227</v>
      </c>
      <c r="S45" s="80" t="n">
        <f aca="false">S44+S43</f>
        <v>20869.4749517849</v>
      </c>
      <c r="T45" s="80" t="n">
        <f aca="false">T44+T43</f>
        <v>20065.7921156345</v>
      </c>
      <c r="U45" s="80" t="n">
        <f aca="false">U44+U43</f>
        <v>20782.8306348824</v>
      </c>
      <c r="V45" s="80" t="n">
        <f aca="false">V44+V43</f>
        <v>20063.6483988033</v>
      </c>
      <c r="W45" s="80" t="n">
        <f aca="false">W44+W43</f>
        <v>20477.7657184077</v>
      </c>
      <c r="X45" s="80" t="n">
        <f aca="false">X44+X43</f>
        <v>18636.4965830907</v>
      </c>
      <c r="Y45" s="80" t="n">
        <f aca="false">Y44+Y43</f>
        <v>21315.046839839</v>
      </c>
      <c r="Z45" s="80" t="n">
        <f aca="false">Z44+Z43</f>
        <v>21852.1098466333</v>
      </c>
      <c r="AA45" s="80" t="n">
        <f aca="false">AA44+AA43</f>
        <v>23906.2284420384</v>
      </c>
      <c r="AB45" s="80" t="n">
        <f aca="false">AB44+AB43</f>
        <v>23488.329222457</v>
      </c>
      <c r="AC45" s="80" t="n">
        <f aca="false">AC44+AC43</f>
        <v>24279.5942515981</v>
      </c>
      <c r="AD45" s="80" t="n">
        <f aca="false">AD44+AD43</f>
        <v>23819.8235715439</v>
      </c>
      <c r="AE45" s="80" t="n">
        <f aca="false">AE44+AE43</f>
        <v>24268.0119794711</v>
      </c>
      <c r="AF45" s="80" t="n">
        <f aca="false">AF44+AF43</f>
        <v>24092.3284254795</v>
      </c>
      <c r="AG45" s="80" t="n">
        <f aca="false">AG44+AG43</f>
        <v>24472.2268980039</v>
      </c>
      <c r="AH45" s="80" t="n">
        <f aca="false">AH44+AH43</f>
        <v>24262.4154696565</v>
      </c>
      <c r="AI45" s="80" t="n">
        <f aca="false">AI44+AI43</f>
        <v>24675.3982729393</v>
      </c>
      <c r="AJ45" s="80" t="n">
        <f aca="false">AJ44+AJ43</f>
        <v>23637.701764503</v>
      </c>
      <c r="AK45" s="80" t="n">
        <f aca="false">AK44+AK43</f>
        <v>21222.522593087</v>
      </c>
      <c r="AL45" s="80" t="n">
        <f aca="false">AL44+AL43</f>
        <v>21010.0816549373</v>
      </c>
      <c r="AM45" s="80" t="n">
        <f aca="false">AM44+AM43</f>
        <v>18590.4643157374</v>
      </c>
      <c r="AN45" s="80" t="n">
        <f aca="false">AN44+AN43</f>
        <v>19502.2684211238</v>
      </c>
      <c r="AO45" s="80" t="n">
        <f aca="false">AO44+AO43</f>
        <v>19963.3897082354</v>
      </c>
      <c r="AP45" s="80" t="n">
        <f aca="false">AP44+AP43</f>
        <v>22022.045737144</v>
      </c>
      <c r="AQ45" s="80" t="n">
        <f aca="false">AQ44+AQ43</f>
        <v>22409.2927474106</v>
      </c>
      <c r="AR45" s="80" t="n">
        <f aca="false">AR44+AR43</f>
        <v>24426.559619013</v>
      </c>
      <c r="AS45" s="115" t="n">
        <f aca="false">AS44+AS43</f>
        <v>24487.4765808229</v>
      </c>
      <c r="AT45" s="115" t="n">
        <f aca="false">AT44+AT43</f>
        <v>34299.4126528905</v>
      </c>
      <c r="AU45" s="115" t="n">
        <f aca="false">AU44+AU43</f>
        <v>63230.2101634462</v>
      </c>
    </row>
    <row r="46" customFormat="false" ht="12.75" hidden="false" customHeight="false" outlineLevel="0" collapsed="false">
      <c r="A46" s="398"/>
      <c r="C46" s="430"/>
      <c r="D46" s="102"/>
      <c r="E46" s="400"/>
      <c r="F46" s="400"/>
      <c r="AS46" s="78"/>
      <c r="AT46" s="78"/>
      <c r="AU46" s="78"/>
    </row>
    <row r="47" customFormat="false" ht="12.75" hidden="false" customHeight="false" outlineLevel="0" collapsed="false">
      <c r="A47" s="401" t="s">
        <v>323</v>
      </c>
      <c r="B47" s="401"/>
      <c r="C47" s="401"/>
      <c r="D47" s="402" t="n">
        <f aca="false">D62</f>
        <v>0.131961152545628</v>
      </c>
      <c r="AS47" s="78"/>
      <c r="AT47" s="78"/>
      <c r="AU47" s="78"/>
    </row>
    <row r="48" customFormat="false" ht="12.75" hidden="false" customHeight="false" outlineLevel="0" collapsed="false">
      <c r="AS48" s="78"/>
      <c r="AT48" s="78"/>
      <c r="AU48" s="78"/>
    </row>
    <row r="49" customFormat="false" ht="12.75" hidden="false" customHeight="false" outlineLevel="0" collapsed="false">
      <c r="AS49" s="78"/>
      <c r="AT49" s="78"/>
      <c r="AU49" s="78"/>
    </row>
    <row r="50" customFormat="false" ht="12.75" hidden="false" customHeight="false" outlineLevel="0" collapsed="false">
      <c r="A50" s="404" t="s">
        <v>324</v>
      </c>
      <c r="B50" s="405" t="n">
        <f aca="false">Assumptions!C8*B43</f>
        <v>267500</v>
      </c>
      <c r="E50" s="431"/>
      <c r="G50" s="431"/>
      <c r="AS50" s="78"/>
      <c r="AT50" s="78"/>
      <c r="AU50" s="78"/>
    </row>
    <row r="51" customFormat="false" ht="12.75" hidden="false" customHeight="false" outlineLevel="0" collapsed="false">
      <c r="G51" s="80"/>
      <c r="AS51" s="78"/>
      <c r="AT51" s="78"/>
      <c r="AU51" s="78"/>
    </row>
    <row r="52" customFormat="false" ht="12.75" hidden="false" customHeight="false" outlineLevel="0" collapsed="false">
      <c r="D52" s="432"/>
    </row>
    <row r="54" customFormat="false" ht="18.75" hidden="false" customHeight="false" outlineLevel="0" collapsed="false">
      <c r="A54" s="14" t="s">
        <v>333</v>
      </c>
      <c r="D54" s="0"/>
      <c r="E54" s="0"/>
      <c r="F54" s="0"/>
      <c r="AB54" s="70"/>
      <c r="AC54" s="70"/>
      <c r="AD54" s="70"/>
    </row>
    <row r="55" customFormat="false" ht="18.75" hidden="false" customHeight="false" outlineLevel="0" collapsed="false">
      <c r="A55" s="14"/>
      <c r="D55" s="1" t="s">
        <v>340</v>
      </c>
      <c r="AB55" s="70"/>
      <c r="AC55" s="70"/>
      <c r="AD55" s="70"/>
    </row>
    <row r="56" customFormat="false" ht="12.75" hidden="false" customHeight="false" outlineLevel="0" collapsed="false">
      <c r="A56" s="0"/>
      <c r="B56" s="0" t="s">
        <v>341</v>
      </c>
      <c r="C56" s="431" t="n">
        <f aca="false">I58-E77</f>
        <v>320</v>
      </c>
      <c r="D56" s="0"/>
      <c r="E56" s="0"/>
      <c r="F56" s="0"/>
      <c r="G56" s="0"/>
      <c r="H56" s="433" t="s">
        <v>342</v>
      </c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</row>
    <row r="57" customFormat="false" ht="12.75" hidden="false" customHeight="false" outlineLevel="0" collapsed="false">
      <c r="A57" s="0"/>
      <c r="B57" s="0" t="s">
        <v>343</v>
      </c>
      <c r="C57" s="431" t="n">
        <f aca="false">I58-G77</f>
        <v>138</v>
      </c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</row>
    <row r="58" customFormat="false" ht="13.5" hidden="false" customHeight="false" outlineLevel="0" collapsed="false">
      <c r="A58" s="319" t="s">
        <v>269</v>
      </c>
      <c r="B58" s="319"/>
      <c r="C58" s="359"/>
      <c r="D58" s="409" t="n">
        <v>36525</v>
      </c>
      <c r="E58" s="409"/>
      <c r="F58" s="409"/>
      <c r="G58" s="409"/>
      <c r="H58" s="409" t="n">
        <v>36525</v>
      </c>
      <c r="I58" s="409" t="n">
        <v>36891</v>
      </c>
      <c r="J58" s="409" t="n">
        <f aca="false">I58+365.25</f>
        <v>37256.25</v>
      </c>
      <c r="K58" s="409" t="n">
        <f aca="false">J58+365.25</f>
        <v>37621.5</v>
      </c>
      <c r="L58" s="409" t="n">
        <f aca="false">K58+365.25</f>
        <v>37986.75</v>
      </c>
      <c r="M58" s="409" t="n">
        <f aca="false">L58+365.25</f>
        <v>38352</v>
      </c>
      <c r="N58" s="409" t="n">
        <f aca="false">M58+365.25</f>
        <v>38717.25</v>
      </c>
      <c r="O58" s="409" t="n">
        <f aca="false">N58+365.25</f>
        <v>39082.5</v>
      </c>
      <c r="P58" s="409" t="n">
        <f aca="false">O58+365.25</f>
        <v>39447.75</v>
      </c>
      <c r="Q58" s="409" t="n">
        <f aca="false">P58+365.25</f>
        <v>39813</v>
      </c>
      <c r="R58" s="409" t="n">
        <f aca="false">Q58+365.25</f>
        <v>40178.25</v>
      </c>
      <c r="S58" s="409" t="n">
        <f aca="false">R58+365.25</f>
        <v>40543.5</v>
      </c>
      <c r="T58" s="409" t="n">
        <f aca="false">S58+365.25</f>
        <v>40908.75</v>
      </c>
      <c r="U58" s="409" t="n">
        <f aca="false">T58+365.25</f>
        <v>41274</v>
      </c>
      <c r="V58" s="409" t="n">
        <f aca="false">U58+365.25</f>
        <v>41639.25</v>
      </c>
      <c r="W58" s="409" t="n">
        <f aca="false">V58+365.25</f>
        <v>42004.5</v>
      </c>
      <c r="X58" s="409" t="n">
        <f aca="false">W58+365.25</f>
        <v>42369.75</v>
      </c>
      <c r="Y58" s="409" t="n">
        <f aca="false">X58+365.25</f>
        <v>42735</v>
      </c>
      <c r="Z58" s="409" t="n">
        <f aca="false">Y58+365.25</f>
        <v>43100.25</v>
      </c>
      <c r="AA58" s="409" t="n">
        <f aca="false">Z58+365.25</f>
        <v>43465.5</v>
      </c>
      <c r="AB58" s="409" t="n">
        <f aca="false">AA58+365.25</f>
        <v>43830.75</v>
      </c>
      <c r="AC58" s="409" t="n">
        <f aca="false">AB58+365.25</f>
        <v>44196</v>
      </c>
      <c r="AD58" s="0"/>
      <c r="AE58" s="0"/>
      <c r="AF58" s="0"/>
    </row>
    <row r="59" customFormat="false" ht="12.75" hidden="false" customHeight="false" outlineLevel="0" collapsed="false">
      <c r="S59" s="70"/>
    </row>
    <row r="60" customFormat="false" ht="12.75" hidden="false" customHeight="false" outlineLevel="0" collapsed="false">
      <c r="A60" s="1" t="s">
        <v>334</v>
      </c>
      <c r="B60" s="410" t="n">
        <f aca="false">D62</f>
        <v>0.131961152545628</v>
      </c>
      <c r="D60" s="102" t="n">
        <f aca="false">D44+F44/((1+B60)^((F6-D6)/365))</f>
        <v>-263429.934036191</v>
      </c>
      <c r="S60" s="70"/>
    </row>
    <row r="61" customFormat="false" ht="12.75" hidden="false" customHeight="false" outlineLevel="0" collapsed="false">
      <c r="A61" s="1" t="s">
        <v>335</v>
      </c>
      <c r="B61" s="434" t="n">
        <v>0.132317334628451</v>
      </c>
      <c r="D61" s="102" t="n">
        <f aca="false">D60+$D$43</f>
        <v>-263429.934036191</v>
      </c>
      <c r="E61" s="400"/>
      <c r="F61" s="400"/>
      <c r="G61" s="400"/>
      <c r="H61" s="400" t="n">
        <f aca="false">D61</f>
        <v>-263429.934036191</v>
      </c>
      <c r="I61" s="400" t="n">
        <f aca="false">E79*((1+$B$60)^((I58-E77)/365))+G79*((1+$B$60)^((I58-G77)/365))</f>
        <v>5278.90606095396</v>
      </c>
      <c r="J61" s="400" t="n">
        <f aca="false">H79*((1+$B$60)^($C$56/365))+I79*((1+$B$60)^($C$57/365))</f>
        <v>24199.8621748263</v>
      </c>
      <c r="K61" s="400" t="n">
        <f aca="false">J79*((1+$B$60)^($C$56/365))+K79*((1+$B$60)^($C$57/365))</f>
        <v>25469.1023044265</v>
      </c>
      <c r="L61" s="400" t="n">
        <f aca="false">L79*((1+$B$60)^($C$56/365))+M79*((1+$B$60)^($C$57/365))</f>
        <v>41419.4465946721</v>
      </c>
      <c r="M61" s="400" t="n">
        <f aca="false">N79*((1+$B$60)^($C$56/365))+O79*((1+$B$60)^($C$57/365))</f>
        <v>49494.7638935981</v>
      </c>
      <c r="N61" s="400" t="n">
        <f aca="false">P79*((1+$B$60)^($C$56/365))+Q79*((1+$B$60)^($C$57/365))</f>
        <v>47637.863610412</v>
      </c>
      <c r="O61" s="400" t="n">
        <f aca="false">R79*((1+$B$60)^($C$56/365))+S79*((1+$B$60)^($C$57/365))</f>
        <v>45705.2724564894</v>
      </c>
      <c r="P61" s="400" t="n">
        <f aca="false">T79*((1+$B$60)^($C$56/365))+U79*((1+$B$60)^($C$57/365))</f>
        <v>44149.2098016822</v>
      </c>
      <c r="Q61" s="400" t="n">
        <f aca="false">V79*((1+$B$60)^($C$56/365))+W79*((1+$B$60)^($C$57/365))</f>
        <v>43827.1182543924</v>
      </c>
      <c r="R61" s="400" t="n">
        <f aca="false">X79*((1+$B$60)^($C$56/365))+Y79*((1+$B$60)^($C$57/365))</f>
        <v>43113.5908268471</v>
      </c>
      <c r="S61" s="400" t="n">
        <f aca="false">Z79*((1+$B$60)^($C$56/365))+AA79*((1+$B$60)^($C$57/365))</f>
        <v>49413.8432348535</v>
      </c>
      <c r="T61" s="400" t="n">
        <f aca="false">AB79*((1+$B$60)^($C$56/365))+AC79*((1+$B$60)^($C$57/365))</f>
        <v>51629.1710250013</v>
      </c>
      <c r="U61" s="400" t="n">
        <f aca="false">AD79*((1+$B$60)^($C$56/365))+AE79*((1+$B$60)^($C$57/365))</f>
        <v>51986.5810705429</v>
      </c>
      <c r="V61" s="400" t="n">
        <f aca="false">AF79*((1+$B$60)^($C$56/365))+AG79*((1+$B$60)^($C$57/365))</f>
        <v>52504.3809674623</v>
      </c>
      <c r="W61" s="400" t="n">
        <f aca="false">AH79*((1+$B$60)^($C$56/365))+AI79*((1+$B$60)^($C$57/365))</f>
        <v>52906.9124563732</v>
      </c>
      <c r="X61" s="400" t="n">
        <f aca="false">AJ79*((1+$B$60)^($C$56/365))+AK79*((1+$B$60)^($C$57/365))</f>
        <v>48591.9426113503</v>
      </c>
      <c r="Y61" s="400" t="n">
        <f aca="false">AL79*((1+$B$60)^($C$56/365))+AM79*((1+$B$60)^($C$57/365))</f>
        <v>42904.3437372936</v>
      </c>
      <c r="Z61" s="400" t="n">
        <f aca="false">AN79*((1+$B$60)^($C$56/365))+AO79*((1+$B$60)^($C$57/365))</f>
        <v>42662.2395707887</v>
      </c>
      <c r="AA61" s="400" t="n">
        <f aca="false">AP79*((1+$B$60)^($C$56/365))+AQ79*((1+$B$60)^($C$57/365))</f>
        <v>48034.5290555188</v>
      </c>
      <c r="AB61" s="400" t="n">
        <f aca="false">AR79*((1+$B$60)^($C$56/365))+AS79*((1+$B$60)^($C$57/365))</f>
        <v>52892.9613674054</v>
      </c>
      <c r="AC61" s="400" t="n">
        <f aca="false">AT79*((1+$B$60)^($C$56/365))+AU79*((1+$B$60)^($C$57/365))</f>
        <v>104500.74831859</v>
      </c>
      <c r="AD61" s="400"/>
    </row>
    <row r="62" customFormat="false" ht="12.75" hidden="false" customHeight="false" outlineLevel="0" collapsed="false">
      <c r="A62" s="1" t="s">
        <v>336</v>
      </c>
      <c r="B62" s="435" t="n">
        <v>535000</v>
      </c>
      <c r="D62" s="406" t="n">
        <f aca="false">IRR(H61:AC61)</f>
        <v>0.131961152545628</v>
      </c>
      <c r="S62" s="70"/>
    </row>
    <row r="63" customFormat="false" ht="12.75" hidden="false" customHeight="false" outlineLevel="0" collapsed="false">
      <c r="D63" s="400"/>
      <c r="E63" s="400"/>
      <c r="F63" s="400"/>
      <c r="G63" s="400"/>
      <c r="H63" s="400"/>
      <c r="I63" s="400"/>
      <c r="J63" s="400"/>
      <c r="K63" s="400"/>
      <c r="L63" s="400"/>
      <c r="M63" s="400"/>
      <c r="N63" s="400"/>
      <c r="O63" s="400"/>
      <c r="P63" s="400"/>
      <c r="Q63" s="400"/>
      <c r="R63" s="400"/>
      <c r="S63" s="70"/>
    </row>
    <row r="64" customFormat="false" ht="12.75" hidden="false" customHeight="false" outlineLevel="0" collapsed="false">
      <c r="A64" s="1" t="s">
        <v>334</v>
      </c>
      <c r="B64" s="410" t="n">
        <f aca="false">D66</f>
        <v>0.150019096833093</v>
      </c>
      <c r="D64" s="102" t="n">
        <f aca="false">D44+F44/((1+B64)^((F6-D6)/365))</f>
        <v>-262919.240640096</v>
      </c>
      <c r="E64" s="400"/>
      <c r="F64" s="400"/>
      <c r="G64" s="400"/>
      <c r="H64" s="400"/>
      <c r="I64" s="400"/>
      <c r="J64" s="400"/>
      <c r="K64" s="400"/>
      <c r="L64" s="400"/>
      <c r="M64" s="400"/>
      <c r="N64" s="400"/>
      <c r="O64" s="400"/>
      <c r="P64" s="400"/>
      <c r="Q64" s="400"/>
      <c r="R64" s="400"/>
      <c r="S64" s="70"/>
    </row>
    <row r="65" customFormat="false" ht="12.75" hidden="false" customHeight="false" outlineLevel="0" collapsed="false">
      <c r="A65" s="1" t="s">
        <v>325</v>
      </c>
      <c r="D65" s="102" t="n">
        <f aca="false">D64+$D$43</f>
        <v>-262919.240640096</v>
      </c>
      <c r="E65" s="400"/>
      <c r="F65" s="400"/>
      <c r="G65" s="400"/>
      <c r="H65" s="400" t="n">
        <f aca="false">D65</f>
        <v>-262919.240640096</v>
      </c>
      <c r="I65" s="400" t="n">
        <f aca="false">E79*((1+$B$64)^((I58-E77)/365))+G79*((1+$B$64)^((I58-G77)/365))</f>
        <v>5311.93455829451</v>
      </c>
      <c r="J65" s="400" t="n">
        <f aca="false">H79*((1+$B$64)^($C$56/365))+I79*((1+$B$64)^($C$57/365))</f>
        <v>24438.1020760027</v>
      </c>
      <c r="K65" s="400" t="n">
        <f aca="false">J79*((1+$B$64)^($C$56/365))+K79*((1+$B$64)^($C$57/365))</f>
        <v>25730.0035342816</v>
      </c>
      <c r="L65" s="400" t="n">
        <f aca="false">L79*((1+$B$64)^($C$56/365))+M79*((1+$B$64)^($C$57/365))</f>
        <v>41760.3823399324</v>
      </c>
      <c r="M65" s="400" t="n">
        <f aca="false">N79*((1+$B$64)^($C$56/365))+O79*((1+$B$64)^($C$57/365))</f>
        <v>50003.9282295846</v>
      </c>
      <c r="N65" s="400" t="n">
        <f aca="false">P79*((1+$B$64)^($C$56/365))+Q79*((1+$B$64)^($C$57/365))</f>
        <v>48119.5536802057</v>
      </c>
      <c r="O65" s="400" t="n">
        <f aca="false">R79*((1+$B$64)^($C$56/365))+S79*((1+$B$64)^($C$57/365))</f>
        <v>46169.5602024295</v>
      </c>
      <c r="P65" s="400" t="n">
        <f aca="false">T79*((1+$B$64)^($C$56/365))+U79*((1+$B$64)^($C$57/365))</f>
        <v>44592.4794477451</v>
      </c>
      <c r="Q65" s="400" t="n">
        <f aca="false">V79*((1+$B$64)^($C$56/365))+W79*((1+$B$64)^($C$57/365))</f>
        <v>44268.4357224165</v>
      </c>
      <c r="R65" s="400" t="n">
        <f aca="false">X79*((1+$B$64)^($C$56/365))+Y79*((1+$B$64)^($C$57/365))</f>
        <v>43537.9448728762</v>
      </c>
      <c r="S65" s="400" t="n">
        <f aca="false">Z79*((1+$B$64)^($C$56/365))+AA79*((1+$B$64)^($C$57/365))</f>
        <v>49904.5825168296</v>
      </c>
      <c r="T65" s="400" t="n">
        <f aca="false">AB79*((1+$B$64)^($C$56/365))+AC79*((1+$B$64)^($C$57/365))</f>
        <v>52147.7449107086</v>
      </c>
      <c r="U65" s="400" t="n">
        <f aca="false">AD79*((1+$B$64)^($C$56/365))+AE79*((1+$B$64)^($C$57/365))</f>
        <v>52510.2455571087</v>
      </c>
      <c r="V65" s="400" t="n">
        <f aca="false">AF79*((1+$B$64)^($C$56/365))+AG79*((1+$B$64)^($C$57/365))</f>
        <v>53033.5745314659</v>
      </c>
      <c r="W65" s="400" t="n">
        <f aca="false">AH79*((1+$B$64)^($C$56/365))+AI79*((1+$B$64)^($C$57/365))</f>
        <v>53440.0332451201</v>
      </c>
      <c r="X65" s="400" t="n">
        <f aca="false">AJ79*((1+$B$64)^($C$56/365))+AK79*((1+$B$64)^($C$57/365))</f>
        <v>49093.6149015098</v>
      </c>
      <c r="Y65" s="400" t="n">
        <f aca="false">AL79*((1+$B$64)^($C$56/365))+AM79*((1+$B$64)^($C$57/365))</f>
        <v>43348.5324360559</v>
      </c>
      <c r="Z65" s="400" t="n">
        <f aca="false">AN79*((1+$B$64)^($C$56/365))+AO79*((1+$B$64)^($C$57/365))</f>
        <v>43091.5775193186</v>
      </c>
      <c r="AA65" s="400" t="n">
        <f aca="false">AP79*((1+$B$64)^($C$56/365))+AQ79*((1+$B$64)^($C$57/365))</f>
        <v>48518.4999324399</v>
      </c>
      <c r="AB65" s="400" t="n">
        <f aca="false">AR79*((1+$B$64)^($C$56/365))+AS79*((1+$B$64)^($C$57/365))</f>
        <v>53427.456928852</v>
      </c>
      <c r="AC65" s="400" t="n">
        <f aca="false">AT79*((1+$B$64)^($C$56/365))+AU79*((1+$B$64)^($C$57/365))+5*IS!Y38*$B$43</f>
        <v>670502.026442024</v>
      </c>
      <c r="AD65" s="400"/>
    </row>
    <row r="66" customFormat="false" ht="12.75" hidden="false" customHeight="false" outlineLevel="0" collapsed="false">
      <c r="A66" s="1" t="s">
        <v>336</v>
      </c>
      <c r="D66" s="406" t="n">
        <f aca="false">IRR(H65:AC65)</f>
        <v>0.150019096833093</v>
      </c>
    </row>
    <row r="68" customFormat="false" ht="12.75" hidden="false" customHeight="false" outlineLevel="0" collapsed="false">
      <c r="A68" s="1" t="s">
        <v>334</v>
      </c>
      <c r="B68" s="410" t="n">
        <f aca="false">D70</f>
        <v>0.142802490615289</v>
      </c>
      <c r="D68" s="102" t="n">
        <f aca="false">D44+F44/((1+B68)^((F6-D6)/365))</f>
        <v>-263122.122236162</v>
      </c>
    </row>
    <row r="69" customFormat="false" ht="12.75" hidden="false" customHeight="false" outlineLevel="0" collapsed="false">
      <c r="A69" s="1" t="s">
        <v>330</v>
      </c>
      <c r="D69" s="102" t="n">
        <f aca="false">D68+$D$43</f>
        <v>-263122.122236162</v>
      </c>
      <c r="E69" s="400"/>
      <c r="F69" s="400"/>
      <c r="G69" s="400"/>
      <c r="H69" s="400" t="n">
        <f aca="false">D69</f>
        <v>-263122.122236162</v>
      </c>
      <c r="I69" s="400" t="n">
        <f aca="false">E79*((1+$B$68)^((I58-E77)/365))+G79*((1+$B$68)^((I58-G77)/365))</f>
        <v>5298.77191418676</v>
      </c>
      <c r="J69" s="400" t="n">
        <f aca="false">H79*((1+$B$68)^($C$56/365))+I79*((1+$B$68)^($C$57/365))</f>
        <v>24343.0196898607</v>
      </c>
      <c r="K69" s="400" t="n">
        <f aca="false">J79*((1+$B$68)^($C$56/365))+K79*((1+$B$68)^($C$57/365))</f>
        <v>25625.8666556042</v>
      </c>
      <c r="L69" s="400" t="n">
        <f aca="false">L79*((1+$B$68)^($C$56/365))+M79*((1+$B$68)^($C$57/365))</f>
        <v>41624.3812291111</v>
      </c>
      <c r="M69" s="400" t="n">
        <f aca="false">N79*((1+$B$68)^($C$56/365))+O79*((1+$B$68)^($C$57/365))</f>
        <v>49800.6968029311</v>
      </c>
      <c r="N69" s="400" t="n">
        <f aca="false">P79*((1+$B$68)^($C$56/365))+Q79*((1+$B$68)^($C$57/365))</f>
        <v>47927.2966235274</v>
      </c>
      <c r="O69" s="400" t="n">
        <f aca="false">R79*((1+$B$68)^($C$56/365))+S79*((1+$B$68)^($C$57/365))</f>
        <v>45984.2468336684</v>
      </c>
      <c r="P69" s="400" t="n">
        <f aca="false">T79*((1+$B$68)^($C$56/365))+U79*((1+$B$68)^($C$57/365))</f>
        <v>44415.5602377991</v>
      </c>
      <c r="Q69" s="400" t="n">
        <f aca="false">V79*((1+$B$68)^($C$56/365))+W79*((1+$B$68)^($C$57/365))</f>
        <v>44092.2944017076</v>
      </c>
      <c r="R69" s="400" t="n">
        <f aca="false">X79*((1+$B$68)^($C$56/365))+Y79*((1+$B$68)^($C$57/365))</f>
        <v>43368.5837604641</v>
      </c>
      <c r="S69" s="400" t="n">
        <f aca="false">Z79*((1+$B$68)^($C$56/365))+AA79*((1+$B$68)^($C$57/365))</f>
        <v>49708.7224137271</v>
      </c>
      <c r="T69" s="400" t="n">
        <f aca="false">AB79*((1+$B$68)^($C$56/365))+AC79*((1+$B$68)^($C$57/365))</f>
        <v>51940.7698282393</v>
      </c>
      <c r="U69" s="400" t="n">
        <f aca="false">AD79*((1+$B$68)^($C$56/365))+AE79*((1+$B$68)^($C$57/365))</f>
        <v>52301.2372088092</v>
      </c>
      <c r="V69" s="400" t="n">
        <f aca="false">AF79*((1+$B$68)^($C$56/365))+AG79*((1+$B$68)^($C$57/365))</f>
        <v>52822.3590726513</v>
      </c>
      <c r="W69" s="400" t="n">
        <f aca="false">AH79*((1+$B$68)^($C$56/365))+AI79*((1+$B$68)^($C$57/365))</f>
        <v>53227.2504529919</v>
      </c>
      <c r="X69" s="400" t="n">
        <f aca="false">AJ79*((1+$B$68)^($C$56/365))+AK79*((1+$B$68)^($C$57/365))</f>
        <v>48893.3721657466</v>
      </c>
      <c r="Y69" s="400" t="n">
        <f aca="false">AL79*((1+$B$68)^($C$56/365))+AM79*((1+$B$68)^($C$57/365))</f>
        <v>43171.2331118341</v>
      </c>
      <c r="Z69" s="400" t="n">
        <f aca="false">AN79*((1+$B$68)^($C$56/365))+AO79*((1+$B$68)^($C$57/365))</f>
        <v>42920.2177843626</v>
      </c>
      <c r="AA69" s="400" t="n">
        <f aca="false">AP79*((1+$B$68)^($C$56/365))+AQ79*((1+$B$68)^($C$57/365))</f>
        <v>48325.3342394149</v>
      </c>
      <c r="AB69" s="400" t="n">
        <f aca="false">AR79*((1+$B$68)^($C$56/365))+AS79*((1+$B$68)^($C$57/365))</f>
        <v>53214.1239315834</v>
      </c>
      <c r="AC69" s="400" t="n">
        <f aca="false">AT79*((1+$B$68)^($C$56/365))+AU79*((1+$B$68)^($C$57/365))+0.5*Assumptions!$C$11*$B$43</f>
        <v>413810.858052967</v>
      </c>
      <c r="AD69" s="400"/>
    </row>
    <row r="70" customFormat="false" ht="12.75" hidden="false" customHeight="false" outlineLevel="0" collapsed="false">
      <c r="A70" s="1" t="s">
        <v>336</v>
      </c>
      <c r="D70" s="406" t="n">
        <f aca="false">IRR(H69:AC69)</f>
        <v>0.142802490615289</v>
      </c>
      <c r="AB70" s="70"/>
      <c r="AC70" s="70"/>
      <c r="AD70" s="70"/>
    </row>
    <row r="74" customFormat="false" ht="12.75" hidden="false" customHeight="false" outlineLevel="0" collapsed="false">
      <c r="A74" s="385" t="s">
        <v>344</v>
      </c>
    </row>
    <row r="75" customFormat="false" ht="12.75" hidden="false" customHeight="false" outlineLevel="0" collapsed="false">
      <c r="A75" s="404" t="s">
        <v>324</v>
      </c>
      <c r="B75" s="405" t="n">
        <f aca="false">Assumptions!C8*$B$43</f>
        <v>267500</v>
      </c>
      <c r="AS75" s="78"/>
      <c r="AT75" s="78"/>
      <c r="AU75" s="78"/>
    </row>
    <row r="76" customFormat="false" ht="12.75" hidden="false" customHeight="false" outlineLevel="0" collapsed="false">
      <c r="AS76" s="78"/>
      <c r="AT76" s="78"/>
      <c r="AU76" s="78"/>
    </row>
    <row r="77" customFormat="false" ht="12.75" hidden="false" customHeight="false" outlineLevel="0" collapsed="false">
      <c r="D77" s="436" t="n">
        <v>36525</v>
      </c>
      <c r="E77" s="436" t="n">
        <v>36571</v>
      </c>
      <c r="F77" s="436" t="n">
        <v>36616</v>
      </c>
      <c r="G77" s="436" t="n">
        <f aca="false">G6</f>
        <v>36753</v>
      </c>
      <c r="H77" s="436" t="n">
        <f aca="false">H6</f>
        <v>36937</v>
      </c>
      <c r="I77" s="436" t="n">
        <f aca="false">I6</f>
        <v>37118</v>
      </c>
      <c r="J77" s="436" t="n">
        <f aca="false">J6</f>
        <v>37302</v>
      </c>
      <c r="K77" s="436" t="n">
        <f aca="false">K6</f>
        <v>37483</v>
      </c>
      <c r="L77" s="436" t="n">
        <f aca="false">L6</f>
        <v>37667</v>
      </c>
      <c r="M77" s="436" t="n">
        <f aca="false">M6</f>
        <v>37848</v>
      </c>
      <c r="N77" s="436" t="n">
        <f aca="false">N6</f>
        <v>38032</v>
      </c>
      <c r="O77" s="436" t="n">
        <f aca="false">O6</f>
        <v>38214</v>
      </c>
      <c r="P77" s="436" t="n">
        <f aca="false">P6</f>
        <v>38398</v>
      </c>
      <c r="Q77" s="436" t="n">
        <f aca="false">Q6</f>
        <v>38579</v>
      </c>
      <c r="R77" s="436" t="n">
        <f aca="false">R6</f>
        <v>38763</v>
      </c>
      <c r="S77" s="436" t="n">
        <f aca="false">S6</f>
        <v>38944</v>
      </c>
      <c r="T77" s="436" t="n">
        <f aca="false">T6</f>
        <v>39128</v>
      </c>
      <c r="U77" s="436" t="n">
        <f aca="false">U6</f>
        <v>39309</v>
      </c>
      <c r="V77" s="436" t="n">
        <f aca="false">V6</f>
        <v>39493</v>
      </c>
      <c r="W77" s="436" t="n">
        <f aca="false">W6</f>
        <v>39675</v>
      </c>
      <c r="X77" s="436" t="n">
        <f aca="false">X6</f>
        <v>39859</v>
      </c>
      <c r="Y77" s="436" t="n">
        <f aca="false">Y6</f>
        <v>40040</v>
      </c>
      <c r="Z77" s="436" t="n">
        <f aca="false">Z6</f>
        <v>40224</v>
      </c>
      <c r="AA77" s="436" t="n">
        <f aca="false">AA6</f>
        <v>40405</v>
      </c>
      <c r="AB77" s="436" t="n">
        <f aca="false">AB6</f>
        <v>40589</v>
      </c>
      <c r="AC77" s="436" t="n">
        <f aca="false">AC6</f>
        <v>40770</v>
      </c>
      <c r="AD77" s="436" t="n">
        <f aca="false">AD6</f>
        <v>40954</v>
      </c>
      <c r="AE77" s="436" t="n">
        <f aca="false">AE6</f>
        <v>41136</v>
      </c>
      <c r="AF77" s="436" t="n">
        <f aca="false">AF6</f>
        <v>41320</v>
      </c>
      <c r="AG77" s="436" t="n">
        <f aca="false">AG6</f>
        <v>41501</v>
      </c>
      <c r="AH77" s="436" t="n">
        <f aca="false">AH6</f>
        <v>41685</v>
      </c>
      <c r="AI77" s="436" t="n">
        <f aca="false">AI6</f>
        <v>41866</v>
      </c>
      <c r="AJ77" s="436" t="n">
        <f aca="false">AJ6</f>
        <v>42050</v>
      </c>
      <c r="AK77" s="436" t="n">
        <f aca="false">AK6</f>
        <v>42231</v>
      </c>
      <c r="AL77" s="436" t="n">
        <f aca="false">AL6</f>
        <v>42415</v>
      </c>
      <c r="AM77" s="436" t="n">
        <f aca="false">AM6</f>
        <v>42597</v>
      </c>
      <c r="AN77" s="436" t="n">
        <f aca="false">AN6</f>
        <v>42781</v>
      </c>
      <c r="AO77" s="436" t="n">
        <f aca="false">AO6</f>
        <v>42962</v>
      </c>
      <c r="AP77" s="436" t="n">
        <f aca="false">AP6</f>
        <v>43146</v>
      </c>
      <c r="AQ77" s="436" t="n">
        <f aca="false">AQ6</f>
        <v>43327</v>
      </c>
      <c r="AR77" s="436" t="n">
        <f aca="false">AR6</f>
        <v>43511</v>
      </c>
      <c r="AS77" s="437" t="n">
        <f aca="false">AS6</f>
        <v>43692</v>
      </c>
      <c r="AT77" s="437" t="n">
        <f aca="false">AT6</f>
        <v>43876</v>
      </c>
      <c r="AU77" s="437" t="n">
        <f aca="false">AU6</f>
        <v>44196</v>
      </c>
    </row>
    <row r="78" customFormat="false" ht="12.75" hidden="false" customHeight="false" outlineLevel="0" collapsed="false">
      <c r="A78" s="1" t="s">
        <v>334</v>
      </c>
      <c r="B78" s="410" t="n">
        <f aca="false">D80</f>
        <v>0.131697577807348</v>
      </c>
      <c r="D78" s="400"/>
      <c r="F78" s="102"/>
      <c r="AS78" s="78"/>
      <c r="AT78" s="78"/>
      <c r="AU78" s="78"/>
    </row>
    <row r="79" customFormat="false" ht="12.75" hidden="false" customHeight="false" outlineLevel="0" collapsed="false">
      <c r="A79" s="1" t="s">
        <v>335</v>
      </c>
      <c r="D79" s="400" t="n">
        <f aca="false">D45</f>
        <v>-133750</v>
      </c>
      <c r="E79" s="400" t="n">
        <f aca="false">E45</f>
        <v>151.431157383647</v>
      </c>
      <c r="F79" s="102" t="n">
        <f aca="false">F44</f>
        <v>-133750</v>
      </c>
      <c r="G79" s="80" t="n">
        <f aca="false">G45</f>
        <v>4876.13738401932</v>
      </c>
      <c r="H79" s="80" t="n">
        <f aca="false">H45</f>
        <v>10466.1523205723</v>
      </c>
      <c r="I79" s="80" t="n">
        <f aca="false">I45</f>
        <v>11958.4935074202</v>
      </c>
      <c r="J79" s="80" t="n">
        <f aca="false">J45</f>
        <v>12159.2009343571</v>
      </c>
      <c r="K79" s="80" t="n">
        <f aca="false">K45</f>
        <v>11368.6337159168</v>
      </c>
      <c r="L79" s="80" t="n">
        <f aca="false">L45</f>
        <v>10392.6945437542</v>
      </c>
      <c r="M79" s="80" t="n">
        <f aca="false">M45</f>
        <v>28467.8590204413</v>
      </c>
      <c r="N79" s="80" t="n">
        <f aca="false">N45</f>
        <v>23871.058145471</v>
      </c>
      <c r="O79" s="80" t="n">
        <f aca="false">O45</f>
        <v>21835.7759789528</v>
      </c>
      <c r="P79" s="80" t="n">
        <f aca="false">P45</f>
        <v>22033.2888449879</v>
      </c>
      <c r="Q79" s="80" t="n">
        <f aca="false">Q45</f>
        <v>22018.8278168303</v>
      </c>
      <c r="R79" s="80" t="n">
        <f aca="false">R45</f>
        <v>21380.1701393227</v>
      </c>
      <c r="S79" s="80" t="n">
        <f aca="false">S45</f>
        <v>20869.4749517849</v>
      </c>
      <c r="T79" s="80" t="n">
        <f aca="false">T45</f>
        <v>20065.7921156345</v>
      </c>
      <c r="U79" s="80" t="n">
        <f aca="false">U45</f>
        <v>20782.8306348824</v>
      </c>
      <c r="V79" s="80" t="n">
        <f aca="false">V45</f>
        <v>20063.6483988033</v>
      </c>
      <c r="W79" s="80" t="n">
        <f aca="false">W45</f>
        <v>20477.7657184077</v>
      </c>
      <c r="X79" s="80" t="n">
        <f aca="false">X45</f>
        <v>18636.4965830907</v>
      </c>
      <c r="Y79" s="80" t="n">
        <f aca="false">Y45</f>
        <v>21315.046839839</v>
      </c>
      <c r="Z79" s="80" t="n">
        <f aca="false">Z45</f>
        <v>21852.1098466333</v>
      </c>
      <c r="AA79" s="80" t="n">
        <f aca="false">AA45</f>
        <v>23906.2284420384</v>
      </c>
      <c r="AB79" s="80" t="n">
        <f aca="false">AB45</f>
        <v>23488.329222457</v>
      </c>
      <c r="AC79" s="80" t="n">
        <f aca="false">AC45</f>
        <v>24279.5942515981</v>
      </c>
      <c r="AD79" s="80" t="n">
        <f aca="false">AD45</f>
        <v>23819.8235715439</v>
      </c>
      <c r="AE79" s="80" t="n">
        <f aca="false">AE45</f>
        <v>24268.0119794711</v>
      </c>
      <c r="AF79" s="80" t="n">
        <f aca="false">AF45</f>
        <v>24092.3284254795</v>
      </c>
      <c r="AG79" s="80" t="n">
        <f aca="false">AG45</f>
        <v>24472.2268980039</v>
      </c>
      <c r="AH79" s="80" t="n">
        <f aca="false">AH45</f>
        <v>24262.4154696565</v>
      </c>
      <c r="AI79" s="80" t="n">
        <f aca="false">AI45</f>
        <v>24675.3982729393</v>
      </c>
      <c r="AJ79" s="80" t="n">
        <f aca="false">AJ45</f>
        <v>23637.701764503</v>
      </c>
      <c r="AK79" s="80" t="n">
        <f aca="false">AK45</f>
        <v>21222.522593087</v>
      </c>
      <c r="AL79" s="80" t="n">
        <f aca="false">AL45</f>
        <v>21010.0816549373</v>
      </c>
      <c r="AM79" s="80" t="n">
        <f aca="false">AM45</f>
        <v>18590.4643157374</v>
      </c>
      <c r="AN79" s="80" t="n">
        <f aca="false">AN45</f>
        <v>19502.2684211238</v>
      </c>
      <c r="AO79" s="80" t="n">
        <f aca="false">AO45</f>
        <v>19963.3897082354</v>
      </c>
      <c r="AP79" s="80" t="n">
        <f aca="false">AP45</f>
        <v>22022.045737144</v>
      </c>
      <c r="AQ79" s="80" t="n">
        <f aca="false">AQ45</f>
        <v>22409.2927474106</v>
      </c>
      <c r="AR79" s="80" t="n">
        <f aca="false">AR45</f>
        <v>24426.559619013</v>
      </c>
      <c r="AS79" s="115" t="n">
        <f aca="false">AS45</f>
        <v>24487.4765808229</v>
      </c>
      <c r="AT79" s="115" t="n">
        <f aca="false">AT45</f>
        <v>34299.4126528905</v>
      </c>
      <c r="AU79" s="115" t="n">
        <f aca="false">AU45</f>
        <v>63230.2101634462</v>
      </c>
    </row>
    <row r="80" customFormat="false" ht="12.75" hidden="false" customHeight="false" outlineLevel="0" collapsed="false">
      <c r="A80" s="1" t="s">
        <v>336</v>
      </c>
      <c r="D80" s="406" t="n">
        <f aca="false">XIRR(D79:AU79,D77:AU77)</f>
        <v>0.131697577807348</v>
      </c>
      <c r="AS80" s="78"/>
      <c r="AT80" s="78"/>
      <c r="AU80" s="78"/>
    </row>
    <row r="82" customFormat="false" ht="12.75" hidden="false" customHeight="false" outlineLevel="0" collapsed="false">
      <c r="A82" s="385" t="s">
        <v>345</v>
      </c>
    </row>
    <row r="83" customFormat="false" ht="12.75" hidden="false" customHeight="false" outlineLevel="0" collapsed="false">
      <c r="A83" s="404" t="s">
        <v>324</v>
      </c>
      <c r="B83" s="405" t="n">
        <f aca="false">Assumptions!C18*$B$43</f>
        <v>18262.5</v>
      </c>
    </row>
    <row r="85" customFormat="false" ht="12.75" hidden="false" customHeight="false" outlineLevel="0" collapsed="false">
      <c r="D85" s="436" t="n">
        <f aca="false">D77</f>
        <v>36525</v>
      </c>
      <c r="E85" s="436" t="n">
        <f aca="false">E77</f>
        <v>36571</v>
      </c>
      <c r="F85" s="436" t="n">
        <f aca="false">F77</f>
        <v>36616</v>
      </c>
      <c r="G85" s="436" t="n">
        <f aca="false">G77</f>
        <v>36753</v>
      </c>
      <c r="H85" s="436" t="n">
        <f aca="false">H77</f>
        <v>36937</v>
      </c>
      <c r="I85" s="436" t="n">
        <f aca="false">I77</f>
        <v>37118</v>
      </c>
      <c r="J85" s="436" t="n">
        <f aca="false">J77</f>
        <v>37302</v>
      </c>
      <c r="K85" s="436" t="n">
        <f aca="false">K77</f>
        <v>37483</v>
      </c>
      <c r="L85" s="436" t="n">
        <f aca="false">L77</f>
        <v>37667</v>
      </c>
      <c r="M85" s="436" t="n">
        <f aca="false">M77</f>
        <v>37848</v>
      </c>
      <c r="N85" s="436" t="n">
        <f aca="false">N77</f>
        <v>38032</v>
      </c>
      <c r="O85" s="436" t="n">
        <f aca="false">O77</f>
        <v>38214</v>
      </c>
      <c r="P85" s="436" t="n">
        <f aca="false">P77</f>
        <v>38398</v>
      </c>
      <c r="Q85" s="436" t="n">
        <f aca="false">Q77</f>
        <v>38579</v>
      </c>
      <c r="R85" s="436" t="n">
        <f aca="false">R77</f>
        <v>38763</v>
      </c>
      <c r="S85" s="436" t="n">
        <f aca="false">S77</f>
        <v>38944</v>
      </c>
      <c r="T85" s="436" t="n">
        <f aca="false">T77</f>
        <v>39128</v>
      </c>
      <c r="U85" s="436" t="n">
        <f aca="false">U77</f>
        <v>39309</v>
      </c>
      <c r="V85" s="436" t="n">
        <f aca="false">V77</f>
        <v>39493</v>
      </c>
      <c r="W85" s="436" t="n">
        <f aca="false">W77</f>
        <v>39675</v>
      </c>
      <c r="X85" s="436" t="n">
        <f aca="false">X77</f>
        <v>39859</v>
      </c>
      <c r="Y85" s="436" t="n">
        <f aca="false">Y77</f>
        <v>40040</v>
      </c>
      <c r="Z85" s="436" t="n">
        <f aca="false">Z77</f>
        <v>40224</v>
      </c>
      <c r="AA85" s="436" t="n">
        <f aca="false">AA77</f>
        <v>40405</v>
      </c>
      <c r="AB85" s="436" t="n">
        <f aca="false">AB77</f>
        <v>40589</v>
      </c>
      <c r="AC85" s="436" t="n">
        <f aca="false">AC77</f>
        <v>40770</v>
      </c>
      <c r="AD85" s="436" t="n">
        <f aca="false">AD77</f>
        <v>40954</v>
      </c>
      <c r="AE85" s="436" t="n">
        <f aca="false">AE77</f>
        <v>41136</v>
      </c>
      <c r="AF85" s="436" t="n">
        <f aca="false">AF77</f>
        <v>41320</v>
      </c>
      <c r="AG85" s="436" t="n">
        <f aca="false">AG77</f>
        <v>41501</v>
      </c>
      <c r="AH85" s="436" t="n">
        <f aca="false">AH77</f>
        <v>41685</v>
      </c>
      <c r="AI85" s="436" t="n">
        <f aca="false">AI77</f>
        <v>41866</v>
      </c>
      <c r="AJ85" s="436" t="n">
        <f aca="false">AJ77</f>
        <v>42050</v>
      </c>
      <c r="AK85" s="436" t="n">
        <f aca="false">AK77</f>
        <v>42231</v>
      </c>
      <c r="AL85" s="436" t="n">
        <f aca="false">AL77</f>
        <v>42415</v>
      </c>
      <c r="AM85" s="436" t="n">
        <f aca="false">AM77</f>
        <v>42597</v>
      </c>
      <c r="AN85" s="436" t="n">
        <f aca="false">AN77</f>
        <v>42781</v>
      </c>
      <c r="AO85" s="436" t="n">
        <f aca="false">AO77</f>
        <v>42962</v>
      </c>
      <c r="AP85" s="436" t="n">
        <f aca="false">AP77</f>
        <v>43146</v>
      </c>
      <c r="AQ85" s="436" t="n">
        <f aca="false">AQ77</f>
        <v>43327</v>
      </c>
      <c r="AR85" s="436" t="n">
        <f aca="false">AR77</f>
        <v>43511</v>
      </c>
      <c r="AS85" s="436" t="n">
        <f aca="false">AS77</f>
        <v>43692</v>
      </c>
      <c r="AT85" s="436" t="n">
        <f aca="false">AT77</f>
        <v>43876</v>
      </c>
      <c r="AU85" s="436" t="n">
        <f aca="false">AU77</f>
        <v>44196</v>
      </c>
    </row>
    <row r="86" customFormat="false" ht="12.75" hidden="false" customHeight="false" outlineLevel="0" collapsed="false">
      <c r="B86" s="410" t="n">
        <f aca="false">D88</f>
        <v>0.158907566110756</v>
      </c>
      <c r="D86" s="400"/>
      <c r="F86" s="102"/>
      <c r="AS86" s="78"/>
      <c r="AT86" s="78"/>
      <c r="AU86" s="78"/>
    </row>
    <row r="87" customFormat="false" ht="12.75" hidden="false" customHeight="false" outlineLevel="0" collapsed="false">
      <c r="D87" s="400" t="n">
        <f aca="false">D45</f>
        <v>-133750</v>
      </c>
      <c r="E87" s="400" t="n">
        <f aca="false">E16</f>
        <v>0</v>
      </c>
      <c r="F87" s="102" t="n">
        <f aca="false">F44</f>
        <v>-133750</v>
      </c>
      <c r="G87" s="80" t="n">
        <f aca="false">G16*$B$43</f>
        <v>3325.24862571181</v>
      </c>
      <c r="H87" s="80" t="n">
        <f aca="false">H16*$B$43</f>
        <v>7209.72615126409</v>
      </c>
      <c r="I87" s="80" t="n">
        <f aca="false">I16*$B$43</f>
        <v>6597.3984231649</v>
      </c>
      <c r="J87" s="80" t="n">
        <f aca="false">J16*$B$43</f>
        <v>6990.79976077471</v>
      </c>
      <c r="K87" s="80" t="n">
        <f aca="false">K16*$B$43</f>
        <v>7163.70209569875</v>
      </c>
      <c r="L87" s="80" t="n">
        <f aca="false">L16*$B$43</f>
        <v>7329.1954463795</v>
      </c>
      <c r="M87" s="80" t="n">
        <f aca="false">M16*$B$43</f>
        <v>31111.5225372832</v>
      </c>
      <c r="N87" s="80" t="n">
        <f aca="false">N16*$B$43</f>
        <v>26707.4584550281</v>
      </c>
      <c r="O87" s="80" t="n">
        <f aca="false">O16*$B$43</f>
        <v>25635.860252086</v>
      </c>
      <c r="P87" s="80" t="n">
        <f aca="false">P16*$B$43</f>
        <v>26043.1417932536</v>
      </c>
      <c r="Q87" s="80" t="n">
        <f aca="false">Q16*$B$43</f>
        <v>27077.5241407581</v>
      </c>
      <c r="R87" s="80" t="n">
        <f aca="false">R16*$B$43</f>
        <v>26660.1404838561</v>
      </c>
      <c r="S87" s="80" t="n">
        <f aca="false">S16*$B$43</f>
        <v>27255.8153993462</v>
      </c>
      <c r="T87" s="80" t="n">
        <f aca="false">T16*$B$43</f>
        <v>26573.7710753118</v>
      </c>
      <c r="U87" s="80" t="n">
        <f aca="false">U16*$B$43</f>
        <v>27899.0021551399</v>
      </c>
      <c r="V87" s="80" t="n">
        <f aca="false">V16*$B$43</f>
        <v>27271.189287682</v>
      </c>
      <c r="W87" s="80" t="n">
        <f aca="false">W16*$B$43</f>
        <v>28142.1534503923</v>
      </c>
      <c r="X87" s="80" t="n">
        <f aca="false">X16*$B$43</f>
        <v>26444.4739015478</v>
      </c>
      <c r="Y87" s="80" t="n">
        <f aca="false">Y16*$B$43</f>
        <v>29840.9720906587</v>
      </c>
      <c r="Z87" s="80" t="n">
        <f aca="false">Z16*$B$43</f>
        <v>30454.2996349465</v>
      </c>
      <c r="AA87" s="80" t="n">
        <f aca="false">AA16*$B$43</f>
        <v>32889.7409178196</v>
      </c>
      <c r="AB87" s="80" t="n">
        <f aca="false">AB16*$B$43</f>
        <v>32606.3289680449</v>
      </c>
      <c r="AC87" s="80" t="n">
        <f aca="false">AC16*$B$43</f>
        <v>34070.0303462196</v>
      </c>
      <c r="AD87" s="80" t="n">
        <f aca="false">AD16*$B$43</f>
        <v>33711.4051579111</v>
      </c>
      <c r="AE87" s="80" t="n">
        <f aca="false">AE16*$B$43</f>
        <v>34665.3210245667</v>
      </c>
      <c r="AF87" s="80" t="n">
        <f aca="false">AF16*$B$43</f>
        <v>34579.507809448</v>
      </c>
      <c r="AG87" s="80" t="n">
        <f aca="false">AG16*$B$43</f>
        <v>35408.7579763371</v>
      </c>
      <c r="AH87" s="80" t="n">
        <f aca="false">AH16*$B$43</f>
        <v>35302.4527585691</v>
      </c>
      <c r="AI87" s="80" t="n">
        <f aca="false">AI16*$B$43</f>
        <v>36232.9666147489</v>
      </c>
      <c r="AJ87" s="80" t="n">
        <f aca="false">AJ16*$B$43</f>
        <v>35886.9318545409</v>
      </c>
      <c r="AK87" s="80" t="n">
        <f aca="false">AK16*$B$43</f>
        <v>36930.0614242664</v>
      </c>
      <c r="AL87" s="80" t="n">
        <f aca="false">AL16*$B$43</f>
        <v>37412.6550910349</v>
      </c>
      <c r="AM87" s="80" t="n">
        <f aca="false">AM16*$B$43</f>
        <v>38468.2107764256</v>
      </c>
      <c r="AN87" s="80" t="n">
        <f aca="false">AN16*$B$43</f>
        <v>39494.5066428653</v>
      </c>
      <c r="AO87" s="80" t="n">
        <f aca="false">AO16*$B$43</f>
        <v>40528.0867352434</v>
      </c>
      <c r="AP87" s="80" t="n">
        <f aca="false">AP16*$B$43</f>
        <v>42689.6466025176</v>
      </c>
      <c r="AQ87" s="80" t="n">
        <f aca="false">AQ16*$B$43</f>
        <v>43591.4128046127</v>
      </c>
      <c r="AR87" s="80" t="n">
        <f aca="false">AR16*$B$43</f>
        <v>45663.4010790761</v>
      </c>
      <c r="AS87" s="80" t="n">
        <f aca="false">AS16*$B$43</f>
        <v>45997.9250551916</v>
      </c>
      <c r="AT87" s="80" t="n">
        <f aca="false">AT16*$B$43</f>
        <v>55894.4074152715</v>
      </c>
      <c r="AU87" s="80" t="n">
        <f aca="false">AU16*$B$43</f>
        <v>103596.04153459</v>
      </c>
    </row>
    <row r="88" customFormat="false" ht="12.75" hidden="false" customHeight="false" outlineLevel="0" collapsed="false">
      <c r="D88" s="406" t="n">
        <f aca="false">XIRR(D87:AU87,D85:AU85)</f>
        <v>0.158907566110756</v>
      </c>
      <c r="AS88" s="78"/>
      <c r="AT88" s="78"/>
      <c r="AU88" s="78"/>
    </row>
  </sheetData>
  <printOptions headings="false" gridLines="false" gridLinesSet="true" horizontalCentered="false" verticalCentered="false"/>
  <pageMargins left="0.5" right="0.529861111111111" top="0.984027777777778" bottom="0.984027777777778" header="0.511811023622047" footer="0.511811023622047"/>
  <pageSetup paperSize="1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25" man="true" max="65535" min="0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64"/>
  <sheetViews>
    <sheetView showFormulas="false" showGridLines="true" showRowColHeaders="true" showZeros="true" rightToLeft="false" tabSelected="false" showOutlineSymbols="true" defaultGridColor="true" view="normal" topLeftCell="F54" colorId="64" zoomScale="75" zoomScaleNormal="75" zoomScalePageLayoutView="100" workbookViewId="0">
      <pane xSplit="0" ySplit="5835" topLeftCell="BM112" activePane="topLeft" state="split"/>
      <selection pane="topLeft" activeCell="F82" activeCellId="0" sqref="F82"/>
      <selection pane="bottomLeft" activeCell="F112" activeCellId="0" sqref="F1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5.99"/>
    <col collapsed="false" customWidth="true" hidden="false" outlineLevel="0" max="2" min="2" style="1" width="18.41"/>
    <col collapsed="false" customWidth="true" hidden="false" outlineLevel="0" max="6" min="3" style="1" width="14.56"/>
    <col collapsed="false" customWidth="true" hidden="false" outlineLevel="0" max="7" min="7" style="1" width="17.56"/>
    <col collapsed="false" customWidth="true" hidden="false" outlineLevel="0" max="8" min="8" style="1" width="16.13"/>
    <col collapsed="false" customWidth="true" hidden="false" outlineLevel="0" max="9" min="9" style="1" width="16.28"/>
    <col collapsed="false" customWidth="true" hidden="false" outlineLevel="0" max="22" min="10" style="1" width="14.56"/>
    <col collapsed="false" customWidth="true" hidden="false" outlineLevel="0" max="26" min="23" style="1" width="14.41"/>
    <col collapsed="false" customWidth="true" hidden="false" outlineLevel="0" max="28" min="27" style="70" width="14.41"/>
    <col collapsed="false" customWidth="true" hidden="false" outlineLevel="0" max="42" min="29" style="1" width="14.41"/>
    <col collapsed="false" customWidth="false" hidden="false" outlineLevel="0" max="257" min="43" style="1" width="9.14"/>
  </cols>
  <sheetData>
    <row r="1" customFormat="false" ht="18.75" hidden="false" customHeight="false" outlineLevel="0" collapsed="false">
      <c r="A1" s="356"/>
    </row>
    <row r="2" customFormat="false" ht="18.75" hidden="false" customHeight="false" outlineLevel="0" collapsed="false">
      <c r="A2" s="356"/>
    </row>
    <row r="4" customFormat="false" ht="15.75" hidden="false" customHeight="false" outlineLevel="0" collapsed="false">
      <c r="A4" s="438"/>
      <c r="C4" s="439" t="s">
        <v>156</v>
      </c>
      <c r="D4" s="439"/>
      <c r="E4" s="439"/>
      <c r="F4" s="439"/>
      <c r="I4" s="439" t="s">
        <v>157</v>
      </c>
      <c r="J4" s="439"/>
      <c r="K4" s="439"/>
      <c r="L4" s="439"/>
      <c r="O4" s="439" t="s">
        <v>158</v>
      </c>
      <c r="P4" s="439"/>
      <c r="Q4" s="439"/>
      <c r="R4" s="439"/>
    </row>
    <row r="5" customFormat="false" ht="12.75" hidden="false" customHeight="false" outlineLevel="0" collapsed="false">
      <c r="A5" s="438"/>
      <c r="C5" s="440" t="s">
        <v>346</v>
      </c>
      <c r="D5" s="441"/>
      <c r="E5" s="441"/>
      <c r="F5" s="442" t="n">
        <v>0.0594</v>
      </c>
      <c r="G5" s="79"/>
      <c r="I5" s="440" t="s">
        <v>347</v>
      </c>
      <c r="J5" s="441"/>
      <c r="K5" s="441"/>
      <c r="L5" s="442" t="n">
        <v>0.0622</v>
      </c>
      <c r="O5" s="440" t="s">
        <v>348</v>
      </c>
      <c r="P5" s="441"/>
      <c r="Q5" s="441"/>
      <c r="R5" s="442" t="n">
        <v>0.0631</v>
      </c>
    </row>
    <row r="6" customFormat="false" ht="12.75" hidden="false" customHeight="false" outlineLevel="0" collapsed="false">
      <c r="A6" s="438"/>
      <c r="C6" s="440" t="s">
        <v>349</v>
      </c>
      <c r="D6" s="441"/>
      <c r="E6" s="441"/>
      <c r="F6" s="442" t="n">
        <v>0.0225</v>
      </c>
      <c r="I6" s="440" t="s">
        <v>350</v>
      </c>
      <c r="J6" s="441"/>
      <c r="K6" s="441"/>
      <c r="L6" s="442" t="n">
        <v>0.035</v>
      </c>
      <c r="O6" s="440" t="s">
        <v>350</v>
      </c>
      <c r="P6" s="441"/>
      <c r="Q6" s="441"/>
      <c r="R6" s="442" t="n">
        <v>0.04125</v>
      </c>
    </row>
    <row r="7" customFormat="false" ht="12.75" hidden="false" customHeight="false" outlineLevel="0" collapsed="false">
      <c r="A7" s="438"/>
      <c r="C7" s="443" t="s">
        <v>351</v>
      </c>
      <c r="D7" s="444"/>
      <c r="E7" s="444"/>
      <c r="F7" s="445" t="n">
        <f aca="false">F6+F5</f>
        <v>0.0819</v>
      </c>
      <c r="I7" s="443" t="s">
        <v>351</v>
      </c>
      <c r="J7" s="444"/>
      <c r="K7" s="444"/>
      <c r="L7" s="445" t="n">
        <f aca="false">L5+L6</f>
        <v>0.0972</v>
      </c>
      <c r="O7" s="443" t="s">
        <v>351</v>
      </c>
      <c r="P7" s="444"/>
      <c r="Q7" s="444"/>
      <c r="R7" s="445" t="n">
        <f aca="false">R5+R6</f>
        <v>0.10435</v>
      </c>
    </row>
    <row r="8" customFormat="false" ht="15.75" hidden="false" customHeight="false" outlineLevel="0" collapsed="false">
      <c r="A8" s="438"/>
      <c r="C8" s="446" t="s">
        <v>352</v>
      </c>
      <c r="D8" s="418"/>
      <c r="E8" s="447"/>
      <c r="F8" s="448" t="n">
        <v>3.33</v>
      </c>
      <c r="I8" s="446" t="s">
        <v>353</v>
      </c>
      <c r="J8" s="449"/>
      <c r="K8" s="449"/>
      <c r="L8" s="448" t="n">
        <v>9.83</v>
      </c>
      <c r="O8" s="446" t="s">
        <v>353</v>
      </c>
      <c r="P8" s="449"/>
      <c r="Q8" s="449"/>
      <c r="R8" s="448" t="n">
        <v>19.83</v>
      </c>
    </row>
    <row r="9" customFormat="false" ht="15.75" hidden="false" customHeight="false" outlineLevel="0" collapsed="false">
      <c r="A9" s="438"/>
      <c r="C9" s="450" t="s">
        <v>354</v>
      </c>
      <c r="D9" s="424"/>
      <c r="E9" s="424"/>
      <c r="F9" s="451" t="n">
        <f aca="false">B131</f>
        <v>2.01025171232877</v>
      </c>
      <c r="I9" s="450" t="s">
        <v>355</v>
      </c>
      <c r="J9" s="452"/>
      <c r="K9" s="452"/>
      <c r="L9" s="451" t="n">
        <f aca="false">B132</f>
        <v>7.27953105022831</v>
      </c>
      <c r="O9" s="450" t="s">
        <v>356</v>
      </c>
      <c r="P9" s="452"/>
      <c r="Q9" s="452"/>
      <c r="R9" s="451" t="n">
        <f aca="false">B133</f>
        <v>15.039434304589</v>
      </c>
    </row>
    <row r="10" customFormat="false" ht="12.75" hidden="false" customHeight="false" outlineLevel="0" collapsed="false">
      <c r="A10" s="438"/>
      <c r="C10" s="453" t="s">
        <v>357</v>
      </c>
      <c r="D10" s="454"/>
      <c r="E10" s="454"/>
      <c r="F10" s="455" t="n">
        <v>81000</v>
      </c>
      <c r="I10" s="453" t="s">
        <v>357</v>
      </c>
      <c r="J10" s="456"/>
      <c r="K10" s="456"/>
      <c r="L10" s="455" t="n">
        <v>194000</v>
      </c>
      <c r="O10" s="453" t="s">
        <v>357</v>
      </c>
      <c r="P10" s="456"/>
      <c r="Q10" s="456"/>
      <c r="R10" s="455" t="n">
        <f aca="false">E160</f>
        <v>425000</v>
      </c>
    </row>
    <row r="11" customFormat="false" ht="12.75" hidden="false" customHeight="false" outlineLevel="0" collapsed="false">
      <c r="A11" s="438"/>
      <c r="C11" s="457"/>
      <c r="D11" s="441"/>
      <c r="E11" s="441"/>
      <c r="F11" s="458"/>
      <c r="I11" s="457"/>
      <c r="J11" s="457"/>
      <c r="K11" s="457"/>
      <c r="L11" s="458"/>
      <c r="O11" s="457"/>
      <c r="P11" s="457"/>
      <c r="Q11" s="457"/>
      <c r="R11" s="0"/>
    </row>
    <row r="12" customFormat="false" ht="12.75" hidden="false" customHeight="false" outlineLevel="0" collapsed="false">
      <c r="A12" s="438"/>
      <c r="C12" s="457"/>
      <c r="D12" s="441"/>
      <c r="E12" s="441"/>
      <c r="F12" s="458"/>
      <c r="I12" s="457"/>
      <c r="J12" s="457"/>
      <c r="K12" s="457"/>
      <c r="L12" s="458"/>
      <c r="O12" s="457"/>
      <c r="P12" s="457"/>
      <c r="Q12" s="457"/>
      <c r="R12" s="458"/>
    </row>
    <row r="13" customFormat="false" ht="12.75" hidden="true" customHeight="false" outlineLevel="0" collapsed="false">
      <c r="A13" s="438"/>
      <c r="C13" s="457"/>
      <c r="D13" s="441"/>
      <c r="E13" s="441"/>
      <c r="F13" s="459"/>
      <c r="I13" s="457"/>
      <c r="J13" s="457"/>
      <c r="K13" s="457"/>
      <c r="L13" s="459"/>
      <c r="O13" s="457"/>
      <c r="P13" s="457"/>
      <c r="Q13" s="457"/>
      <c r="R13" s="459"/>
    </row>
    <row r="14" customFormat="false" ht="18.75" hidden="false" customHeight="false" outlineLevel="0" collapsed="false">
      <c r="A14" s="317" t="s">
        <v>358</v>
      </c>
      <c r="C14" s="457"/>
      <c r="D14" s="441"/>
      <c r="E14" s="441"/>
      <c r="F14" s="458"/>
      <c r="I14" s="457"/>
      <c r="J14" s="457"/>
      <c r="K14" s="457"/>
      <c r="L14" s="458"/>
      <c r="O14" s="457"/>
      <c r="P14" s="457"/>
      <c r="Q14" s="457"/>
      <c r="R14" s="458"/>
    </row>
    <row r="15" customFormat="false" ht="12.75" hidden="false" customHeight="false" outlineLevel="0" collapsed="false">
      <c r="A15" s="322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460"/>
      <c r="Q15" s="460"/>
      <c r="R15" s="460"/>
      <c r="S15" s="460"/>
      <c r="T15" s="460"/>
      <c r="U15" s="460"/>
      <c r="V15" s="460"/>
      <c r="W15" s="460"/>
      <c r="X15" s="460"/>
      <c r="Y15" s="460"/>
      <c r="Z15" s="460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  <c r="EE15" s="94"/>
      <c r="EF15" s="94"/>
      <c r="EG15" s="94"/>
      <c r="EH15" s="94"/>
      <c r="EI15" s="94"/>
      <c r="EJ15" s="94"/>
      <c r="EK15" s="94"/>
      <c r="EL15" s="94"/>
      <c r="EM15" s="94"/>
      <c r="EN15" s="94"/>
      <c r="EO15" s="94"/>
      <c r="EP15" s="94"/>
      <c r="EQ15" s="94"/>
      <c r="ER15" s="94"/>
      <c r="ES15" s="94"/>
      <c r="ET15" s="94"/>
      <c r="EU15" s="94"/>
      <c r="EV15" s="94"/>
      <c r="EW15" s="94"/>
      <c r="EX15" s="94"/>
      <c r="EY15" s="94"/>
      <c r="EZ15" s="94"/>
      <c r="FA15" s="94"/>
      <c r="FB15" s="94"/>
      <c r="FC15" s="94"/>
      <c r="FD15" s="94"/>
      <c r="FE15" s="94"/>
      <c r="FF15" s="94"/>
      <c r="FG15" s="94"/>
      <c r="FH15" s="94"/>
      <c r="FI15" s="94"/>
      <c r="FJ15" s="94"/>
      <c r="FK15" s="94"/>
      <c r="FL15" s="94"/>
      <c r="FM15" s="94"/>
      <c r="FN15" s="94"/>
      <c r="FO15" s="94"/>
      <c r="FP15" s="94"/>
      <c r="FQ15" s="94"/>
      <c r="FR15" s="94"/>
      <c r="FS15" s="94"/>
      <c r="FT15" s="94"/>
      <c r="FU15" s="94"/>
      <c r="FV15" s="94"/>
      <c r="FW15" s="94"/>
      <c r="FX15" s="94"/>
      <c r="FY15" s="94"/>
      <c r="FZ15" s="94"/>
      <c r="GA15" s="94"/>
      <c r="GB15" s="94"/>
      <c r="GC15" s="94"/>
      <c r="GD15" s="94"/>
      <c r="GE15" s="94"/>
      <c r="GF15" s="94"/>
      <c r="GG15" s="94"/>
      <c r="GH15" s="94"/>
      <c r="GI15" s="94"/>
      <c r="GJ15" s="94"/>
      <c r="GK15" s="94"/>
      <c r="GL15" s="94"/>
      <c r="GM15" s="94"/>
      <c r="GN15" s="94"/>
      <c r="GO15" s="94"/>
      <c r="GP15" s="94"/>
      <c r="GQ15" s="94"/>
      <c r="GR15" s="94"/>
      <c r="GS15" s="94"/>
      <c r="GT15" s="94"/>
      <c r="GU15" s="94"/>
      <c r="GV15" s="94"/>
      <c r="GW15" s="94"/>
      <c r="GX15" s="94"/>
      <c r="GY15" s="94"/>
      <c r="GZ15" s="94"/>
      <c r="HA15" s="94"/>
      <c r="HB15" s="94"/>
      <c r="HC15" s="94"/>
      <c r="HD15" s="94"/>
      <c r="HE15" s="94"/>
      <c r="HF15" s="94"/>
      <c r="HG15" s="94"/>
      <c r="HH15" s="94"/>
      <c r="HI15" s="94"/>
      <c r="HJ15" s="94"/>
      <c r="HK15" s="94"/>
      <c r="HL15" s="94"/>
      <c r="HM15" s="94"/>
      <c r="HN15" s="94"/>
      <c r="HO15" s="94"/>
      <c r="HP15" s="94"/>
      <c r="HQ15" s="94"/>
      <c r="HR15" s="94"/>
      <c r="HS15" s="94"/>
      <c r="HT15" s="94"/>
      <c r="HU15" s="94"/>
      <c r="HV15" s="94"/>
      <c r="HW15" s="94"/>
      <c r="HX15" s="94"/>
      <c r="HY15" s="94"/>
      <c r="HZ15" s="94"/>
      <c r="IA15" s="94"/>
      <c r="IB15" s="94"/>
      <c r="IC15" s="94"/>
      <c r="ID15" s="94"/>
      <c r="IE15" s="94"/>
      <c r="IF15" s="94"/>
      <c r="IG15" s="94"/>
      <c r="IH15" s="94"/>
      <c r="II15" s="94"/>
      <c r="IJ15" s="94"/>
      <c r="IK15" s="94"/>
      <c r="IL15" s="94"/>
      <c r="IM15" s="94"/>
      <c r="IN15" s="94"/>
      <c r="IO15" s="94"/>
      <c r="IP15" s="94"/>
      <c r="IQ15" s="94"/>
      <c r="IR15" s="94"/>
      <c r="IS15" s="94"/>
      <c r="IT15" s="94"/>
      <c r="IU15" s="94"/>
      <c r="IV15" s="94"/>
      <c r="IW15" s="94"/>
    </row>
    <row r="16" customFormat="false" ht="12.75" hidden="false" customHeight="false" outlineLevel="0" collapsed="false">
      <c r="A16" s="361"/>
      <c r="B16" s="94"/>
      <c r="C16" s="94"/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460"/>
      <c r="Q16" s="460"/>
      <c r="R16" s="460"/>
      <c r="S16" s="460"/>
      <c r="T16" s="460"/>
      <c r="U16" s="460"/>
      <c r="V16" s="460"/>
      <c r="W16" s="460"/>
      <c r="X16" s="460"/>
      <c r="Y16" s="460"/>
      <c r="Z16" s="460"/>
      <c r="AA16" s="461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94"/>
      <c r="CJ16" s="94"/>
      <c r="CK16" s="94"/>
      <c r="CL16" s="94"/>
      <c r="CM16" s="94"/>
      <c r="CN16" s="94"/>
      <c r="CO16" s="94"/>
      <c r="CP16" s="94"/>
      <c r="CQ16" s="94"/>
      <c r="CR16" s="94"/>
      <c r="CS16" s="94"/>
      <c r="CT16" s="94"/>
      <c r="CU16" s="94"/>
      <c r="CV16" s="94"/>
      <c r="CW16" s="94"/>
      <c r="CX16" s="94"/>
      <c r="CY16" s="94"/>
      <c r="CZ16" s="94"/>
      <c r="DA16" s="94"/>
      <c r="DB16" s="94"/>
      <c r="DC16" s="94"/>
      <c r="DD16" s="94"/>
      <c r="DE16" s="94"/>
      <c r="DF16" s="94"/>
      <c r="DG16" s="94"/>
      <c r="DH16" s="94"/>
      <c r="DI16" s="94"/>
      <c r="DJ16" s="94"/>
      <c r="DK16" s="94"/>
      <c r="DL16" s="94"/>
      <c r="DM16" s="94"/>
      <c r="DN16" s="94"/>
      <c r="DO16" s="94"/>
      <c r="DP16" s="94"/>
      <c r="DQ16" s="94"/>
      <c r="DR16" s="94"/>
      <c r="DS16" s="94"/>
      <c r="DT16" s="94"/>
      <c r="DU16" s="94"/>
      <c r="DV16" s="94"/>
      <c r="DW16" s="94"/>
      <c r="DX16" s="94"/>
      <c r="DY16" s="94"/>
      <c r="DZ16" s="94"/>
      <c r="EA16" s="94"/>
      <c r="EB16" s="94"/>
      <c r="EC16" s="94"/>
      <c r="ED16" s="94"/>
      <c r="EE16" s="94"/>
      <c r="EF16" s="94"/>
      <c r="EG16" s="94"/>
      <c r="EH16" s="94"/>
      <c r="EI16" s="94"/>
      <c r="EJ16" s="94"/>
      <c r="EK16" s="94"/>
      <c r="EL16" s="94"/>
      <c r="EM16" s="94"/>
      <c r="EN16" s="94"/>
      <c r="EO16" s="94"/>
      <c r="EP16" s="94"/>
      <c r="EQ16" s="94"/>
      <c r="ER16" s="94"/>
      <c r="ES16" s="94"/>
      <c r="ET16" s="94"/>
      <c r="EU16" s="94"/>
      <c r="EV16" s="94"/>
      <c r="EW16" s="94"/>
      <c r="EX16" s="94"/>
      <c r="EY16" s="94"/>
      <c r="EZ16" s="94"/>
      <c r="FA16" s="94"/>
      <c r="FB16" s="94"/>
      <c r="FC16" s="94"/>
      <c r="FD16" s="94"/>
      <c r="FE16" s="94"/>
      <c r="FF16" s="94"/>
      <c r="FG16" s="94"/>
      <c r="FH16" s="94"/>
      <c r="FI16" s="94"/>
      <c r="FJ16" s="94"/>
      <c r="FK16" s="94"/>
      <c r="FL16" s="94"/>
      <c r="FM16" s="94"/>
      <c r="FN16" s="94"/>
      <c r="FO16" s="94"/>
      <c r="FP16" s="94"/>
      <c r="FQ16" s="94"/>
      <c r="FR16" s="94"/>
      <c r="FS16" s="94"/>
      <c r="FT16" s="94"/>
      <c r="FU16" s="94"/>
      <c r="FV16" s="94"/>
      <c r="FW16" s="94"/>
      <c r="FX16" s="94"/>
      <c r="FY16" s="94"/>
      <c r="FZ16" s="94"/>
      <c r="GA16" s="94"/>
      <c r="GB16" s="94"/>
      <c r="GC16" s="94"/>
      <c r="GD16" s="94"/>
      <c r="GE16" s="94"/>
      <c r="GF16" s="94"/>
      <c r="GG16" s="94"/>
      <c r="GH16" s="94"/>
      <c r="GI16" s="94"/>
      <c r="GJ16" s="94"/>
      <c r="GK16" s="94"/>
      <c r="GL16" s="94"/>
      <c r="GM16" s="94"/>
      <c r="GN16" s="94"/>
      <c r="GO16" s="94"/>
      <c r="GP16" s="94"/>
      <c r="GQ16" s="94"/>
      <c r="GR16" s="94"/>
      <c r="GS16" s="94"/>
      <c r="GT16" s="94"/>
      <c r="GU16" s="94"/>
      <c r="GV16" s="94"/>
      <c r="GW16" s="94"/>
      <c r="GX16" s="94"/>
      <c r="GY16" s="94"/>
      <c r="GZ16" s="94"/>
      <c r="HA16" s="94"/>
      <c r="HB16" s="94"/>
      <c r="HC16" s="94"/>
      <c r="HD16" s="94"/>
      <c r="HE16" s="94"/>
      <c r="HF16" s="94"/>
      <c r="HG16" s="94"/>
      <c r="HH16" s="94"/>
      <c r="HI16" s="94"/>
      <c r="HJ16" s="94"/>
      <c r="HK16" s="94"/>
      <c r="HL16" s="94"/>
      <c r="HM16" s="94"/>
      <c r="HN16" s="94"/>
      <c r="HO16" s="94"/>
      <c r="HP16" s="94"/>
      <c r="HQ16" s="94"/>
      <c r="HR16" s="94"/>
      <c r="HS16" s="94"/>
      <c r="HT16" s="94"/>
      <c r="HU16" s="94"/>
      <c r="HV16" s="94"/>
      <c r="HW16" s="94"/>
      <c r="HX16" s="94"/>
      <c r="HY16" s="94"/>
      <c r="HZ16" s="94"/>
      <c r="IA16" s="94"/>
      <c r="IB16" s="94"/>
      <c r="IC16" s="94"/>
      <c r="ID16" s="94"/>
      <c r="IE16" s="94"/>
      <c r="IF16" s="94"/>
      <c r="IG16" s="94"/>
      <c r="IH16" s="94"/>
      <c r="II16" s="94"/>
      <c r="IJ16" s="94"/>
      <c r="IK16" s="94"/>
      <c r="IL16" s="94"/>
      <c r="IM16" s="94"/>
      <c r="IN16" s="94"/>
      <c r="IO16" s="94"/>
      <c r="IP16" s="94"/>
      <c r="IQ16" s="94"/>
      <c r="IR16" s="94"/>
      <c r="IS16" s="94"/>
      <c r="IT16" s="94"/>
      <c r="IU16" s="94"/>
      <c r="IV16" s="94"/>
      <c r="IW16" s="94"/>
    </row>
    <row r="17" customFormat="false" ht="13.5" hidden="false" customHeight="false" outlineLevel="0" collapsed="false">
      <c r="A17" s="462"/>
      <c r="B17" s="463" t="n">
        <v>1</v>
      </c>
      <c r="C17" s="463" t="n">
        <f aca="false">B17+1</f>
        <v>2</v>
      </c>
      <c r="D17" s="463" t="n">
        <f aca="false">C17+1</f>
        <v>3</v>
      </c>
      <c r="E17" s="463" t="n">
        <f aca="false">D17+1</f>
        <v>4</v>
      </c>
      <c r="F17" s="463" t="n">
        <f aca="false">E17+1</f>
        <v>5</v>
      </c>
      <c r="G17" s="463" t="n">
        <f aca="false">F17+1</f>
        <v>6</v>
      </c>
      <c r="H17" s="463" t="n">
        <f aca="false">G17+1</f>
        <v>7</v>
      </c>
      <c r="I17" s="463" t="n">
        <f aca="false">H17+1</f>
        <v>8</v>
      </c>
      <c r="J17" s="463" t="n">
        <f aca="false">I17+1</f>
        <v>9</v>
      </c>
      <c r="K17" s="463" t="n">
        <f aca="false">J17+1</f>
        <v>10</v>
      </c>
      <c r="L17" s="463" t="n">
        <f aca="false">K17+1</f>
        <v>11</v>
      </c>
      <c r="M17" s="463" t="n">
        <f aca="false">L17+1</f>
        <v>12</v>
      </c>
      <c r="N17" s="463" t="n">
        <f aca="false">M17+1</f>
        <v>13</v>
      </c>
      <c r="O17" s="463" t="n">
        <f aca="false">N17+1</f>
        <v>14</v>
      </c>
      <c r="P17" s="463" t="n">
        <f aca="false">O17+1</f>
        <v>15</v>
      </c>
      <c r="Q17" s="463" t="n">
        <f aca="false">P17+1</f>
        <v>16</v>
      </c>
      <c r="R17" s="463" t="n">
        <f aca="false">Q17+1</f>
        <v>17</v>
      </c>
      <c r="S17" s="463" t="n">
        <f aca="false">R17+1</f>
        <v>18</v>
      </c>
      <c r="T17" s="463" t="n">
        <f aca="false">S17+1</f>
        <v>19</v>
      </c>
      <c r="U17" s="463" t="n">
        <f aca="false">T17+1</f>
        <v>20</v>
      </c>
      <c r="V17" s="463" t="n">
        <f aca="false">U17+1</f>
        <v>21</v>
      </c>
      <c r="W17" s="463" t="n">
        <f aca="false">V17+1</f>
        <v>22</v>
      </c>
      <c r="X17" s="463" t="n">
        <f aca="false">W17+1</f>
        <v>23</v>
      </c>
      <c r="Y17" s="463" t="n">
        <f aca="false">X17+1</f>
        <v>24</v>
      </c>
      <c r="Z17" s="463" t="n">
        <f aca="false">Y17+1</f>
        <v>25</v>
      </c>
      <c r="AA17" s="464"/>
      <c r="AB17" s="465"/>
      <c r="AC17" s="466"/>
      <c r="AD17" s="466"/>
      <c r="AE17" s="466"/>
      <c r="AF17" s="466"/>
      <c r="AG17" s="466"/>
      <c r="AH17" s="466"/>
      <c r="AI17" s="466"/>
      <c r="AJ17" s="466"/>
      <c r="AK17" s="466"/>
      <c r="AL17" s="466"/>
      <c r="AM17" s="466"/>
      <c r="AN17" s="466"/>
      <c r="AO17" s="466"/>
      <c r="AP17" s="466"/>
      <c r="AQ17" s="466"/>
      <c r="AR17" s="466"/>
      <c r="AS17" s="466"/>
      <c r="AT17" s="466"/>
      <c r="AU17" s="466"/>
      <c r="AV17" s="466"/>
      <c r="AW17" s="466"/>
      <c r="AX17" s="466"/>
      <c r="AY17" s="466"/>
      <c r="AZ17" s="466"/>
      <c r="BA17" s="466"/>
      <c r="BB17" s="466"/>
      <c r="BC17" s="466"/>
      <c r="BD17" s="466"/>
      <c r="BE17" s="466"/>
      <c r="BF17" s="466"/>
      <c r="BG17" s="466"/>
      <c r="BH17" s="466"/>
      <c r="BI17" s="466"/>
      <c r="BJ17" s="466"/>
      <c r="BK17" s="466"/>
      <c r="BL17" s="466"/>
      <c r="BM17" s="466"/>
      <c r="BN17" s="466"/>
      <c r="BO17" s="466"/>
      <c r="BP17" s="466"/>
      <c r="BQ17" s="466"/>
      <c r="BR17" s="466"/>
      <c r="BS17" s="466"/>
      <c r="BT17" s="466"/>
      <c r="BU17" s="466"/>
      <c r="BV17" s="466"/>
      <c r="BW17" s="466"/>
      <c r="BX17" s="466"/>
      <c r="BY17" s="466"/>
      <c r="BZ17" s="466"/>
      <c r="CA17" s="466"/>
      <c r="CB17" s="466"/>
      <c r="CC17" s="466"/>
      <c r="CD17" s="466"/>
      <c r="CE17" s="466"/>
      <c r="CF17" s="466"/>
      <c r="CG17" s="466"/>
      <c r="CH17" s="466"/>
      <c r="CI17" s="466"/>
      <c r="CJ17" s="466"/>
      <c r="CK17" s="466"/>
      <c r="CL17" s="466"/>
      <c r="CM17" s="466"/>
      <c r="CN17" s="466"/>
      <c r="CO17" s="466"/>
      <c r="CP17" s="466"/>
      <c r="CQ17" s="466"/>
      <c r="CR17" s="466"/>
      <c r="CS17" s="466"/>
      <c r="CT17" s="466"/>
      <c r="CU17" s="466"/>
      <c r="CV17" s="466"/>
      <c r="CW17" s="466"/>
      <c r="CX17" s="466"/>
      <c r="CY17" s="466"/>
      <c r="CZ17" s="466"/>
      <c r="DA17" s="466"/>
      <c r="DB17" s="466"/>
      <c r="DC17" s="466"/>
      <c r="DD17" s="466"/>
      <c r="DE17" s="466"/>
      <c r="DF17" s="466"/>
      <c r="DG17" s="466"/>
      <c r="DH17" s="466"/>
      <c r="DI17" s="466"/>
      <c r="DJ17" s="466"/>
      <c r="DK17" s="466"/>
      <c r="DL17" s="466"/>
      <c r="DM17" s="466"/>
      <c r="DN17" s="466"/>
      <c r="DO17" s="466"/>
      <c r="DP17" s="466"/>
      <c r="DQ17" s="466"/>
      <c r="DR17" s="466"/>
      <c r="DS17" s="466"/>
      <c r="DT17" s="466"/>
      <c r="DU17" s="466"/>
      <c r="DV17" s="466"/>
      <c r="DW17" s="466"/>
      <c r="DX17" s="466"/>
      <c r="DY17" s="466"/>
      <c r="DZ17" s="466"/>
      <c r="EA17" s="466"/>
      <c r="EB17" s="466"/>
      <c r="EC17" s="466"/>
      <c r="ED17" s="466"/>
      <c r="EE17" s="466"/>
      <c r="EF17" s="466"/>
      <c r="EG17" s="466"/>
      <c r="EH17" s="466"/>
      <c r="EI17" s="466"/>
      <c r="EJ17" s="466"/>
      <c r="EK17" s="466"/>
      <c r="EL17" s="466"/>
      <c r="EM17" s="466"/>
      <c r="EN17" s="466"/>
      <c r="EO17" s="466"/>
      <c r="EP17" s="466"/>
      <c r="EQ17" s="466"/>
      <c r="ER17" s="466"/>
      <c r="ES17" s="466"/>
      <c r="ET17" s="466"/>
      <c r="EU17" s="466"/>
      <c r="EV17" s="466"/>
      <c r="EW17" s="466"/>
      <c r="EX17" s="466"/>
      <c r="EY17" s="466"/>
      <c r="EZ17" s="466"/>
      <c r="FA17" s="466"/>
      <c r="FB17" s="466"/>
      <c r="FC17" s="466"/>
      <c r="FD17" s="466"/>
      <c r="FE17" s="466"/>
      <c r="FF17" s="466"/>
      <c r="FG17" s="466"/>
      <c r="FH17" s="466"/>
      <c r="FI17" s="466"/>
      <c r="FJ17" s="466"/>
      <c r="FK17" s="466"/>
      <c r="FL17" s="466"/>
      <c r="FM17" s="466"/>
      <c r="FN17" s="466"/>
      <c r="FO17" s="466"/>
      <c r="FP17" s="466"/>
      <c r="FQ17" s="466"/>
      <c r="FR17" s="466"/>
      <c r="FS17" s="466"/>
      <c r="FT17" s="466"/>
      <c r="FU17" s="466"/>
      <c r="FV17" s="466"/>
      <c r="FW17" s="466"/>
      <c r="FX17" s="466"/>
      <c r="FY17" s="466"/>
      <c r="FZ17" s="466"/>
      <c r="GA17" s="466"/>
      <c r="GB17" s="466"/>
      <c r="GC17" s="466"/>
      <c r="GD17" s="466"/>
      <c r="GE17" s="466"/>
      <c r="GF17" s="466"/>
      <c r="GG17" s="466"/>
      <c r="GH17" s="466"/>
      <c r="GI17" s="466"/>
      <c r="GJ17" s="466"/>
      <c r="GK17" s="466"/>
      <c r="GL17" s="466"/>
      <c r="GM17" s="466"/>
      <c r="GN17" s="466"/>
      <c r="GO17" s="466"/>
      <c r="GP17" s="466"/>
      <c r="GQ17" s="466"/>
      <c r="GR17" s="466"/>
      <c r="GS17" s="466"/>
      <c r="GT17" s="466"/>
      <c r="GU17" s="466"/>
      <c r="GV17" s="466"/>
      <c r="GW17" s="466"/>
      <c r="GX17" s="466"/>
      <c r="GY17" s="466"/>
      <c r="GZ17" s="466"/>
      <c r="HA17" s="466"/>
      <c r="HB17" s="466"/>
      <c r="HC17" s="466"/>
      <c r="HD17" s="466"/>
      <c r="HE17" s="466"/>
      <c r="HF17" s="466"/>
      <c r="HG17" s="466"/>
      <c r="HH17" s="466"/>
      <c r="HI17" s="466"/>
      <c r="HJ17" s="466"/>
      <c r="HK17" s="466"/>
      <c r="HL17" s="466"/>
      <c r="HM17" s="466"/>
      <c r="HN17" s="466"/>
      <c r="HO17" s="466"/>
      <c r="HP17" s="466"/>
      <c r="HQ17" s="466"/>
      <c r="HR17" s="466"/>
      <c r="HS17" s="466"/>
      <c r="HT17" s="466"/>
      <c r="HU17" s="466"/>
      <c r="HV17" s="466"/>
      <c r="HW17" s="466"/>
      <c r="HX17" s="466"/>
      <c r="HY17" s="466"/>
      <c r="HZ17" s="466"/>
      <c r="IA17" s="466"/>
      <c r="IB17" s="466"/>
      <c r="IC17" s="466"/>
      <c r="ID17" s="466"/>
      <c r="IE17" s="466"/>
      <c r="IF17" s="466"/>
      <c r="IG17" s="466"/>
      <c r="IH17" s="466"/>
      <c r="II17" s="466"/>
      <c r="IJ17" s="466"/>
      <c r="IK17" s="466"/>
      <c r="IL17" s="466"/>
      <c r="IM17" s="466"/>
      <c r="IN17" s="466"/>
      <c r="IO17" s="466"/>
      <c r="IP17" s="466"/>
      <c r="IQ17" s="466"/>
      <c r="IR17" s="466"/>
      <c r="IS17" s="466"/>
      <c r="IT17" s="466"/>
      <c r="IU17" s="466"/>
      <c r="IV17" s="466"/>
      <c r="IW17" s="466"/>
    </row>
    <row r="18" customFormat="false" ht="13.5" hidden="false" customHeight="false" outlineLevel="0" collapsed="false">
      <c r="A18" s="319" t="s">
        <v>269</v>
      </c>
      <c r="B18" s="467" t="n">
        <v>36525</v>
      </c>
      <c r="C18" s="468" t="n">
        <v>2000</v>
      </c>
      <c r="D18" s="468" t="n">
        <v>2001</v>
      </c>
      <c r="E18" s="468" t="n">
        <v>2002</v>
      </c>
      <c r="F18" s="468" t="n">
        <v>2003</v>
      </c>
      <c r="G18" s="468" t="n">
        <v>2004</v>
      </c>
      <c r="H18" s="468" t="n">
        <v>2005</v>
      </c>
      <c r="I18" s="468" t="n">
        <v>2006</v>
      </c>
      <c r="J18" s="468" t="n">
        <v>2007</v>
      </c>
      <c r="K18" s="468" t="n">
        <v>2008</v>
      </c>
      <c r="L18" s="468" t="n">
        <v>2009</v>
      </c>
      <c r="M18" s="468" t="n">
        <v>2010</v>
      </c>
      <c r="N18" s="468" t="n">
        <v>2011</v>
      </c>
      <c r="O18" s="468" t="n">
        <v>2012</v>
      </c>
      <c r="P18" s="468" t="n">
        <v>2013</v>
      </c>
      <c r="Q18" s="468" t="n">
        <v>2014</v>
      </c>
      <c r="R18" s="468" t="n">
        <v>2015</v>
      </c>
      <c r="S18" s="468" t="n">
        <v>2016</v>
      </c>
      <c r="T18" s="468" t="n">
        <v>2017</v>
      </c>
      <c r="U18" s="468" t="n">
        <v>2018</v>
      </c>
      <c r="V18" s="468" t="n">
        <v>2019</v>
      </c>
      <c r="W18" s="0"/>
      <c r="X18" s="0"/>
      <c r="Y18" s="0"/>
      <c r="Z18" s="0"/>
      <c r="AA18" s="385"/>
      <c r="AB18" s="395"/>
      <c r="AC18" s="385"/>
      <c r="AD18" s="385"/>
      <c r="AE18" s="385"/>
      <c r="AF18" s="385"/>
      <c r="AG18" s="385"/>
      <c r="AH18" s="385"/>
    </row>
    <row r="19" customFormat="false" ht="12.75" hidden="false" customHeight="false" outlineLevel="0" collapsed="false">
      <c r="A19" s="469"/>
      <c r="B19" s="469"/>
      <c r="C19" s="469"/>
      <c r="D19" s="469"/>
      <c r="E19" s="469"/>
      <c r="F19" s="469"/>
      <c r="G19" s="469"/>
      <c r="H19" s="469"/>
      <c r="I19" s="469"/>
      <c r="J19" s="469"/>
      <c r="K19" s="469"/>
      <c r="L19" s="469"/>
      <c r="M19" s="469"/>
      <c r="N19" s="469"/>
      <c r="O19" s="469"/>
      <c r="P19" s="469"/>
      <c r="Q19" s="469"/>
      <c r="R19" s="469"/>
      <c r="S19" s="469"/>
      <c r="T19" s="469"/>
      <c r="U19" s="469"/>
      <c r="V19" s="469"/>
      <c r="W19" s="0"/>
      <c r="X19" s="0"/>
      <c r="Y19" s="0"/>
      <c r="Z19" s="0"/>
      <c r="AA19" s="321"/>
      <c r="AB19" s="395"/>
      <c r="AC19" s="385"/>
      <c r="AD19" s="385"/>
      <c r="AE19" s="385"/>
      <c r="AF19" s="385"/>
      <c r="AG19" s="385"/>
      <c r="AH19" s="385"/>
      <c r="AI19" s="470"/>
      <c r="AJ19" s="470"/>
      <c r="AK19" s="470"/>
      <c r="AL19" s="470"/>
      <c r="AM19" s="470"/>
      <c r="AN19" s="470"/>
      <c r="AO19" s="470"/>
      <c r="AP19" s="470"/>
      <c r="AQ19" s="470"/>
      <c r="AR19" s="470"/>
      <c r="AS19" s="470"/>
      <c r="AT19" s="470"/>
      <c r="AU19" s="470"/>
      <c r="AV19" s="470"/>
      <c r="AW19" s="470"/>
      <c r="AX19" s="470"/>
      <c r="AY19" s="470"/>
      <c r="AZ19" s="470"/>
      <c r="BA19" s="470"/>
      <c r="BB19" s="470"/>
      <c r="BC19" s="470"/>
      <c r="BD19" s="470"/>
      <c r="BE19" s="470"/>
      <c r="BF19" s="470"/>
      <c r="BG19" s="470"/>
      <c r="BH19" s="470"/>
      <c r="BI19" s="470"/>
      <c r="BJ19" s="470"/>
      <c r="BK19" s="470"/>
      <c r="BL19" s="470"/>
      <c r="BM19" s="470"/>
      <c r="BN19" s="470"/>
      <c r="BO19" s="470"/>
      <c r="BP19" s="470"/>
      <c r="BQ19" s="470"/>
      <c r="BR19" s="470"/>
      <c r="BS19" s="470"/>
      <c r="BT19" s="470"/>
      <c r="BU19" s="470"/>
      <c r="BV19" s="470"/>
      <c r="BW19" s="470"/>
      <c r="BX19" s="470"/>
      <c r="BY19" s="470"/>
      <c r="BZ19" s="470"/>
      <c r="CA19" s="470"/>
      <c r="CB19" s="470"/>
      <c r="CC19" s="470"/>
      <c r="CD19" s="470"/>
      <c r="CE19" s="470"/>
      <c r="CF19" s="470"/>
      <c r="CG19" s="470"/>
      <c r="CH19" s="470"/>
      <c r="CI19" s="470"/>
      <c r="CJ19" s="470"/>
      <c r="CK19" s="470"/>
      <c r="CL19" s="470"/>
      <c r="CM19" s="470"/>
      <c r="CN19" s="470"/>
      <c r="CO19" s="470"/>
      <c r="CP19" s="470"/>
      <c r="CQ19" s="470"/>
      <c r="CR19" s="470"/>
      <c r="CS19" s="470"/>
      <c r="CT19" s="470"/>
      <c r="CU19" s="470"/>
      <c r="CV19" s="470"/>
      <c r="CW19" s="470"/>
      <c r="CX19" s="470"/>
      <c r="CY19" s="470"/>
      <c r="CZ19" s="470"/>
      <c r="DA19" s="470"/>
      <c r="DB19" s="470"/>
      <c r="DC19" s="470"/>
      <c r="DD19" s="470"/>
      <c r="DE19" s="470"/>
      <c r="DF19" s="470"/>
      <c r="DG19" s="470"/>
      <c r="DH19" s="470"/>
      <c r="DI19" s="470"/>
      <c r="DJ19" s="470"/>
      <c r="DK19" s="470"/>
      <c r="DL19" s="470"/>
      <c r="DM19" s="470"/>
      <c r="DN19" s="470"/>
      <c r="DO19" s="470"/>
      <c r="DP19" s="470"/>
      <c r="DQ19" s="470"/>
      <c r="DR19" s="470"/>
      <c r="DS19" s="470"/>
      <c r="DT19" s="470"/>
      <c r="DU19" s="470"/>
      <c r="DV19" s="470"/>
      <c r="DW19" s="470"/>
      <c r="DX19" s="470"/>
      <c r="DY19" s="470"/>
      <c r="DZ19" s="470"/>
      <c r="EA19" s="470"/>
      <c r="EB19" s="470"/>
      <c r="EC19" s="470"/>
      <c r="ED19" s="470"/>
      <c r="EE19" s="470"/>
      <c r="EF19" s="470"/>
      <c r="EG19" s="470"/>
      <c r="EH19" s="470"/>
      <c r="EI19" s="470"/>
      <c r="EJ19" s="470"/>
      <c r="EK19" s="470"/>
      <c r="EL19" s="470"/>
      <c r="EM19" s="470"/>
      <c r="EN19" s="470"/>
      <c r="EO19" s="470"/>
      <c r="EP19" s="470"/>
      <c r="EQ19" s="470"/>
      <c r="ER19" s="470"/>
      <c r="ES19" s="470"/>
      <c r="ET19" s="470"/>
      <c r="EU19" s="470"/>
      <c r="EV19" s="470"/>
      <c r="EW19" s="470"/>
      <c r="EX19" s="470"/>
      <c r="EY19" s="470"/>
      <c r="EZ19" s="470"/>
      <c r="FA19" s="470"/>
      <c r="FB19" s="470"/>
      <c r="FC19" s="470"/>
      <c r="FD19" s="470"/>
      <c r="FE19" s="470"/>
      <c r="FF19" s="470"/>
      <c r="FG19" s="470"/>
      <c r="FH19" s="470"/>
      <c r="FI19" s="470"/>
      <c r="FJ19" s="470"/>
      <c r="FK19" s="470"/>
      <c r="FL19" s="470"/>
      <c r="FM19" s="470"/>
      <c r="FN19" s="470"/>
      <c r="FO19" s="470"/>
      <c r="FP19" s="470"/>
      <c r="FQ19" s="470"/>
      <c r="FR19" s="470"/>
      <c r="FS19" s="470"/>
      <c r="FT19" s="470"/>
      <c r="FU19" s="470"/>
      <c r="FV19" s="470"/>
      <c r="FW19" s="470"/>
      <c r="FX19" s="470"/>
      <c r="FY19" s="470"/>
      <c r="FZ19" s="470"/>
      <c r="GA19" s="470"/>
      <c r="GB19" s="470"/>
      <c r="GC19" s="470"/>
      <c r="GD19" s="470"/>
      <c r="GE19" s="470"/>
      <c r="GF19" s="470"/>
      <c r="GG19" s="470"/>
      <c r="GH19" s="470"/>
      <c r="GI19" s="470"/>
      <c r="GJ19" s="470"/>
      <c r="GK19" s="470"/>
      <c r="GL19" s="470"/>
      <c r="GM19" s="470"/>
      <c r="GN19" s="470"/>
      <c r="GO19" s="470"/>
      <c r="GP19" s="470"/>
      <c r="GQ19" s="470"/>
      <c r="GR19" s="470"/>
      <c r="GS19" s="470"/>
      <c r="GT19" s="470"/>
      <c r="GU19" s="470"/>
      <c r="GV19" s="470"/>
      <c r="GW19" s="470"/>
      <c r="GX19" s="470"/>
      <c r="GY19" s="470"/>
      <c r="GZ19" s="470"/>
      <c r="HA19" s="470"/>
      <c r="HB19" s="470"/>
      <c r="HC19" s="470"/>
      <c r="HD19" s="470"/>
      <c r="HE19" s="470"/>
      <c r="HF19" s="470"/>
      <c r="HG19" s="470"/>
      <c r="HH19" s="470"/>
      <c r="HI19" s="470"/>
      <c r="HJ19" s="470"/>
      <c r="HK19" s="470"/>
      <c r="HL19" s="470"/>
      <c r="HM19" s="470"/>
      <c r="HN19" s="470"/>
      <c r="HO19" s="470"/>
      <c r="HP19" s="470"/>
      <c r="HQ19" s="470"/>
      <c r="HR19" s="470"/>
      <c r="HS19" s="470"/>
      <c r="HT19" s="470"/>
      <c r="HU19" s="470"/>
      <c r="HV19" s="470"/>
      <c r="HW19" s="470"/>
      <c r="HX19" s="470"/>
      <c r="HY19" s="470"/>
      <c r="HZ19" s="470"/>
      <c r="IA19" s="470"/>
      <c r="IB19" s="470"/>
      <c r="IC19" s="470"/>
      <c r="ID19" s="470"/>
      <c r="IE19" s="470"/>
      <c r="IF19" s="470"/>
      <c r="IG19" s="470"/>
      <c r="IH19" s="470"/>
      <c r="II19" s="470"/>
      <c r="IJ19" s="470"/>
      <c r="IK19" s="470"/>
      <c r="IL19" s="470"/>
      <c r="IM19" s="470"/>
      <c r="IN19" s="470"/>
      <c r="IO19" s="470"/>
      <c r="IP19" s="470"/>
      <c r="IQ19" s="470"/>
      <c r="IR19" s="470"/>
      <c r="IS19" s="470"/>
      <c r="IT19" s="470"/>
      <c r="IU19" s="470"/>
      <c r="IV19" s="470"/>
      <c r="IW19" s="470"/>
    </row>
    <row r="20" customFormat="false" ht="12.75" hidden="false" customHeight="false" outlineLevel="0" collapsed="false">
      <c r="R20" s="94"/>
      <c r="S20" s="94"/>
      <c r="T20" s="94"/>
      <c r="U20" s="94"/>
      <c r="V20" s="94"/>
      <c r="W20" s="0"/>
      <c r="X20" s="0"/>
      <c r="Y20" s="0"/>
      <c r="Z20" s="0"/>
    </row>
    <row r="21" customFormat="false" ht="12.75" hidden="false" customHeight="false" outlineLevel="0" collapsed="false">
      <c r="A21" s="438" t="s">
        <v>359</v>
      </c>
      <c r="B21" s="471" t="n">
        <v>0</v>
      </c>
      <c r="C21" s="471" t="n">
        <v>0.107</v>
      </c>
      <c r="D21" s="471" t="n">
        <v>0.317</v>
      </c>
      <c r="E21" s="471" t="n">
        <v>0.337</v>
      </c>
      <c r="F21" s="471" t="n">
        <f aca="false">1-SUM(B21:E21)</f>
        <v>0.239</v>
      </c>
      <c r="G21" s="472"/>
      <c r="H21" s="472"/>
      <c r="I21" s="472"/>
      <c r="J21" s="472"/>
      <c r="K21" s="472"/>
      <c r="L21" s="472"/>
      <c r="M21" s="472"/>
      <c r="N21" s="472"/>
      <c r="O21" s="472"/>
      <c r="P21" s="472"/>
      <c r="Q21" s="472"/>
      <c r="R21" s="472"/>
      <c r="S21" s="472"/>
      <c r="T21" s="472"/>
      <c r="U21" s="472"/>
      <c r="V21" s="472"/>
      <c r="W21" s="0"/>
      <c r="X21" s="0"/>
      <c r="Y21" s="0"/>
      <c r="Z21" s="0"/>
      <c r="AA21" s="473"/>
      <c r="AB21" s="474"/>
      <c r="AC21" s="475"/>
      <c r="AD21" s="475"/>
      <c r="AE21" s="475"/>
      <c r="AF21" s="475"/>
      <c r="AG21" s="475"/>
      <c r="AH21" s="475"/>
    </row>
    <row r="22" customFormat="false" ht="12.75" hidden="false" customHeight="false" outlineLevel="0" collapsed="false">
      <c r="A22" s="476" t="str">
        <f aca="false">IF(SUM(B21:U21)&lt;&gt;1,"CHECK!","")</f>
        <v/>
      </c>
      <c r="B22" s="477"/>
      <c r="C22" s="477"/>
      <c r="D22" s="477"/>
      <c r="E22" s="477"/>
      <c r="F22" s="477"/>
      <c r="G22" s="478"/>
      <c r="H22" s="478"/>
      <c r="I22" s="478"/>
      <c r="J22" s="478"/>
      <c r="K22" s="478"/>
      <c r="L22" s="477"/>
      <c r="M22" s="477"/>
      <c r="N22" s="477"/>
      <c r="O22" s="477"/>
      <c r="P22" s="477"/>
      <c r="Q22" s="477"/>
      <c r="R22" s="477"/>
      <c r="S22" s="477"/>
      <c r="T22" s="477"/>
      <c r="U22" s="477"/>
      <c r="V22" s="477"/>
      <c r="W22" s="0"/>
      <c r="X22" s="0"/>
      <c r="Y22" s="0"/>
      <c r="Z22" s="0"/>
    </row>
    <row r="23" customFormat="false" ht="12.75" hidden="false" customHeight="false" outlineLevel="0" collapsed="false">
      <c r="A23" s="438" t="s">
        <v>360</v>
      </c>
      <c r="B23" s="479" t="n">
        <f aca="false">SUM(B190,B195,B200)/$B$189</f>
        <v>0</v>
      </c>
      <c r="C23" s="479" t="n">
        <v>0</v>
      </c>
      <c r="D23" s="479" t="n">
        <v>0</v>
      </c>
      <c r="E23" s="479" t="n">
        <v>0</v>
      </c>
      <c r="F23" s="479" t="n">
        <v>0</v>
      </c>
      <c r="G23" s="479" t="n">
        <v>0.1115</v>
      </c>
      <c r="H23" s="479" t="n">
        <v>0.131</v>
      </c>
      <c r="I23" s="479" t="n">
        <v>0.147</v>
      </c>
      <c r="J23" s="479" t="n">
        <v>0.172</v>
      </c>
      <c r="K23" s="479" t="n">
        <v>0.195</v>
      </c>
      <c r="L23" s="479" t="n">
        <f aca="false">1-SUM(F23:K23)</f>
        <v>0.2435</v>
      </c>
      <c r="M23" s="0"/>
      <c r="N23" s="480"/>
      <c r="O23" s="480"/>
      <c r="P23" s="480"/>
      <c r="Q23" s="480"/>
      <c r="R23" s="480"/>
      <c r="S23" s="480"/>
      <c r="T23" s="480"/>
      <c r="U23" s="480"/>
      <c r="V23" s="480"/>
      <c r="W23" s="0"/>
      <c r="X23" s="0"/>
      <c r="Y23" s="0"/>
      <c r="Z23" s="0"/>
      <c r="AA23" s="481"/>
    </row>
    <row r="24" customFormat="false" ht="12.75" hidden="false" customHeight="false" outlineLevel="0" collapsed="false">
      <c r="A24" s="476" t="str">
        <f aca="false">IF(SUM(B23:U23)&lt;&gt;1,"CHECK!","")</f>
        <v/>
      </c>
      <c r="B24" s="477"/>
      <c r="C24" s="477"/>
      <c r="D24" s="477"/>
      <c r="E24" s="477"/>
      <c r="F24" s="477"/>
      <c r="G24" s="477"/>
      <c r="H24" s="477"/>
      <c r="I24" s="477"/>
      <c r="J24" s="477"/>
      <c r="K24" s="477"/>
      <c r="L24" s="477"/>
      <c r="M24" s="477"/>
      <c r="N24" s="477"/>
      <c r="O24" s="477"/>
      <c r="P24" s="477"/>
      <c r="Q24" s="477"/>
      <c r="R24" s="477"/>
      <c r="S24" s="477"/>
      <c r="T24" s="477"/>
      <c r="U24" s="477"/>
      <c r="V24" s="477"/>
      <c r="W24" s="0"/>
      <c r="X24" s="0"/>
      <c r="Y24" s="0"/>
      <c r="Z24" s="0"/>
    </row>
    <row r="25" customFormat="false" ht="12.75" hidden="false" customHeight="false" outlineLevel="0" collapsed="false">
      <c r="A25" s="438" t="s">
        <v>361</v>
      </c>
      <c r="B25" s="479" t="n">
        <f aca="false">SUM(B77,B82,B87)/$R$10</f>
        <v>0</v>
      </c>
      <c r="C25" s="479" t="n">
        <v>0</v>
      </c>
      <c r="D25" s="479" t="n">
        <v>0</v>
      </c>
      <c r="E25" s="479" t="n">
        <v>0</v>
      </c>
      <c r="F25" s="479" t="n">
        <v>0</v>
      </c>
      <c r="G25" s="479" t="n">
        <v>0</v>
      </c>
      <c r="H25" s="479" t="n">
        <v>0</v>
      </c>
      <c r="I25" s="479" t="n">
        <v>0</v>
      </c>
      <c r="J25" s="479" t="n">
        <v>0</v>
      </c>
      <c r="K25" s="479" t="n">
        <v>0</v>
      </c>
      <c r="L25" s="479" t="n">
        <v>0</v>
      </c>
      <c r="M25" s="479" t="n">
        <v>0.0763064479004261</v>
      </c>
      <c r="N25" s="479" t="n">
        <v>0.0848251950892006</v>
      </c>
      <c r="O25" s="479" t="n">
        <v>0.0934467351884843</v>
      </c>
      <c r="P25" s="479" t="n">
        <v>0.099651055116767</v>
      </c>
      <c r="Q25" s="479" t="n">
        <v>0.106491188555533</v>
      </c>
      <c r="R25" s="479" t="n">
        <v>0.116056650922774</v>
      </c>
      <c r="S25" s="479" t="n">
        <v>0.118322086025788</v>
      </c>
      <c r="T25" s="479" t="n">
        <v>0.115575814552606</v>
      </c>
      <c r="U25" s="479" t="n">
        <v>0.101896046822598</v>
      </c>
      <c r="V25" s="479" t="n">
        <f aca="false">1-SUM(B25:U25)</f>
        <v>0.0874287798258224</v>
      </c>
      <c r="W25" s="0"/>
      <c r="X25" s="0"/>
      <c r="Y25" s="0"/>
      <c r="Z25" s="0"/>
      <c r="AA25" s="481"/>
      <c r="AC25" s="78"/>
      <c r="AD25" s="78"/>
      <c r="AE25" s="78"/>
      <c r="AF25" s="78"/>
      <c r="AG25" s="78"/>
      <c r="AH25" s="78"/>
    </row>
    <row r="26" customFormat="false" ht="12.75" hidden="false" customHeight="false" outlineLevel="0" collapsed="false">
      <c r="A26" s="476" t="str">
        <f aca="false">IF(SUM(B25:V25)&lt;&gt;1,"CHECK!","")</f>
        <v/>
      </c>
      <c r="C26" s="406"/>
      <c r="D26" s="406"/>
      <c r="E26" s="406"/>
      <c r="F26" s="406"/>
      <c r="G26" s="406"/>
      <c r="H26" s="406"/>
      <c r="I26" s="406"/>
      <c r="J26" s="406"/>
      <c r="K26" s="406"/>
      <c r="L26" s="406"/>
      <c r="M26" s="406"/>
      <c r="N26" s="406"/>
      <c r="O26" s="406"/>
      <c r="P26" s="406"/>
      <c r="Q26" s="406"/>
      <c r="R26" s="406"/>
      <c r="S26" s="406"/>
      <c r="T26" s="406"/>
      <c r="U26" s="406"/>
      <c r="V26" s="406"/>
      <c r="W26" s="0"/>
      <c r="X26" s="0"/>
      <c r="Y26" s="0"/>
      <c r="Z26" s="0"/>
    </row>
    <row r="27" customFormat="false" ht="12.75" hidden="false" customHeight="false" outlineLevel="0" collapsed="false">
      <c r="A27" s="476"/>
      <c r="B27" s="430"/>
      <c r="C27" s="430"/>
      <c r="D27" s="430"/>
      <c r="E27" s="430"/>
      <c r="F27" s="430"/>
      <c r="G27" s="430"/>
      <c r="H27" s="430"/>
      <c r="I27" s="430"/>
      <c r="J27" s="430"/>
      <c r="K27" s="430"/>
      <c r="L27" s="430"/>
      <c r="M27" s="430"/>
      <c r="N27" s="430"/>
      <c r="O27" s="430"/>
      <c r="P27" s="430"/>
      <c r="Q27" s="430"/>
      <c r="R27" s="430"/>
      <c r="S27" s="430"/>
      <c r="T27" s="430"/>
      <c r="U27" s="430"/>
      <c r="V27" s="430"/>
      <c r="W27" s="0"/>
      <c r="X27" s="0"/>
      <c r="Y27" s="0"/>
      <c r="Z27" s="0"/>
    </row>
    <row r="28" customFormat="false" ht="12.75" hidden="false" customHeight="false" outlineLevel="0" collapsed="false">
      <c r="A28" s="482" t="str">
        <f aca="false">CONCATENATE("Tranche 1 @ ",F7*100,"%")</f>
        <v>Tranche 1 @ 8.19%</v>
      </c>
      <c r="C28" s="483"/>
      <c r="W28" s="0"/>
      <c r="X28" s="0"/>
      <c r="Y28" s="0"/>
      <c r="Z28" s="0"/>
    </row>
    <row r="29" customFormat="false" ht="12.75" hidden="false" customHeight="false" outlineLevel="0" collapsed="false">
      <c r="A29" s="391" t="s">
        <v>362</v>
      </c>
      <c r="B29" s="431"/>
      <c r="W29" s="0"/>
      <c r="X29" s="0"/>
      <c r="Y29" s="0"/>
      <c r="Z29" s="0"/>
    </row>
    <row r="30" customFormat="false" ht="12.75" hidden="false" customHeight="false" outlineLevel="0" collapsed="false">
      <c r="A30" s="431" t="s">
        <v>363</v>
      </c>
      <c r="B30" s="484" t="n">
        <f aca="false">F10</f>
        <v>81000</v>
      </c>
      <c r="C30" s="431" t="n">
        <f aca="false">B43</f>
        <v>81000</v>
      </c>
      <c r="D30" s="431" t="n">
        <f aca="false">C43</f>
        <v>72333</v>
      </c>
      <c r="E30" s="431" t="n">
        <f aca="false">D43</f>
        <v>46656</v>
      </c>
      <c r="F30" s="431" t="n">
        <f aca="false">E43</f>
        <v>19359</v>
      </c>
      <c r="G30" s="431" t="n">
        <f aca="false">F43</f>
        <v>0</v>
      </c>
      <c r="H30" s="431" t="n">
        <f aca="false">G43</f>
        <v>0</v>
      </c>
      <c r="I30" s="431" t="n">
        <f aca="false">H43</f>
        <v>0</v>
      </c>
      <c r="J30" s="431" t="n">
        <f aca="false">I43</f>
        <v>0</v>
      </c>
      <c r="K30" s="431" t="n">
        <f aca="false">J43</f>
        <v>0</v>
      </c>
      <c r="L30" s="431" t="n">
        <f aca="false">K43</f>
        <v>0</v>
      </c>
      <c r="M30" s="431" t="n">
        <f aca="false">L43</f>
        <v>0</v>
      </c>
      <c r="N30" s="431" t="n">
        <f aca="false">M43</f>
        <v>0</v>
      </c>
      <c r="O30" s="431" t="n">
        <f aca="false">N43</f>
        <v>0</v>
      </c>
      <c r="P30" s="431" t="n">
        <f aca="false">O43</f>
        <v>0</v>
      </c>
      <c r="Q30" s="431" t="n">
        <f aca="false">P43</f>
        <v>0</v>
      </c>
      <c r="R30" s="431" t="n">
        <f aca="false">Q43</f>
        <v>0</v>
      </c>
      <c r="S30" s="431" t="n">
        <f aca="false">R43</f>
        <v>0</v>
      </c>
      <c r="T30" s="431" t="n">
        <f aca="false">S43</f>
        <v>0</v>
      </c>
      <c r="U30" s="431" t="n">
        <f aca="false">T43</f>
        <v>0</v>
      </c>
      <c r="V30" s="431" t="n">
        <f aca="false">U43</f>
        <v>0</v>
      </c>
      <c r="W30" s="0"/>
      <c r="X30" s="0"/>
      <c r="Y30" s="0"/>
      <c r="Z30" s="0"/>
      <c r="AA30" s="485"/>
      <c r="AB30" s="485"/>
      <c r="AC30" s="431"/>
      <c r="AD30" s="431"/>
      <c r="AE30" s="431"/>
      <c r="AF30" s="431"/>
      <c r="AG30" s="431"/>
      <c r="AH30" s="431"/>
    </row>
    <row r="31" customFormat="false" ht="12.75" hidden="false" customHeight="false" outlineLevel="0" collapsed="false">
      <c r="A31" s="431" t="s">
        <v>364</v>
      </c>
      <c r="B31" s="431" t="n">
        <v>0</v>
      </c>
      <c r="C31" s="431" t="n">
        <f aca="false">$B$30*C21*1/12</f>
        <v>722.25</v>
      </c>
      <c r="D31" s="431" t="n">
        <f aca="false">$B$30*D21*5.5/12</f>
        <v>11768.625</v>
      </c>
      <c r="E31" s="431" t="n">
        <f aca="false">$B$30*E21*6/12</f>
        <v>13648.5</v>
      </c>
      <c r="F31" s="431" t="n">
        <f aca="false">$B$30*F21*12/12</f>
        <v>19359</v>
      </c>
      <c r="G31" s="431" t="n">
        <f aca="false">$B$30*G21*7/12</f>
        <v>0</v>
      </c>
      <c r="H31" s="431" t="n">
        <f aca="false">$B$30*H21*7/12</f>
        <v>0</v>
      </c>
      <c r="I31" s="431" t="n">
        <f aca="false">$B$30*I21*7/12</f>
        <v>0</v>
      </c>
      <c r="J31" s="431" t="n">
        <f aca="false">$B$30*J21*7/12</f>
        <v>0</v>
      </c>
      <c r="K31" s="431" t="n">
        <f aca="false">$B$30*K21*7/12</f>
        <v>0</v>
      </c>
      <c r="L31" s="431" t="n">
        <f aca="false">$B$30*L21*7/12</f>
        <v>0</v>
      </c>
      <c r="M31" s="431" t="n">
        <f aca="false">$B$30*M21*7/12</f>
        <v>0</v>
      </c>
      <c r="N31" s="431" t="n">
        <f aca="false">$B$30*N21*7/12</f>
        <v>0</v>
      </c>
      <c r="O31" s="431" t="n">
        <f aca="false">$B$30*O21*7/12</f>
        <v>0</v>
      </c>
      <c r="P31" s="431" t="n">
        <f aca="false">$B$30*P21*7/12</f>
        <v>0</v>
      </c>
      <c r="Q31" s="431" t="n">
        <f aca="false">$B$30*Q21*7/12</f>
        <v>0</v>
      </c>
      <c r="R31" s="431" t="n">
        <f aca="false">$B$30*R21*7/12</f>
        <v>0</v>
      </c>
      <c r="S31" s="431" t="n">
        <f aca="false">$B$30*S21*7/12</f>
        <v>0</v>
      </c>
      <c r="T31" s="431" t="n">
        <f aca="false">$B$30*T21*7/12</f>
        <v>0</v>
      </c>
      <c r="U31" s="431" t="n">
        <f aca="false">$B$30*U21*7/12</f>
        <v>0</v>
      </c>
      <c r="V31" s="431" t="n">
        <f aca="false">$B$30*V21*7/12</f>
        <v>0</v>
      </c>
      <c r="W31" s="0"/>
      <c r="X31" s="0"/>
      <c r="Y31" s="0"/>
      <c r="Z31" s="0"/>
      <c r="AA31" s="485"/>
      <c r="AB31" s="485"/>
      <c r="AC31" s="431"/>
      <c r="AD31" s="431"/>
      <c r="AE31" s="431"/>
      <c r="AF31" s="431"/>
      <c r="AG31" s="431"/>
      <c r="AH31" s="431"/>
    </row>
    <row r="32" customFormat="false" ht="12.75" hidden="false" customHeight="false" outlineLevel="0" collapsed="false">
      <c r="A32" s="431" t="s">
        <v>365</v>
      </c>
      <c r="B32" s="486" t="n">
        <v>0</v>
      </c>
      <c r="C32" s="431" t="n">
        <f aca="false">C30*$F$7*1/12</f>
        <v>552.825</v>
      </c>
      <c r="D32" s="431" t="n">
        <f aca="false">D30*$F$7*1/12</f>
        <v>493.672725</v>
      </c>
      <c r="E32" s="431" t="n">
        <f aca="false">E30*$F$7*1/12</f>
        <v>318.4272</v>
      </c>
      <c r="F32" s="431" t="n">
        <f aca="false">F30*$F$7*1/12</f>
        <v>132.125175</v>
      </c>
      <c r="G32" s="431" t="n">
        <f aca="false">G30*$F$7*1/12</f>
        <v>0</v>
      </c>
      <c r="H32" s="431" t="n">
        <f aca="false">H30*$F$7*1/12</f>
        <v>0</v>
      </c>
      <c r="I32" s="431" t="n">
        <f aca="false">I30*$F$7*1/12</f>
        <v>0</v>
      </c>
      <c r="J32" s="431" t="n">
        <f aca="false">J30*$F$7*1/12</f>
        <v>0</v>
      </c>
      <c r="K32" s="431" t="n">
        <f aca="false">K30*$F$7*1/12</f>
        <v>0</v>
      </c>
      <c r="L32" s="431" t="n">
        <f aca="false">L30*$F$7*1/12</f>
        <v>0</v>
      </c>
      <c r="M32" s="431" t="n">
        <f aca="false">M30*$F$7*1/12</f>
        <v>0</v>
      </c>
      <c r="N32" s="431" t="n">
        <f aca="false">N30*$F$7*1/12</f>
        <v>0</v>
      </c>
      <c r="O32" s="431" t="n">
        <f aca="false">O30*$F$7*1/12</f>
        <v>0</v>
      </c>
      <c r="P32" s="431" t="n">
        <f aca="false">P30*$F$7*1/12</f>
        <v>0</v>
      </c>
      <c r="Q32" s="431" t="n">
        <f aca="false">Q30*$F$7*1/12</f>
        <v>0</v>
      </c>
      <c r="R32" s="431" t="n">
        <f aca="false">R30*$F$7*1/12</f>
        <v>0</v>
      </c>
      <c r="S32" s="431" t="n">
        <f aca="false">S30*$F$7*1/12</f>
        <v>0</v>
      </c>
      <c r="T32" s="431" t="n">
        <f aca="false">T30*$F$7*1/12</f>
        <v>0</v>
      </c>
      <c r="U32" s="431" t="n">
        <f aca="false">U30*$F$7*1/12</f>
        <v>0</v>
      </c>
      <c r="V32" s="431" t="n">
        <f aca="false">V30*$F$7*1/12</f>
        <v>0</v>
      </c>
      <c r="W32" s="0"/>
      <c r="X32" s="0"/>
      <c r="Y32" s="0"/>
      <c r="Z32" s="0"/>
      <c r="AA32" s="485"/>
      <c r="AB32" s="485"/>
      <c r="AC32" s="431"/>
      <c r="AD32" s="431"/>
      <c r="AE32" s="431"/>
      <c r="AF32" s="431"/>
      <c r="AG32" s="431"/>
      <c r="AH32" s="431"/>
    </row>
    <row r="33" customFormat="false" ht="12.75" hidden="false" customHeight="false" outlineLevel="0" collapsed="false">
      <c r="A33" s="431" t="s">
        <v>366</v>
      </c>
      <c r="B33" s="486" t="n">
        <f aca="false">B30-B31</f>
        <v>81000</v>
      </c>
      <c r="C33" s="431" t="n">
        <f aca="false">C30-C31-B41</f>
        <v>80277.75</v>
      </c>
      <c r="D33" s="431" t="n">
        <f aca="false">D30-D31</f>
        <v>60564.375</v>
      </c>
      <c r="E33" s="431" t="n">
        <f aca="false">E30-E31</f>
        <v>33007.5</v>
      </c>
      <c r="F33" s="431" t="n">
        <f aca="false">F30-F31</f>
        <v>0</v>
      </c>
      <c r="G33" s="431" t="n">
        <f aca="false">G30-G31</f>
        <v>0</v>
      </c>
      <c r="H33" s="431" t="n">
        <f aca="false">H30-H31</f>
        <v>0</v>
      </c>
      <c r="I33" s="431" t="n">
        <f aca="false">I30-I31</f>
        <v>0</v>
      </c>
      <c r="J33" s="431" t="n">
        <f aca="false">J30-J31</f>
        <v>0</v>
      </c>
      <c r="K33" s="431" t="n">
        <f aca="false">K30-K31</f>
        <v>0</v>
      </c>
      <c r="L33" s="431" t="n">
        <f aca="false">L30-L31</f>
        <v>0</v>
      </c>
      <c r="M33" s="431" t="n">
        <f aca="false">M30-M31</f>
        <v>0</v>
      </c>
      <c r="N33" s="431" t="n">
        <f aca="false">N30-N31</f>
        <v>0</v>
      </c>
      <c r="O33" s="431" t="n">
        <f aca="false">O30-O31</f>
        <v>0</v>
      </c>
      <c r="P33" s="431" t="n">
        <f aca="false">P30-P31</f>
        <v>0</v>
      </c>
      <c r="Q33" s="431" t="n">
        <f aca="false">Q30-Q31</f>
        <v>0</v>
      </c>
      <c r="R33" s="431" t="n">
        <f aca="false">R30-R31</f>
        <v>0</v>
      </c>
      <c r="S33" s="431" t="n">
        <f aca="false">S30-S31</f>
        <v>0</v>
      </c>
      <c r="T33" s="431" t="n">
        <f aca="false">T30-T31</f>
        <v>0</v>
      </c>
      <c r="U33" s="431" t="n">
        <f aca="false">U30-U31</f>
        <v>0</v>
      </c>
      <c r="V33" s="431" t="n">
        <f aca="false">V30-V31</f>
        <v>0</v>
      </c>
      <c r="W33" s="0"/>
      <c r="X33" s="0"/>
      <c r="Y33" s="0"/>
      <c r="Z33" s="0"/>
      <c r="AA33" s="485"/>
      <c r="AB33" s="485"/>
      <c r="AC33" s="431"/>
      <c r="AD33" s="431"/>
      <c r="AE33" s="431"/>
      <c r="AF33" s="431"/>
      <c r="AG33" s="431"/>
      <c r="AH33" s="431"/>
    </row>
    <row r="34" customFormat="false" ht="12.75" hidden="false" customHeight="false" outlineLevel="0" collapsed="false">
      <c r="A34" s="391" t="s">
        <v>367</v>
      </c>
      <c r="B34" s="486"/>
      <c r="C34" s="431"/>
      <c r="D34" s="431"/>
      <c r="E34" s="431"/>
      <c r="F34" s="431"/>
      <c r="G34" s="431"/>
      <c r="H34" s="431"/>
      <c r="I34" s="431"/>
      <c r="J34" s="431"/>
      <c r="K34" s="431"/>
      <c r="L34" s="431"/>
      <c r="M34" s="431"/>
      <c r="N34" s="431"/>
      <c r="O34" s="431"/>
      <c r="P34" s="431"/>
      <c r="Q34" s="431"/>
      <c r="R34" s="431"/>
      <c r="S34" s="431"/>
      <c r="T34" s="431"/>
      <c r="U34" s="431"/>
      <c r="V34" s="431"/>
      <c r="W34" s="0"/>
      <c r="X34" s="0"/>
      <c r="Y34" s="0"/>
      <c r="Z34" s="0"/>
      <c r="AA34" s="485"/>
      <c r="AB34" s="485"/>
      <c r="AC34" s="431"/>
      <c r="AD34" s="431"/>
      <c r="AE34" s="431"/>
      <c r="AF34" s="431"/>
      <c r="AG34" s="431"/>
      <c r="AH34" s="431"/>
    </row>
    <row r="35" customFormat="false" ht="12.75" hidden="false" customHeight="false" outlineLevel="0" collapsed="false">
      <c r="A35" s="431" t="s">
        <v>363</v>
      </c>
      <c r="B35" s="486" t="n">
        <f aca="false">B33</f>
        <v>81000</v>
      </c>
      <c r="C35" s="431" t="n">
        <f aca="false">C33</f>
        <v>80277.75</v>
      </c>
      <c r="D35" s="431" t="n">
        <f aca="false">D33</f>
        <v>60564.375</v>
      </c>
      <c r="E35" s="431" t="n">
        <f aca="false">E33</f>
        <v>33007.5</v>
      </c>
      <c r="F35" s="431" t="n">
        <f aca="false">F33</f>
        <v>0</v>
      </c>
      <c r="G35" s="431" t="n">
        <f aca="false">G33</f>
        <v>0</v>
      </c>
      <c r="H35" s="431" t="n">
        <f aca="false">H33</f>
        <v>0</v>
      </c>
      <c r="I35" s="431" t="n">
        <f aca="false">I33</f>
        <v>0</v>
      </c>
      <c r="J35" s="431" t="n">
        <f aca="false">J33</f>
        <v>0</v>
      </c>
      <c r="K35" s="431" t="n">
        <f aca="false">K33</f>
        <v>0</v>
      </c>
      <c r="L35" s="431" t="n">
        <f aca="false">L33</f>
        <v>0</v>
      </c>
      <c r="M35" s="431" t="n">
        <f aca="false">M33</f>
        <v>0</v>
      </c>
      <c r="N35" s="431" t="n">
        <f aca="false">N33</f>
        <v>0</v>
      </c>
      <c r="O35" s="431" t="n">
        <f aca="false">O33</f>
        <v>0</v>
      </c>
      <c r="P35" s="431" t="n">
        <f aca="false">P33</f>
        <v>0</v>
      </c>
      <c r="Q35" s="431" t="n">
        <f aca="false">Q33</f>
        <v>0</v>
      </c>
      <c r="R35" s="431" t="n">
        <f aca="false">R33</f>
        <v>0</v>
      </c>
      <c r="S35" s="431" t="n">
        <f aca="false">S33</f>
        <v>0</v>
      </c>
      <c r="T35" s="431" t="n">
        <f aca="false">T33</f>
        <v>0</v>
      </c>
      <c r="U35" s="431" t="n">
        <f aca="false">U33</f>
        <v>0</v>
      </c>
      <c r="V35" s="431" t="n">
        <f aca="false">V33</f>
        <v>0</v>
      </c>
      <c r="W35" s="0"/>
      <c r="X35" s="0"/>
      <c r="Y35" s="0"/>
      <c r="Z35" s="0"/>
      <c r="AA35" s="485"/>
      <c r="AB35" s="485"/>
      <c r="AC35" s="431"/>
      <c r="AD35" s="431"/>
      <c r="AE35" s="431"/>
      <c r="AF35" s="431"/>
      <c r="AG35" s="431"/>
      <c r="AH35" s="431"/>
    </row>
    <row r="36" customFormat="false" ht="12.75" hidden="false" customHeight="false" outlineLevel="0" collapsed="false">
      <c r="A36" s="431" t="s">
        <v>364</v>
      </c>
      <c r="B36" s="486" t="n">
        <v>0</v>
      </c>
      <c r="C36" s="431" t="n">
        <f aca="false">$B$30*C21*11/12</f>
        <v>7944.75</v>
      </c>
      <c r="D36" s="431" t="n">
        <f aca="false">$B$30*D21*6.5/12</f>
        <v>13908.375</v>
      </c>
      <c r="E36" s="431" t="n">
        <f aca="false">$B$30*E21*6/12</f>
        <v>13648.5</v>
      </c>
      <c r="F36" s="431" t="n">
        <f aca="false">$B$30*F21*0/12</f>
        <v>0</v>
      </c>
      <c r="G36" s="431" t="n">
        <f aca="false">$B$30*G21*5/12</f>
        <v>0</v>
      </c>
      <c r="H36" s="431" t="n">
        <f aca="false">$B$30*H21*5/12</f>
        <v>0</v>
      </c>
      <c r="I36" s="431" t="n">
        <f aca="false">$B$30*I21*5/12</f>
        <v>0</v>
      </c>
      <c r="J36" s="431" t="n">
        <f aca="false">$B$30*J21*5/12</f>
        <v>0</v>
      </c>
      <c r="K36" s="431" t="n">
        <f aca="false">$B$30*K21*5/12</f>
        <v>0</v>
      </c>
      <c r="L36" s="431" t="n">
        <f aca="false">$B$30*L21*5/12</f>
        <v>0</v>
      </c>
      <c r="M36" s="431" t="n">
        <f aca="false">$B$30*M21*5/12</f>
        <v>0</v>
      </c>
      <c r="N36" s="431" t="n">
        <f aca="false">$B$30*N21*5/12</f>
        <v>0</v>
      </c>
      <c r="O36" s="431" t="n">
        <f aca="false">$B$30*O21*5/12</f>
        <v>0</v>
      </c>
      <c r="P36" s="431" t="n">
        <f aca="false">$B$30*P21*5/12</f>
        <v>0</v>
      </c>
      <c r="Q36" s="431" t="n">
        <f aca="false">$B$30*Q21*5/12</f>
        <v>0</v>
      </c>
      <c r="R36" s="431" t="n">
        <f aca="false">$B$30*R21*5/12</f>
        <v>0</v>
      </c>
      <c r="S36" s="431" t="n">
        <f aca="false">$B$30*S21*5/12</f>
        <v>0</v>
      </c>
      <c r="T36" s="431" t="n">
        <f aca="false">$B$30*T21*5/12</f>
        <v>0</v>
      </c>
      <c r="U36" s="431" t="n">
        <f aca="false">$B$30*U21*5/12</f>
        <v>0</v>
      </c>
      <c r="V36" s="431" t="n">
        <f aca="false">$B$30*V21*5/12</f>
        <v>0</v>
      </c>
      <c r="W36" s="0"/>
      <c r="X36" s="0"/>
      <c r="Y36" s="0"/>
      <c r="Z36" s="0"/>
      <c r="AA36" s="485"/>
      <c r="AB36" s="485"/>
      <c r="AC36" s="431"/>
      <c r="AD36" s="431"/>
      <c r="AE36" s="431"/>
      <c r="AF36" s="431"/>
      <c r="AG36" s="431"/>
      <c r="AH36" s="431"/>
    </row>
    <row r="37" customFormat="false" ht="12.75" hidden="false" customHeight="false" outlineLevel="0" collapsed="false">
      <c r="A37" s="431" t="s">
        <v>365</v>
      </c>
      <c r="B37" s="486" t="n">
        <v>0</v>
      </c>
      <c r="C37" s="431" t="n">
        <f aca="false">C35*$F$7*0.5</f>
        <v>3287.3738625</v>
      </c>
      <c r="D37" s="431" t="n">
        <f aca="false">D35*$F$7*0.5</f>
        <v>2480.11115625</v>
      </c>
      <c r="E37" s="431" t="n">
        <f aca="false">E35*$F$7*0.5</f>
        <v>1351.657125</v>
      </c>
      <c r="F37" s="431" t="n">
        <f aca="false">F35*$F$7*0.5</f>
        <v>0</v>
      </c>
      <c r="G37" s="431" t="n">
        <f aca="false">G35*$F$7*0.5</f>
        <v>0</v>
      </c>
      <c r="H37" s="431" t="n">
        <f aca="false">H35*$F$7*0.5</f>
        <v>0</v>
      </c>
      <c r="I37" s="431" t="n">
        <f aca="false">I35*$F$7*0.5</f>
        <v>0</v>
      </c>
      <c r="J37" s="431" t="n">
        <f aca="false">J35*$F$7*0.5</f>
        <v>0</v>
      </c>
      <c r="K37" s="431" t="n">
        <f aca="false">K35*$F$7*0.5</f>
        <v>0</v>
      </c>
      <c r="L37" s="431" t="n">
        <f aca="false">L35*$F$7*0.5</f>
        <v>0</v>
      </c>
      <c r="M37" s="431" t="n">
        <f aca="false">M35*$F$7*0.5</f>
        <v>0</v>
      </c>
      <c r="N37" s="431" t="n">
        <f aca="false">N35*$F$7*0.5</f>
        <v>0</v>
      </c>
      <c r="O37" s="431" t="n">
        <f aca="false">O35*$F$7*0.5</f>
        <v>0</v>
      </c>
      <c r="P37" s="431" t="n">
        <f aca="false">P35*$F$7*0.5</f>
        <v>0</v>
      </c>
      <c r="Q37" s="431" t="n">
        <f aca="false">Q35*$F$7*0.5</f>
        <v>0</v>
      </c>
      <c r="R37" s="431" t="n">
        <f aca="false">R35*$F$7*0.5</f>
        <v>0</v>
      </c>
      <c r="S37" s="431" t="n">
        <f aca="false">S35*$F$7*0.5</f>
        <v>0</v>
      </c>
      <c r="T37" s="431" t="n">
        <f aca="false">T35*$F$7*0.5</f>
        <v>0</v>
      </c>
      <c r="U37" s="431" t="n">
        <f aca="false">U35*$F$7*0.5</f>
        <v>0</v>
      </c>
      <c r="V37" s="431" t="n">
        <f aca="false">V35*$F$7*0.5</f>
        <v>0</v>
      </c>
      <c r="W37" s="0"/>
      <c r="X37" s="0"/>
      <c r="Y37" s="0"/>
      <c r="Z37" s="0"/>
      <c r="AA37" s="485"/>
      <c r="AB37" s="485"/>
      <c r="AC37" s="431"/>
      <c r="AD37" s="431"/>
      <c r="AE37" s="431"/>
      <c r="AF37" s="431"/>
      <c r="AG37" s="431"/>
      <c r="AH37" s="431"/>
    </row>
    <row r="38" customFormat="false" ht="12.75" hidden="false" customHeight="false" outlineLevel="0" collapsed="false">
      <c r="A38" s="431" t="s">
        <v>366</v>
      </c>
      <c r="B38" s="486" t="n">
        <f aca="false">B35-B36</f>
        <v>81000</v>
      </c>
      <c r="C38" s="431" t="n">
        <f aca="false">C35-C36</f>
        <v>72333</v>
      </c>
      <c r="D38" s="431" t="n">
        <f aca="false">D35-D36</f>
        <v>46656</v>
      </c>
      <c r="E38" s="431" t="n">
        <f aca="false">E35-E36</f>
        <v>19359</v>
      </c>
      <c r="F38" s="431" t="n">
        <f aca="false">F35-F36</f>
        <v>0</v>
      </c>
      <c r="G38" s="431" t="n">
        <f aca="false">G35-G36</f>
        <v>0</v>
      </c>
      <c r="H38" s="431" t="n">
        <f aca="false">H35-H36</f>
        <v>0</v>
      </c>
      <c r="I38" s="431" t="n">
        <f aca="false">I35-I36</f>
        <v>0</v>
      </c>
      <c r="J38" s="431" t="n">
        <f aca="false">J35-J36</f>
        <v>0</v>
      </c>
      <c r="K38" s="431" t="n">
        <f aca="false">K35-K36</f>
        <v>0</v>
      </c>
      <c r="L38" s="431" t="n">
        <f aca="false">L35-L36</f>
        <v>0</v>
      </c>
      <c r="M38" s="431" t="n">
        <f aca="false">M35-M36</f>
        <v>0</v>
      </c>
      <c r="N38" s="431" t="n">
        <f aca="false">N35-N36</f>
        <v>0</v>
      </c>
      <c r="O38" s="431" t="n">
        <f aca="false">O35-O36</f>
        <v>0</v>
      </c>
      <c r="P38" s="431" t="n">
        <f aca="false">P35-P36</f>
        <v>0</v>
      </c>
      <c r="Q38" s="431" t="n">
        <f aca="false">Q35-Q36</f>
        <v>0</v>
      </c>
      <c r="R38" s="431" t="n">
        <f aca="false">R35-R36</f>
        <v>0</v>
      </c>
      <c r="S38" s="431" t="n">
        <f aca="false">S35-S36</f>
        <v>0</v>
      </c>
      <c r="T38" s="431" t="n">
        <f aca="false">T35-T36</f>
        <v>0</v>
      </c>
      <c r="U38" s="431" t="n">
        <f aca="false">U35-U36</f>
        <v>0</v>
      </c>
      <c r="V38" s="431" t="n">
        <f aca="false">V35-V36</f>
        <v>0</v>
      </c>
      <c r="W38" s="0"/>
      <c r="X38" s="0"/>
      <c r="Y38" s="0"/>
      <c r="Z38" s="0"/>
      <c r="AA38" s="485"/>
      <c r="AB38" s="485"/>
      <c r="AC38" s="431"/>
      <c r="AD38" s="431"/>
      <c r="AE38" s="431"/>
      <c r="AF38" s="431"/>
      <c r="AG38" s="431"/>
      <c r="AH38" s="431"/>
    </row>
    <row r="39" customFormat="false" ht="12.75" hidden="false" customHeight="false" outlineLevel="0" collapsed="false">
      <c r="A39" s="487" t="s">
        <v>368</v>
      </c>
      <c r="B39" s="486"/>
      <c r="C39" s="431"/>
      <c r="D39" s="431"/>
      <c r="E39" s="431"/>
      <c r="F39" s="431"/>
      <c r="G39" s="431"/>
      <c r="H39" s="431"/>
      <c r="I39" s="431"/>
      <c r="J39" s="431"/>
      <c r="K39" s="431"/>
      <c r="L39" s="431"/>
      <c r="M39" s="431"/>
      <c r="N39" s="431"/>
      <c r="O39" s="431"/>
      <c r="P39" s="431"/>
      <c r="Q39" s="431"/>
      <c r="R39" s="431"/>
      <c r="S39" s="431"/>
      <c r="T39" s="431"/>
      <c r="U39" s="431"/>
      <c r="V39" s="431"/>
      <c r="W39" s="0"/>
      <c r="X39" s="0"/>
      <c r="Y39" s="0"/>
      <c r="Z39" s="0"/>
      <c r="AA39" s="485"/>
      <c r="AB39" s="485"/>
      <c r="AC39" s="431"/>
      <c r="AD39" s="431"/>
      <c r="AE39" s="431"/>
      <c r="AF39" s="431"/>
      <c r="AG39" s="431"/>
      <c r="AH39" s="431"/>
    </row>
    <row r="40" customFormat="false" ht="12.75" hidden="false" customHeight="false" outlineLevel="0" collapsed="false">
      <c r="A40" s="431" t="s">
        <v>363</v>
      </c>
      <c r="B40" s="486" t="n">
        <f aca="false">B38</f>
        <v>81000</v>
      </c>
      <c r="C40" s="431" t="n">
        <f aca="false">C38</f>
        <v>72333</v>
      </c>
      <c r="D40" s="431" t="n">
        <f aca="false">D38</f>
        <v>46656</v>
      </c>
      <c r="E40" s="431" t="n">
        <f aca="false">E38</f>
        <v>19359</v>
      </c>
      <c r="F40" s="431" t="n">
        <f aca="false">F38</f>
        <v>0</v>
      </c>
      <c r="G40" s="431" t="n">
        <f aca="false">G38</f>
        <v>0</v>
      </c>
      <c r="H40" s="431" t="n">
        <f aca="false">H38</f>
        <v>0</v>
      </c>
      <c r="I40" s="431" t="n">
        <f aca="false">I38</f>
        <v>0</v>
      </c>
      <c r="J40" s="431" t="n">
        <f aca="false">J38</f>
        <v>0</v>
      </c>
      <c r="K40" s="431" t="n">
        <f aca="false">K38</f>
        <v>0</v>
      </c>
      <c r="L40" s="431" t="n">
        <f aca="false">L38</f>
        <v>0</v>
      </c>
      <c r="M40" s="431" t="n">
        <f aca="false">M38</f>
        <v>0</v>
      </c>
      <c r="N40" s="431" t="n">
        <f aca="false">N38</f>
        <v>0</v>
      </c>
      <c r="O40" s="431" t="n">
        <f aca="false">O38</f>
        <v>0</v>
      </c>
      <c r="P40" s="431" t="n">
        <f aca="false">P38</f>
        <v>0</v>
      </c>
      <c r="Q40" s="431" t="n">
        <f aca="false">Q38</f>
        <v>0</v>
      </c>
      <c r="R40" s="431" t="n">
        <f aca="false">R38</f>
        <v>0</v>
      </c>
      <c r="S40" s="431" t="n">
        <f aca="false">S38</f>
        <v>0</v>
      </c>
      <c r="T40" s="431" t="n">
        <f aca="false">T38</f>
        <v>0</v>
      </c>
      <c r="U40" s="431" t="n">
        <f aca="false">U38</f>
        <v>0</v>
      </c>
      <c r="V40" s="431" t="n">
        <f aca="false">V38</f>
        <v>0</v>
      </c>
      <c r="W40" s="0"/>
      <c r="X40" s="0"/>
      <c r="Y40" s="0"/>
      <c r="Z40" s="0"/>
      <c r="AA40" s="485"/>
      <c r="AB40" s="485"/>
      <c r="AC40" s="431"/>
      <c r="AD40" s="431"/>
      <c r="AE40" s="431"/>
      <c r="AF40" s="431"/>
      <c r="AG40" s="431"/>
      <c r="AH40" s="431"/>
    </row>
    <row r="41" customFormat="false" ht="12.75" hidden="false" customHeight="false" outlineLevel="0" collapsed="false">
      <c r="A41" s="431" t="s">
        <v>369</v>
      </c>
      <c r="B41" s="486" t="n">
        <f aca="false">B30*B21</f>
        <v>0</v>
      </c>
      <c r="C41" s="431" t="n">
        <v>0</v>
      </c>
      <c r="D41" s="431" t="n">
        <v>0</v>
      </c>
      <c r="E41" s="431" t="n">
        <v>0</v>
      </c>
      <c r="F41" s="431" t="n">
        <v>0</v>
      </c>
      <c r="G41" s="431" t="n">
        <v>0</v>
      </c>
      <c r="H41" s="431" t="n">
        <v>0</v>
      </c>
      <c r="I41" s="431" t="n">
        <v>0</v>
      </c>
      <c r="J41" s="431" t="n">
        <v>0</v>
      </c>
      <c r="K41" s="431" t="n">
        <v>0</v>
      </c>
      <c r="L41" s="431" t="n">
        <v>0</v>
      </c>
      <c r="M41" s="431" t="n">
        <v>0</v>
      </c>
      <c r="N41" s="431" t="n">
        <v>0</v>
      </c>
      <c r="O41" s="431" t="n">
        <v>0</v>
      </c>
      <c r="P41" s="431" t="n">
        <v>0</v>
      </c>
      <c r="Q41" s="431" t="n">
        <v>0</v>
      </c>
      <c r="R41" s="431" t="n">
        <v>0</v>
      </c>
      <c r="S41" s="431" t="n">
        <v>0</v>
      </c>
      <c r="T41" s="431" t="n">
        <v>0</v>
      </c>
      <c r="U41" s="431" t="n">
        <v>0</v>
      </c>
      <c r="V41" s="431" t="n">
        <v>0</v>
      </c>
      <c r="W41" s="0"/>
      <c r="X41" s="0"/>
      <c r="Y41" s="0"/>
      <c r="Z41" s="0"/>
      <c r="AA41" s="485"/>
      <c r="AB41" s="485"/>
      <c r="AC41" s="431"/>
      <c r="AD41" s="431"/>
      <c r="AE41" s="431"/>
      <c r="AF41" s="431"/>
      <c r="AG41" s="431"/>
      <c r="AH41" s="431"/>
    </row>
    <row r="42" customFormat="false" ht="12.75" hidden="false" customHeight="false" outlineLevel="0" collapsed="false">
      <c r="A42" s="431" t="s">
        <v>370</v>
      </c>
      <c r="B42" s="486" t="n">
        <f aca="false">B40*$F$7*(13-MONTH(Assumptions!C17))/12*0</f>
        <v>0</v>
      </c>
      <c r="C42" s="431" t="n">
        <f aca="false">C40*$F$7*5/12</f>
        <v>2468.363625</v>
      </c>
      <c r="D42" s="431" t="n">
        <f aca="false">D40*$F$7*5/12</f>
        <v>1592.136</v>
      </c>
      <c r="E42" s="431" t="n">
        <f aca="false">E40*$F$7*5/12</f>
        <v>660.625875</v>
      </c>
      <c r="F42" s="431" t="n">
        <f aca="false">F40*$F$7*5/12</f>
        <v>0</v>
      </c>
      <c r="G42" s="431" t="n">
        <f aca="false">G40*$F$7*5/12</f>
        <v>0</v>
      </c>
      <c r="H42" s="431" t="n">
        <f aca="false">H40*$F$7*5/12</f>
        <v>0</v>
      </c>
      <c r="I42" s="431" t="n">
        <f aca="false">I40*$F$7*5/12</f>
        <v>0</v>
      </c>
      <c r="J42" s="431" t="n">
        <f aca="false">J40*$F$7*5/12</f>
        <v>0</v>
      </c>
      <c r="K42" s="431" t="n">
        <f aca="false">K40*$F$7*5/12</f>
        <v>0</v>
      </c>
      <c r="L42" s="431" t="n">
        <f aca="false">L40*$F$7*5/12</f>
        <v>0</v>
      </c>
      <c r="M42" s="431" t="n">
        <f aca="false">M40*$F$7*5/12</f>
        <v>0</v>
      </c>
      <c r="N42" s="431" t="n">
        <f aca="false">N40*$F$7*5/12</f>
        <v>0</v>
      </c>
      <c r="O42" s="431" t="n">
        <f aca="false">O40*$F$7*5/12</f>
        <v>0</v>
      </c>
      <c r="P42" s="431" t="n">
        <f aca="false">P40*$F$7*5/12</f>
        <v>0</v>
      </c>
      <c r="Q42" s="431" t="n">
        <f aca="false">Q40*$F$7*5/12</f>
        <v>0</v>
      </c>
      <c r="R42" s="431" t="n">
        <f aca="false">R40*$F$7*5/12</f>
        <v>0</v>
      </c>
      <c r="S42" s="431" t="n">
        <f aca="false">S40*$F$7*5/12</f>
        <v>0</v>
      </c>
      <c r="T42" s="431" t="n">
        <f aca="false">T40*$F$7*5/12</f>
        <v>0</v>
      </c>
      <c r="U42" s="431" t="n">
        <f aca="false">U40*$F$7*5/12</f>
        <v>0</v>
      </c>
      <c r="V42" s="431" t="n">
        <f aca="false">V40*$F$7*5/12</f>
        <v>0</v>
      </c>
      <c r="W42" s="0"/>
      <c r="X42" s="0"/>
      <c r="Y42" s="0"/>
      <c r="Z42" s="0"/>
      <c r="AA42" s="485"/>
      <c r="AB42" s="485"/>
      <c r="AC42" s="431"/>
      <c r="AD42" s="431"/>
      <c r="AE42" s="431"/>
      <c r="AF42" s="431"/>
      <c r="AG42" s="431"/>
      <c r="AH42" s="431"/>
    </row>
    <row r="43" customFormat="false" ht="12.75" hidden="false" customHeight="false" outlineLevel="0" collapsed="false">
      <c r="A43" s="431" t="s">
        <v>366</v>
      </c>
      <c r="B43" s="486" t="n">
        <f aca="false">B40</f>
        <v>81000</v>
      </c>
      <c r="C43" s="431" t="n">
        <f aca="false">C40-C41</f>
        <v>72333</v>
      </c>
      <c r="D43" s="431" t="n">
        <f aca="false">D40-D41</f>
        <v>46656</v>
      </c>
      <c r="E43" s="431" t="n">
        <f aca="false">E40-E41</f>
        <v>19359</v>
      </c>
      <c r="F43" s="431" t="n">
        <f aca="false">F40-F41</f>
        <v>0</v>
      </c>
      <c r="G43" s="431" t="n">
        <f aca="false">G40-G41</f>
        <v>0</v>
      </c>
      <c r="H43" s="431" t="n">
        <f aca="false">H40-H41</f>
        <v>0</v>
      </c>
      <c r="I43" s="431" t="n">
        <f aca="false">I40-I41</f>
        <v>0</v>
      </c>
      <c r="J43" s="431" t="n">
        <f aca="false">J40-J41</f>
        <v>0</v>
      </c>
      <c r="K43" s="431" t="n">
        <f aca="false">K40-K41</f>
        <v>0</v>
      </c>
      <c r="L43" s="431" t="n">
        <f aca="false">L40-L41</f>
        <v>0</v>
      </c>
      <c r="M43" s="431" t="n">
        <f aca="false">M40-M41</f>
        <v>0</v>
      </c>
      <c r="N43" s="431" t="n">
        <f aca="false">N40-N41</f>
        <v>0</v>
      </c>
      <c r="O43" s="431" t="n">
        <f aca="false">O40-O41</f>
        <v>0</v>
      </c>
      <c r="P43" s="431" t="n">
        <f aca="false">P40-P41</f>
        <v>0</v>
      </c>
      <c r="Q43" s="431" t="n">
        <f aca="false">Q40-Q41</f>
        <v>0</v>
      </c>
      <c r="R43" s="431" t="n">
        <f aca="false">R40-R41</f>
        <v>0</v>
      </c>
      <c r="S43" s="431" t="n">
        <f aca="false">S40-S41</f>
        <v>0</v>
      </c>
      <c r="T43" s="431" t="n">
        <f aca="false">T40-T41</f>
        <v>0</v>
      </c>
      <c r="U43" s="431" t="n">
        <f aca="false">U40-U41</f>
        <v>0</v>
      </c>
      <c r="V43" s="431" t="n">
        <f aca="false">V40-V41</f>
        <v>0</v>
      </c>
      <c r="W43" s="0"/>
      <c r="X43" s="0"/>
      <c r="Y43" s="0"/>
      <c r="Z43" s="0"/>
      <c r="AA43" s="485"/>
      <c r="AB43" s="485"/>
      <c r="AC43" s="431"/>
      <c r="AD43" s="431"/>
      <c r="AE43" s="431"/>
      <c r="AF43" s="431"/>
      <c r="AG43" s="431"/>
      <c r="AH43" s="431"/>
    </row>
    <row r="44" customFormat="false" ht="12.75" hidden="false" customHeight="false" outlineLevel="0" collapsed="false">
      <c r="A44" s="431"/>
      <c r="B44" s="486"/>
      <c r="C44" s="431"/>
      <c r="D44" s="431"/>
      <c r="E44" s="431"/>
      <c r="F44" s="431"/>
      <c r="G44" s="431"/>
      <c r="H44" s="431"/>
      <c r="I44" s="431"/>
      <c r="J44" s="431"/>
      <c r="K44" s="431"/>
      <c r="L44" s="431"/>
      <c r="M44" s="431"/>
      <c r="N44" s="431"/>
      <c r="O44" s="431"/>
      <c r="P44" s="431"/>
      <c r="Q44" s="431"/>
      <c r="R44" s="431"/>
      <c r="S44" s="431"/>
      <c r="T44" s="431"/>
      <c r="U44" s="431"/>
      <c r="V44" s="431"/>
      <c r="W44" s="0"/>
      <c r="X44" s="0"/>
      <c r="Y44" s="0"/>
      <c r="Z44" s="0"/>
      <c r="AA44" s="485"/>
      <c r="AB44" s="485"/>
      <c r="AC44" s="431"/>
      <c r="AD44" s="431"/>
      <c r="AE44" s="431"/>
      <c r="AF44" s="431"/>
      <c r="AG44" s="431"/>
      <c r="AH44" s="431"/>
    </row>
    <row r="45" customFormat="false" ht="12.75" hidden="false" customHeight="false" outlineLevel="0" collapsed="false">
      <c r="A45" s="488" t="s">
        <v>371</v>
      </c>
      <c r="B45" s="486" t="n">
        <v>0</v>
      </c>
      <c r="C45" s="431" t="n">
        <f aca="false">C32+C37+B42</f>
        <v>3840.1988625</v>
      </c>
      <c r="D45" s="431" t="n">
        <f aca="false">D32+D37+C42</f>
        <v>5442.14750625</v>
      </c>
      <c r="E45" s="431" t="n">
        <f aca="false">E32+E37+D42</f>
        <v>3262.220325</v>
      </c>
      <c r="F45" s="431" t="n">
        <f aca="false">F32+F37+E42</f>
        <v>792.75105</v>
      </c>
      <c r="G45" s="431" t="n">
        <f aca="false">G32+G37+F42</f>
        <v>0</v>
      </c>
      <c r="H45" s="431" t="n">
        <f aca="false">H32+H37+G42</f>
        <v>0</v>
      </c>
      <c r="I45" s="431" t="n">
        <f aca="false">I32+I37+H42</f>
        <v>0</v>
      </c>
      <c r="J45" s="431" t="n">
        <f aca="false">J32+J37+I42</f>
        <v>0</v>
      </c>
      <c r="K45" s="431" t="n">
        <f aca="false">K32+K37+J42</f>
        <v>0</v>
      </c>
      <c r="L45" s="431" t="n">
        <f aca="false">L32+L37+K42</f>
        <v>0</v>
      </c>
      <c r="M45" s="431" t="n">
        <f aca="false">M32+M37+L42</f>
        <v>0</v>
      </c>
      <c r="N45" s="431" t="n">
        <f aca="false">N32+N37+M42</f>
        <v>0</v>
      </c>
      <c r="O45" s="431" t="n">
        <f aca="false">O32+O37+N42</f>
        <v>0</v>
      </c>
      <c r="P45" s="431" t="n">
        <f aca="false">P32+P37+O42</f>
        <v>0</v>
      </c>
      <c r="Q45" s="431" t="n">
        <f aca="false">Q32+Q37+P42</f>
        <v>0</v>
      </c>
      <c r="R45" s="431" t="n">
        <f aca="false">R32+R37+Q42</f>
        <v>0</v>
      </c>
      <c r="S45" s="431" t="n">
        <f aca="false">S32+S37+R42</f>
        <v>0</v>
      </c>
      <c r="T45" s="431" t="n">
        <f aca="false">T32+T37+S42</f>
        <v>0</v>
      </c>
      <c r="U45" s="431" t="n">
        <f aca="false">U32+U37+T42</f>
        <v>0</v>
      </c>
      <c r="V45" s="431" t="n">
        <f aca="false">V32+V37+U42</f>
        <v>0</v>
      </c>
      <c r="W45" s="0"/>
      <c r="X45" s="0"/>
      <c r="Y45" s="0"/>
      <c r="Z45" s="0"/>
      <c r="AA45" s="485"/>
      <c r="AB45" s="485"/>
      <c r="AC45" s="431"/>
      <c r="AD45" s="431"/>
      <c r="AE45" s="431"/>
      <c r="AF45" s="431"/>
      <c r="AG45" s="431"/>
      <c r="AH45" s="431"/>
    </row>
    <row r="46" customFormat="false" ht="12.75" hidden="false" customHeight="false" outlineLevel="0" collapsed="false">
      <c r="A46" s="385" t="s">
        <v>372</v>
      </c>
      <c r="B46" s="486" t="n">
        <f aca="false">B32+B37+B42</f>
        <v>0</v>
      </c>
      <c r="C46" s="431" t="n">
        <f aca="false">C32+C37+C42</f>
        <v>6308.5624875</v>
      </c>
      <c r="D46" s="431" t="n">
        <f aca="false">D32+D37+D42</f>
        <v>4565.91988125</v>
      </c>
      <c r="E46" s="431" t="n">
        <f aca="false">E32+E37+E42</f>
        <v>2330.7102</v>
      </c>
      <c r="F46" s="431" t="n">
        <f aca="false">F32+F37+F42</f>
        <v>132.125175</v>
      </c>
      <c r="G46" s="431" t="n">
        <f aca="false">G32+G37+G42</f>
        <v>0</v>
      </c>
      <c r="H46" s="431" t="n">
        <f aca="false">H32+H37+H42</f>
        <v>0</v>
      </c>
      <c r="I46" s="431" t="n">
        <f aca="false">I32+I37+I42</f>
        <v>0</v>
      </c>
      <c r="J46" s="431" t="n">
        <f aca="false">J32+J37+J42</f>
        <v>0</v>
      </c>
      <c r="K46" s="431" t="n">
        <f aca="false">K32+K37+K42</f>
        <v>0</v>
      </c>
      <c r="L46" s="431" t="n">
        <f aca="false">L32+L37+L42</f>
        <v>0</v>
      </c>
      <c r="M46" s="431" t="n">
        <f aca="false">M32+M37+M42</f>
        <v>0</v>
      </c>
      <c r="N46" s="431" t="n">
        <f aca="false">N32+N37+N42</f>
        <v>0</v>
      </c>
      <c r="O46" s="431" t="n">
        <f aca="false">O32+O37+O42</f>
        <v>0</v>
      </c>
      <c r="P46" s="431" t="n">
        <f aca="false">P32+P37+P42</f>
        <v>0</v>
      </c>
      <c r="Q46" s="431" t="n">
        <f aca="false">Q32+Q37+Q42</f>
        <v>0</v>
      </c>
      <c r="R46" s="431" t="n">
        <f aca="false">R32+R37+R42</f>
        <v>0</v>
      </c>
      <c r="S46" s="431" t="n">
        <f aca="false">S32+S37+S42</f>
        <v>0</v>
      </c>
      <c r="T46" s="431" t="n">
        <f aca="false">T32+T37+T42</f>
        <v>0</v>
      </c>
      <c r="U46" s="431" t="n">
        <f aca="false">U32+U37+U42</f>
        <v>0</v>
      </c>
      <c r="V46" s="431" t="n">
        <f aca="false">V32+V37+V42</f>
        <v>0</v>
      </c>
      <c r="W46" s="0"/>
      <c r="X46" s="0"/>
      <c r="Y46" s="0"/>
      <c r="Z46" s="0"/>
      <c r="AA46" s="1"/>
      <c r="AB46" s="1"/>
    </row>
    <row r="47" customFormat="false" ht="12.75" hidden="false" customHeight="false" outlineLevel="0" collapsed="false">
      <c r="A47" s="488" t="s">
        <v>373</v>
      </c>
      <c r="B47" s="486" t="n">
        <f aca="false">B31+B36</f>
        <v>0</v>
      </c>
      <c r="C47" s="486" t="n">
        <f aca="false">C31+C36+B41</f>
        <v>8667</v>
      </c>
      <c r="D47" s="486" t="n">
        <f aca="false">D31+D36+C41</f>
        <v>25677</v>
      </c>
      <c r="E47" s="486" t="n">
        <f aca="false">E31+E36+D41</f>
        <v>27297</v>
      </c>
      <c r="F47" s="486" t="n">
        <f aca="false">F31+F36+E41</f>
        <v>19359</v>
      </c>
      <c r="G47" s="486" t="n">
        <f aca="false">G31+G36+F41</f>
        <v>0</v>
      </c>
      <c r="H47" s="486" t="n">
        <f aca="false">H31+H36+G41</f>
        <v>0</v>
      </c>
      <c r="I47" s="486" t="n">
        <f aca="false">I31+I36+H41</f>
        <v>0</v>
      </c>
      <c r="J47" s="486" t="n">
        <f aca="false">J31+J36+I41</f>
        <v>0</v>
      </c>
      <c r="K47" s="486" t="n">
        <f aca="false">K31+K36+J41</f>
        <v>0</v>
      </c>
      <c r="L47" s="486" t="n">
        <f aca="false">L31+L36+K41</f>
        <v>0</v>
      </c>
      <c r="M47" s="486" t="n">
        <f aca="false">M31+M36+L41</f>
        <v>0</v>
      </c>
      <c r="N47" s="486" t="n">
        <f aca="false">N31+N36+M41</f>
        <v>0</v>
      </c>
      <c r="O47" s="486" t="n">
        <f aca="false">O31+O36+N41</f>
        <v>0</v>
      </c>
      <c r="P47" s="486" t="n">
        <f aca="false">P31+P36+O41</f>
        <v>0</v>
      </c>
      <c r="Q47" s="486" t="n">
        <f aca="false">Q31+Q36+P41</f>
        <v>0</v>
      </c>
      <c r="R47" s="486" t="n">
        <f aca="false">R31+R36+Q41</f>
        <v>0</v>
      </c>
      <c r="S47" s="486" t="n">
        <f aca="false">S31+S36+R41</f>
        <v>0</v>
      </c>
      <c r="T47" s="486" t="n">
        <f aca="false">T31+T36+S41</f>
        <v>0</v>
      </c>
      <c r="U47" s="486" t="n">
        <f aca="false">U31+U36+T41</f>
        <v>0</v>
      </c>
      <c r="V47" s="486" t="n">
        <f aca="false">V31+V36+U41</f>
        <v>0</v>
      </c>
      <c r="W47" s="0"/>
      <c r="X47" s="0"/>
      <c r="Y47" s="0"/>
      <c r="Z47" s="0"/>
      <c r="AA47" s="1"/>
      <c r="AB47" s="1"/>
    </row>
    <row r="48" customFormat="false" ht="12.75" hidden="false" customHeight="false" outlineLevel="0" collapsed="false">
      <c r="A48" s="488" t="s">
        <v>374</v>
      </c>
      <c r="B48" s="486" t="n">
        <f aca="false">B41</f>
        <v>0</v>
      </c>
      <c r="C48" s="486" t="n">
        <f aca="false">C41</f>
        <v>0</v>
      </c>
      <c r="D48" s="486" t="n">
        <f aca="false">D41</f>
        <v>0</v>
      </c>
      <c r="E48" s="486" t="n">
        <f aca="false">E41</f>
        <v>0</v>
      </c>
      <c r="F48" s="486" t="n">
        <f aca="false">F41</f>
        <v>0</v>
      </c>
      <c r="G48" s="486" t="n">
        <f aca="false">G41</f>
        <v>0</v>
      </c>
      <c r="H48" s="486" t="n">
        <f aca="false">H41</f>
        <v>0</v>
      </c>
      <c r="I48" s="486" t="n">
        <f aca="false">I41</f>
        <v>0</v>
      </c>
      <c r="J48" s="486" t="n">
        <f aca="false">J41</f>
        <v>0</v>
      </c>
      <c r="K48" s="486" t="n">
        <f aca="false">K41</f>
        <v>0</v>
      </c>
      <c r="L48" s="486" t="n">
        <f aca="false">L41</f>
        <v>0</v>
      </c>
      <c r="M48" s="486" t="n">
        <f aca="false">M41</f>
        <v>0</v>
      </c>
      <c r="N48" s="486" t="n">
        <f aca="false">N41</f>
        <v>0</v>
      </c>
      <c r="O48" s="486" t="n">
        <f aca="false">O41</f>
        <v>0</v>
      </c>
      <c r="P48" s="486" t="n">
        <f aca="false">P41</f>
        <v>0</v>
      </c>
      <c r="Q48" s="486" t="n">
        <f aca="false">Q41</f>
        <v>0</v>
      </c>
      <c r="R48" s="486" t="n">
        <f aca="false">R41</f>
        <v>0</v>
      </c>
      <c r="S48" s="486" t="n">
        <f aca="false">S41</f>
        <v>0</v>
      </c>
      <c r="T48" s="486" t="n">
        <f aca="false">T41</f>
        <v>0</v>
      </c>
      <c r="U48" s="486" t="n">
        <f aca="false">U41</f>
        <v>0</v>
      </c>
      <c r="V48" s="486" t="n">
        <f aca="false">V41</f>
        <v>0</v>
      </c>
      <c r="W48" s="0"/>
      <c r="X48" s="0"/>
      <c r="Y48" s="0"/>
      <c r="Z48" s="0"/>
      <c r="AA48" s="1"/>
      <c r="AB48" s="1"/>
    </row>
    <row r="49" customFormat="false" ht="12.75" hidden="false" customHeight="false" outlineLevel="0" collapsed="false">
      <c r="B49" s="94"/>
      <c r="W49" s="0"/>
      <c r="X49" s="0"/>
      <c r="Y49" s="0"/>
      <c r="Z49" s="0"/>
      <c r="AA49" s="1"/>
      <c r="AB49" s="1"/>
    </row>
    <row r="50" customFormat="false" ht="12.75" hidden="false" customHeight="false" outlineLevel="0" collapsed="false">
      <c r="B50" s="94"/>
      <c r="W50" s="0"/>
      <c r="X50" s="0"/>
      <c r="Y50" s="0"/>
      <c r="Z50" s="0"/>
      <c r="AA50" s="1"/>
      <c r="AB50" s="1"/>
    </row>
    <row r="51" customFormat="false" ht="12.75" hidden="false" customHeight="false" outlineLevel="0" collapsed="false">
      <c r="A51" s="482" t="str">
        <f aca="false">CONCATENATE("Tranche 2 @ ",L7*100,"%")</f>
        <v>Tranche 2 @ 9.72%</v>
      </c>
      <c r="B51" s="94"/>
      <c r="C51" s="483"/>
      <c r="AA51" s="1"/>
      <c r="AB51" s="1"/>
      <c r="AF51" s="78"/>
    </row>
    <row r="52" customFormat="false" ht="12.75" hidden="false" customHeight="false" outlineLevel="0" collapsed="false">
      <c r="A52" s="391" t="s">
        <v>362</v>
      </c>
      <c r="B52" s="486"/>
      <c r="AA52" s="1"/>
      <c r="AB52" s="1"/>
      <c r="AF52" s="78"/>
    </row>
    <row r="53" customFormat="false" ht="12.75" hidden="false" customHeight="false" outlineLevel="0" collapsed="false">
      <c r="A53" s="431" t="s">
        <v>363</v>
      </c>
      <c r="B53" s="489" t="n">
        <f aca="false">L10</f>
        <v>194000</v>
      </c>
      <c r="C53" s="431" t="n">
        <f aca="false">B66</f>
        <v>194000</v>
      </c>
      <c r="D53" s="431" t="n">
        <f aca="false">C66</f>
        <v>194000</v>
      </c>
      <c r="E53" s="431" t="n">
        <f aca="false">D66</f>
        <v>194000</v>
      </c>
      <c r="F53" s="431" t="n">
        <f aca="false">E66</f>
        <v>194000</v>
      </c>
      <c r="G53" s="431" t="n">
        <f aca="false">F66</f>
        <v>194000</v>
      </c>
      <c r="H53" s="431" t="n">
        <f aca="false">G66</f>
        <v>172369</v>
      </c>
      <c r="I53" s="431" t="n">
        <f aca="false">H66</f>
        <v>146955</v>
      </c>
      <c r="J53" s="431" t="n">
        <f aca="false">I66</f>
        <v>118437</v>
      </c>
      <c r="K53" s="431" t="n">
        <f aca="false">J66</f>
        <v>85069</v>
      </c>
      <c r="L53" s="431" t="n">
        <f aca="false">K66</f>
        <v>47239</v>
      </c>
      <c r="M53" s="431" t="n">
        <f aca="false">L66</f>
        <v>0</v>
      </c>
      <c r="N53" s="431" t="n">
        <f aca="false">M66</f>
        <v>0</v>
      </c>
      <c r="O53" s="431" t="n">
        <f aca="false">N66</f>
        <v>0</v>
      </c>
      <c r="P53" s="431" t="n">
        <f aca="false">O66</f>
        <v>0</v>
      </c>
      <c r="Q53" s="431" t="n">
        <f aca="false">P66</f>
        <v>0</v>
      </c>
      <c r="R53" s="431" t="n">
        <f aca="false">Q66</f>
        <v>0</v>
      </c>
      <c r="S53" s="431" t="n">
        <f aca="false">R66</f>
        <v>0</v>
      </c>
      <c r="T53" s="431" t="n">
        <f aca="false">S66</f>
        <v>0</v>
      </c>
      <c r="U53" s="431" t="n">
        <f aca="false">T66</f>
        <v>0</v>
      </c>
      <c r="V53" s="431" t="n">
        <f aca="false">U66</f>
        <v>0</v>
      </c>
      <c r="W53" s="431"/>
      <c r="X53" s="431"/>
      <c r="Y53" s="431"/>
      <c r="Z53" s="431"/>
      <c r="AA53" s="485"/>
      <c r="AB53" s="485"/>
      <c r="AC53" s="431"/>
      <c r="AD53" s="431"/>
      <c r="AE53" s="431"/>
      <c r="AF53" s="490"/>
      <c r="AG53" s="431"/>
      <c r="AH53" s="102"/>
    </row>
    <row r="54" customFormat="false" ht="12.75" hidden="false" customHeight="false" outlineLevel="0" collapsed="false">
      <c r="A54" s="431" t="s">
        <v>364</v>
      </c>
      <c r="B54" s="486" t="n">
        <v>0</v>
      </c>
      <c r="C54" s="431" t="n">
        <f aca="false">$B$53*C23*1/12</f>
        <v>0</v>
      </c>
      <c r="D54" s="431" t="n">
        <f aca="false">$B$53*D23*6/12</f>
        <v>0</v>
      </c>
      <c r="E54" s="431" t="n">
        <f aca="false">$B$53*E23*6/12</f>
        <v>0</v>
      </c>
      <c r="F54" s="431" t="n">
        <v>0</v>
      </c>
      <c r="G54" s="491" t="n">
        <f aca="false">$B$53*G23*5/12</f>
        <v>9012.91666666667</v>
      </c>
      <c r="H54" s="431" t="n">
        <f aca="false">$B$53*H23*6/12</f>
        <v>12707</v>
      </c>
      <c r="I54" s="431" t="n">
        <f aca="false">$B$53*I23*6/12</f>
        <v>14259</v>
      </c>
      <c r="J54" s="431" t="n">
        <f aca="false">$B$53*J23*6/12</f>
        <v>16684</v>
      </c>
      <c r="K54" s="431" t="n">
        <f aca="false">$B$53*K23*6/12</f>
        <v>18915</v>
      </c>
      <c r="L54" s="431" t="n">
        <f aca="false">$B$53*L23*6/12</f>
        <v>23619.5</v>
      </c>
      <c r="M54" s="431" t="n">
        <f aca="false">$B$53*M23*6/12</f>
        <v>0</v>
      </c>
      <c r="N54" s="431" t="n">
        <f aca="false">$B$53*N23*6/12</f>
        <v>0</v>
      </c>
      <c r="O54" s="431" t="n">
        <f aca="false">$B$53*O23*6/12</f>
        <v>0</v>
      </c>
      <c r="P54" s="431" t="n">
        <f aca="false">$B$53*P23*6/12</f>
        <v>0</v>
      </c>
      <c r="Q54" s="431" t="n">
        <f aca="false">$B$53*Q23*6/12</f>
        <v>0</v>
      </c>
      <c r="R54" s="431" t="n">
        <f aca="false">$B$53*R23*6/12</f>
        <v>0</v>
      </c>
      <c r="S54" s="431" t="n">
        <f aca="false">$B$53*S23*6/12</f>
        <v>0</v>
      </c>
      <c r="T54" s="431" t="n">
        <f aca="false">$B$53*T23*6/12</f>
        <v>0</v>
      </c>
      <c r="U54" s="431" t="n">
        <f aca="false">$B$53*U23*6/12</f>
        <v>0</v>
      </c>
      <c r="V54" s="431" t="n">
        <f aca="false">$B$53*V23*6/12</f>
        <v>0</v>
      </c>
      <c r="W54" s="431"/>
      <c r="X54" s="431"/>
      <c r="Y54" s="431"/>
      <c r="Z54" s="431"/>
      <c r="AA54" s="485"/>
      <c r="AB54" s="485"/>
      <c r="AC54" s="431"/>
      <c r="AD54" s="431"/>
      <c r="AE54" s="431"/>
      <c r="AF54" s="492"/>
      <c r="AG54" s="431"/>
      <c r="AH54" s="102"/>
    </row>
    <row r="55" customFormat="false" ht="12.75" hidden="false" customHeight="false" outlineLevel="0" collapsed="false">
      <c r="A55" s="431" t="s">
        <v>365</v>
      </c>
      <c r="B55" s="486" t="n">
        <v>0</v>
      </c>
      <c r="C55" s="431" t="n">
        <f aca="false">C53*$L$7*1/12</f>
        <v>1571.4</v>
      </c>
      <c r="D55" s="431" t="n">
        <f aca="false">D53*$L$7*1/12</f>
        <v>1571.4</v>
      </c>
      <c r="E55" s="431" t="n">
        <f aca="false">E53*$L$7*1/12</f>
        <v>1571.4</v>
      </c>
      <c r="F55" s="431" t="n">
        <f aca="false">F53*$L$7*1/12</f>
        <v>1571.4</v>
      </c>
      <c r="G55" s="431" t="n">
        <f aca="false">G53*$L$7*1/12</f>
        <v>1571.4</v>
      </c>
      <c r="H55" s="431" t="n">
        <f aca="false">H53*$L$7*1/12</f>
        <v>1396.1889</v>
      </c>
      <c r="I55" s="431" t="n">
        <f aca="false">I53*$L$7*1/12</f>
        <v>1190.3355</v>
      </c>
      <c r="J55" s="431" t="n">
        <f aca="false">J53*$L$7*1/12</f>
        <v>959.3397</v>
      </c>
      <c r="K55" s="431" t="n">
        <f aca="false">K53*$L$7*1/12</f>
        <v>689.0589</v>
      </c>
      <c r="L55" s="431" t="n">
        <f aca="false">L53*$L$7*1/12</f>
        <v>382.6359</v>
      </c>
      <c r="M55" s="431" t="n">
        <f aca="false">M53*$L$7*1/12</f>
        <v>0</v>
      </c>
      <c r="N55" s="431" t="n">
        <f aca="false">N53*$L$7*1/12</f>
        <v>0</v>
      </c>
      <c r="O55" s="431" t="n">
        <f aca="false">O53*$L$7*1/12</f>
        <v>0</v>
      </c>
      <c r="P55" s="431" t="n">
        <f aca="false">P53*$L$7*1/12</f>
        <v>0</v>
      </c>
      <c r="Q55" s="431" t="n">
        <f aca="false">Q53*$L$7*1/12</f>
        <v>0</v>
      </c>
      <c r="R55" s="431" t="n">
        <f aca="false">R53*$L$7*1/12</f>
        <v>0</v>
      </c>
      <c r="S55" s="431" t="n">
        <f aca="false">S53*$L$7*1/12</f>
        <v>0</v>
      </c>
      <c r="T55" s="431" t="n">
        <f aca="false">T53*$L$7*1/12</f>
        <v>0</v>
      </c>
      <c r="U55" s="431" t="n">
        <f aca="false">U53*$L$7*1/12</f>
        <v>0</v>
      </c>
      <c r="V55" s="431" t="n">
        <f aca="false">V53*$L$7*1/12</f>
        <v>0</v>
      </c>
      <c r="W55" s="431"/>
      <c r="X55" s="431"/>
      <c r="Y55" s="431"/>
      <c r="Z55" s="431"/>
      <c r="AA55" s="485"/>
      <c r="AB55" s="485"/>
      <c r="AC55" s="431"/>
      <c r="AD55" s="431"/>
      <c r="AE55" s="431"/>
      <c r="AF55" s="492"/>
      <c r="AG55" s="431"/>
      <c r="AH55" s="102"/>
    </row>
    <row r="56" customFormat="false" ht="12.75" hidden="false" customHeight="false" outlineLevel="0" collapsed="false">
      <c r="A56" s="431" t="s">
        <v>366</v>
      </c>
      <c r="B56" s="486" t="n">
        <f aca="false">B53-B54</f>
        <v>194000</v>
      </c>
      <c r="C56" s="431" t="n">
        <f aca="false">C53-C54</f>
        <v>194000</v>
      </c>
      <c r="D56" s="431" t="n">
        <f aca="false">D53-D54</f>
        <v>194000</v>
      </c>
      <c r="E56" s="431" t="n">
        <f aca="false">E53-E54</f>
        <v>194000</v>
      </c>
      <c r="F56" s="431" t="n">
        <f aca="false">F53-F54</f>
        <v>194000</v>
      </c>
      <c r="G56" s="431" t="n">
        <f aca="false">G53-G54</f>
        <v>184987.083333333</v>
      </c>
      <c r="H56" s="431" t="n">
        <f aca="false">H53-H54</f>
        <v>159662</v>
      </c>
      <c r="I56" s="431" t="n">
        <f aca="false">I53-I54</f>
        <v>132696</v>
      </c>
      <c r="J56" s="431" t="n">
        <f aca="false">J53-J54</f>
        <v>101753</v>
      </c>
      <c r="K56" s="431" t="n">
        <f aca="false">K53-K54</f>
        <v>66154</v>
      </c>
      <c r="L56" s="431" t="n">
        <f aca="false">L53-L54</f>
        <v>23619.5</v>
      </c>
      <c r="M56" s="431" t="n">
        <f aca="false">M53-M54</f>
        <v>0</v>
      </c>
      <c r="N56" s="431" t="n">
        <f aca="false">N53-N54</f>
        <v>0</v>
      </c>
      <c r="O56" s="431" t="n">
        <f aca="false">O53-O54</f>
        <v>0</v>
      </c>
      <c r="P56" s="431" t="n">
        <f aca="false">P53-P54</f>
        <v>0</v>
      </c>
      <c r="Q56" s="431" t="n">
        <f aca="false">Q53-Q54</f>
        <v>0</v>
      </c>
      <c r="R56" s="431" t="n">
        <f aca="false">R53-R54</f>
        <v>0</v>
      </c>
      <c r="S56" s="431" t="n">
        <f aca="false">S53-S54</f>
        <v>0</v>
      </c>
      <c r="T56" s="431" t="n">
        <f aca="false">T53-T54</f>
        <v>0</v>
      </c>
      <c r="U56" s="431" t="n">
        <f aca="false">U53-U54</f>
        <v>0</v>
      </c>
      <c r="V56" s="431" t="n">
        <f aca="false">V53-V54</f>
        <v>0</v>
      </c>
      <c r="W56" s="431"/>
      <c r="X56" s="431"/>
      <c r="Y56" s="431"/>
      <c r="Z56" s="431"/>
      <c r="AA56" s="485"/>
      <c r="AB56" s="485"/>
      <c r="AC56" s="431"/>
      <c r="AD56" s="431"/>
      <c r="AE56" s="431"/>
      <c r="AF56" s="492"/>
      <c r="AG56" s="431"/>
      <c r="AH56" s="102"/>
    </row>
    <row r="57" customFormat="false" ht="12.75" hidden="false" customHeight="false" outlineLevel="0" collapsed="false">
      <c r="A57" s="391" t="s">
        <v>367</v>
      </c>
      <c r="B57" s="486"/>
      <c r="C57" s="431"/>
      <c r="D57" s="431"/>
      <c r="E57" s="431"/>
      <c r="F57" s="431"/>
      <c r="G57" s="431"/>
      <c r="H57" s="431"/>
      <c r="I57" s="431"/>
      <c r="J57" s="431"/>
      <c r="K57" s="431"/>
      <c r="L57" s="431"/>
      <c r="M57" s="431"/>
      <c r="N57" s="431"/>
      <c r="O57" s="431"/>
      <c r="P57" s="431"/>
      <c r="Q57" s="431"/>
      <c r="R57" s="431"/>
      <c r="S57" s="431"/>
      <c r="T57" s="431"/>
      <c r="U57" s="431"/>
      <c r="V57" s="431"/>
      <c r="W57" s="431"/>
      <c r="X57" s="431"/>
      <c r="Y57" s="431"/>
      <c r="Z57" s="431"/>
      <c r="AA57" s="485"/>
      <c r="AB57" s="485"/>
      <c r="AC57" s="431"/>
      <c r="AD57" s="431"/>
      <c r="AE57" s="431"/>
      <c r="AF57" s="492"/>
      <c r="AG57" s="431"/>
      <c r="AH57" s="102"/>
    </row>
    <row r="58" customFormat="false" ht="12.75" hidden="false" customHeight="false" outlineLevel="0" collapsed="false">
      <c r="A58" s="431" t="s">
        <v>363</v>
      </c>
      <c r="B58" s="486" t="n">
        <f aca="false">B56</f>
        <v>194000</v>
      </c>
      <c r="C58" s="431" t="n">
        <f aca="false">C56</f>
        <v>194000</v>
      </c>
      <c r="D58" s="431" t="n">
        <f aca="false">D56</f>
        <v>194000</v>
      </c>
      <c r="E58" s="431" t="n">
        <f aca="false">E56</f>
        <v>194000</v>
      </c>
      <c r="F58" s="431" t="n">
        <f aca="false">F56</f>
        <v>194000</v>
      </c>
      <c r="G58" s="431" t="n">
        <f aca="false">G56</f>
        <v>184987.083333333</v>
      </c>
      <c r="H58" s="431" t="n">
        <f aca="false">H56</f>
        <v>159662</v>
      </c>
      <c r="I58" s="431" t="n">
        <f aca="false">I56</f>
        <v>132696</v>
      </c>
      <c r="J58" s="431" t="n">
        <f aca="false">J56</f>
        <v>101753</v>
      </c>
      <c r="K58" s="431" t="n">
        <f aca="false">K56</f>
        <v>66154</v>
      </c>
      <c r="L58" s="431" t="n">
        <f aca="false">L56</f>
        <v>23619.5</v>
      </c>
      <c r="M58" s="431" t="n">
        <f aca="false">M56</f>
        <v>0</v>
      </c>
      <c r="N58" s="431" t="n">
        <f aca="false">N56</f>
        <v>0</v>
      </c>
      <c r="O58" s="431" t="n">
        <f aca="false">O56</f>
        <v>0</v>
      </c>
      <c r="P58" s="431" t="n">
        <f aca="false">P56</f>
        <v>0</v>
      </c>
      <c r="Q58" s="431" t="n">
        <f aca="false">Q56</f>
        <v>0</v>
      </c>
      <c r="R58" s="431" t="n">
        <f aca="false">R56</f>
        <v>0</v>
      </c>
      <c r="S58" s="431" t="n">
        <f aca="false">S56</f>
        <v>0</v>
      </c>
      <c r="T58" s="431" t="n">
        <f aca="false">T56</f>
        <v>0</v>
      </c>
      <c r="U58" s="431" t="n">
        <f aca="false">U56</f>
        <v>0</v>
      </c>
      <c r="V58" s="431" t="n">
        <f aca="false">V56</f>
        <v>0</v>
      </c>
      <c r="W58" s="431"/>
      <c r="X58" s="431"/>
      <c r="Y58" s="431"/>
      <c r="Z58" s="431"/>
      <c r="AA58" s="485"/>
      <c r="AB58" s="485"/>
      <c r="AC58" s="431"/>
      <c r="AD58" s="431"/>
      <c r="AE58" s="431"/>
      <c r="AF58" s="492"/>
      <c r="AG58" s="431"/>
      <c r="AH58" s="102"/>
    </row>
    <row r="59" customFormat="false" ht="12.75" hidden="false" customHeight="false" outlineLevel="0" collapsed="false">
      <c r="A59" s="431" t="s">
        <v>364</v>
      </c>
      <c r="B59" s="486" t="n">
        <v>0</v>
      </c>
      <c r="C59" s="431" t="n">
        <f aca="false">$B$53*6/12*C23</f>
        <v>0</v>
      </c>
      <c r="D59" s="431" t="n">
        <f aca="false">$B$53*6/12*D23</f>
        <v>0</v>
      </c>
      <c r="E59" s="431" t="n">
        <f aca="false">$B$53*6/12*E23</f>
        <v>0</v>
      </c>
      <c r="F59" s="431" t="n">
        <f aca="false">$B$53*F23</f>
        <v>0</v>
      </c>
      <c r="G59" s="491" t="n">
        <f aca="false">$B$53*7/12*G23</f>
        <v>12618.0833333333</v>
      </c>
      <c r="H59" s="431" t="n">
        <f aca="false">$B$53*6/12*H23</f>
        <v>12707</v>
      </c>
      <c r="I59" s="431" t="n">
        <f aca="false">$B$53*6/12*I23</f>
        <v>14259</v>
      </c>
      <c r="J59" s="431" t="n">
        <f aca="false">$B$53*6/12*J23</f>
        <v>16684</v>
      </c>
      <c r="K59" s="431" t="n">
        <f aca="false">$B$53*6/12*K23</f>
        <v>18915</v>
      </c>
      <c r="L59" s="431" t="n">
        <f aca="false">$B$53*6/12*L23</f>
        <v>23619.5</v>
      </c>
      <c r="M59" s="431" t="n">
        <f aca="false">$B$53*6/12*M23</f>
        <v>0</v>
      </c>
      <c r="N59" s="431" t="n">
        <f aca="false">$B$53*6/12*N23</f>
        <v>0</v>
      </c>
      <c r="O59" s="431" t="n">
        <f aca="false">$B$53*6/12*O23</f>
        <v>0</v>
      </c>
      <c r="P59" s="431" t="n">
        <f aca="false">$B$53*6/12*P23</f>
        <v>0</v>
      </c>
      <c r="Q59" s="431" t="n">
        <f aca="false">$B$53*6/12*Q23</f>
        <v>0</v>
      </c>
      <c r="R59" s="431" t="n">
        <f aca="false">$B$53*6/12*R23</f>
        <v>0</v>
      </c>
      <c r="S59" s="431" t="n">
        <f aca="false">$B$53*6/12*S23</f>
        <v>0</v>
      </c>
      <c r="T59" s="431" t="n">
        <f aca="false">$B$53*6/12*T23</f>
        <v>0</v>
      </c>
      <c r="U59" s="431" t="n">
        <f aca="false">$B$53*6/12*U23</f>
        <v>0</v>
      </c>
      <c r="V59" s="431" t="n">
        <f aca="false">$B$53*6/12*V23</f>
        <v>0</v>
      </c>
      <c r="W59" s="431"/>
      <c r="X59" s="431"/>
      <c r="Y59" s="431"/>
      <c r="Z59" s="431"/>
      <c r="AA59" s="485"/>
      <c r="AB59" s="485"/>
      <c r="AC59" s="431"/>
      <c r="AD59" s="431"/>
      <c r="AE59" s="431"/>
      <c r="AF59" s="492"/>
      <c r="AG59" s="431"/>
      <c r="AH59" s="102"/>
    </row>
    <row r="60" customFormat="false" ht="12.75" hidden="false" customHeight="false" outlineLevel="0" collapsed="false">
      <c r="A60" s="431" t="s">
        <v>365</v>
      </c>
      <c r="B60" s="486" t="n">
        <v>0</v>
      </c>
      <c r="C60" s="431" t="n">
        <f aca="false">C58*$L$7*0.5</f>
        <v>9428.4</v>
      </c>
      <c r="D60" s="431" t="n">
        <f aca="false">D58*$L$7*0.5</f>
        <v>9428.4</v>
      </c>
      <c r="E60" s="431" t="n">
        <f aca="false">E58*$L$7*0.5</f>
        <v>9428.4</v>
      </c>
      <c r="F60" s="431" t="n">
        <f aca="false">F58*$L$7*0.5</f>
        <v>9428.4</v>
      </c>
      <c r="G60" s="431" t="n">
        <f aca="false">G58*$L$7*0.5</f>
        <v>8990.37225</v>
      </c>
      <c r="H60" s="431" t="n">
        <f aca="false">H58*$L$7*0.5</f>
        <v>7759.5732</v>
      </c>
      <c r="I60" s="431" t="n">
        <f aca="false">I58*$L$7*0.5</f>
        <v>6449.0256</v>
      </c>
      <c r="J60" s="431" t="n">
        <f aca="false">J58*$L$7*0.5</f>
        <v>4945.1958</v>
      </c>
      <c r="K60" s="431" t="n">
        <f aca="false">K58*$L$7*0.5</f>
        <v>3215.0844</v>
      </c>
      <c r="L60" s="431" t="n">
        <f aca="false">L58*$L$7*0.5</f>
        <v>1147.9077</v>
      </c>
      <c r="M60" s="431" t="n">
        <f aca="false">M58*$L$7*0.5</f>
        <v>0</v>
      </c>
      <c r="N60" s="431" t="n">
        <f aca="false">N58*$L$7*0.5</f>
        <v>0</v>
      </c>
      <c r="O60" s="431" t="n">
        <f aca="false">O58*$L$7*0.5</f>
        <v>0</v>
      </c>
      <c r="P60" s="431" t="n">
        <f aca="false">P58*$L$7*0.5</f>
        <v>0</v>
      </c>
      <c r="Q60" s="431" t="n">
        <f aca="false">Q58*$L$7*0.5</f>
        <v>0</v>
      </c>
      <c r="R60" s="431" t="n">
        <f aca="false">R58*$L$7*0.5</f>
        <v>0</v>
      </c>
      <c r="S60" s="431" t="n">
        <f aca="false">S58*$L$7*0.5</f>
        <v>0</v>
      </c>
      <c r="T60" s="431" t="n">
        <f aca="false">T58*$L$7*0.5</f>
        <v>0</v>
      </c>
      <c r="U60" s="431" t="n">
        <f aca="false">U58*$L$7*0.5</f>
        <v>0</v>
      </c>
      <c r="V60" s="431" t="n">
        <f aca="false">V58*$L$7*0.5</f>
        <v>0</v>
      </c>
      <c r="W60" s="431"/>
      <c r="X60" s="431"/>
      <c r="Y60" s="431"/>
      <c r="Z60" s="431"/>
      <c r="AA60" s="485"/>
      <c r="AB60" s="485"/>
      <c r="AC60" s="431"/>
      <c r="AD60" s="431"/>
      <c r="AE60" s="431"/>
      <c r="AF60" s="492"/>
      <c r="AG60" s="431"/>
      <c r="AH60" s="102"/>
    </row>
    <row r="61" customFormat="false" ht="12.75" hidden="false" customHeight="false" outlineLevel="0" collapsed="false">
      <c r="A61" s="431" t="s">
        <v>366</v>
      </c>
      <c r="B61" s="486" t="n">
        <f aca="false">B58-B59</f>
        <v>194000</v>
      </c>
      <c r="C61" s="431" t="n">
        <f aca="false">C58-C59</f>
        <v>194000</v>
      </c>
      <c r="D61" s="431" t="n">
        <f aca="false">D58-D59</f>
        <v>194000</v>
      </c>
      <c r="E61" s="431" t="n">
        <f aca="false">E58-E59</f>
        <v>194000</v>
      </c>
      <c r="F61" s="431" t="n">
        <f aca="false">F58-F59</f>
        <v>194000</v>
      </c>
      <c r="G61" s="431" t="n">
        <f aca="false">G58-G59</f>
        <v>172369</v>
      </c>
      <c r="H61" s="431" t="n">
        <f aca="false">H58-H59</f>
        <v>146955</v>
      </c>
      <c r="I61" s="431" t="n">
        <f aca="false">I58-I59</f>
        <v>118437</v>
      </c>
      <c r="J61" s="431" t="n">
        <f aca="false">J58-J59</f>
        <v>85069</v>
      </c>
      <c r="K61" s="431" t="n">
        <f aca="false">K58-K59</f>
        <v>47239</v>
      </c>
      <c r="L61" s="431" t="n">
        <f aca="false">L58-L59</f>
        <v>0</v>
      </c>
      <c r="M61" s="431" t="n">
        <f aca="false">M58-M59</f>
        <v>0</v>
      </c>
      <c r="N61" s="431" t="n">
        <f aca="false">N58-N59</f>
        <v>0</v>
      </c>
      <c r="O61" s="431" t="n">
        <f aca="false">O58-O59</f>
        <v>0</v>
      </c>
      <c r="P61" s="431" t="n">
        <f aca="false">P58-P59</f>
        <v>0</v>
      </c>
      <c r="Q61" s="431" t="n">
        <f aca="false">Q58-Q59</f>
        <v>0</v>
      </c>
      <c r="R61" s="431" t="n">
        <f aca="false">R58-R59</f>
        <v>0</v>
      </c>
      <c r="S61" s="431" t="n">
        <f aca="false">S58-S59</f>
        <v>0</v>
      </c>
      <c r="T61" s="431" t="n">
        <f aca="false">T58-T59</f>
        <v>0</v>
      </c>
      <c r="U61" s="431" t="n">
        <f aca="false">U58-U59</f>
        <v>0</v>
      </c>
      <c r="V61" s="431" t="n">
        <f aca="false">V58-V59</f>
        <v>0</v>
      </c>
      <c r="W61" s="431"/>
      <c r="X61" s="431"/>
      <c r="Y61" s="431"/>
      <c r="Z61" s="431"/>
      <c r="AA61" s="485"/>
      <c r="AB61" s="485"/>
      <c r="AC61" s="431"/>
      <c r="AD61" s="431"/>
      <c r="AE61" s="431"/>
      <c r="AF61" s="492"/>
      <c r="AG61" s="431"/>
      <c r="AH61" s="102"/>
    </row>
    <row r="62" customFormat="false" ht="12.75" hidden="false" customHeight="false" outlineLevel="0" collapsed="false">
      <c r="A62" s="487" t="s">
        <v>368</v>
      </c>
      <c r="B62" s="486"/>
      <c r="C62" s="431"/>
      <c r="D62" s="431"/>
      <c r="E62" s="431"/>
      <c r="F62" s="431"/>
      <c r="G62" s="431"/>
      <c r="H62" s="431"/>
      <c r="I62" s="431"/>
      <c r="J62" s="431"/>
      <c r="K62" s="431"/>
      <c r="L62" s="431"/>
      <c r="M62" s="431"/>
      <c r="N62" s="431"/>
      <c r="O62" s="431"/>
      <c r="P62" s="431"/>
      <c r="Q62" s="431"/>
      <c r="R62" s="431"/>
      <c r="S62" s="431"/>
      <c r="T62" s="431"/>
      <c r="U62" s="431"/>
      <c r="V62" s="431"/>
      <c r="W62" s="431"/>
      <c r="X62" s="431"/>
      <c r="Y62" s="431"/>
      <c r="Z62" s="431"/>
      <c r="AA62" s="485"/>
      <c r="AB62" s="485"/>
      <c r="AC62" s="431"/>
      <c r="AD62" s="431"/>
      <c r="AE62" s="431"/>
      <c r="AF62" s="492"/>
      <c r="AG62" s="431"/>
      <c r="AH62" s="102"/>
    </row>
    <row r="63" customFormat="false" ht="12.75" hidden="false" customHeight="false" outlineLevel="0" collapsed="false">
      <c r="A63" s="431" t="s">
        <v>363</v>
      </c>
      <c r="B63" s="486" t="n">
        <f aca="false">B61</f>
        <v>194000</v>
      </c>
      <c r="C63" s="431" t="n">
        <f aca="false">C61</f>
        <v>194000</v>
      </c>
      <c r="D63" s="431" t="n">
        <f aca="false">D61</f>
        <v>194000</v>
      </c>
      <c r="E63" s="431" t="n">
        <f aca="false">E61</f>
        <v>194000</v>
      </c>
      <c r="F63" s="431" t="n">
        <f aca="false">F61</f>
        <v>194000</v>
      </c>
      <c r="G63" s="431" t="n">
        <f aca="false">G61</f>
        <v>172369</v>
      </c>
      <c r="H63" s="431" t="n">
        <f aca="false">H61</f>
        <v>146955</v>
      </c>
      <c r="I63" s="431" t="n">
        <f aca="false">I61</f>
        <v>118437</v>
      </c>
      <c r="J63" s="431" t="n">
        <f aca="false">J61</f>
        <v>85069</v>
      </c>
      <c r="K63" s="431" t="n">
        <f aca="false">K61</f>
        <v>47239</v>
      </c>
      <c r="L63" s="431" t="n">
        <f aca="false">L61</f>
        <v>0</v>
      </c>
      <c r="M63" s="431" t="n">
        <f aca="false">M61</f>
        <v>0</v>
      </c>
      <c r="N63" s="431" t="n">
        <f aca="false">N61</f>
        <v>0</v>
      </c>
      <c r="O63" s="431" t="n">
        <f aca="false">O61</f>
        <v>0</v>
      </c>
      <c r="P63" s="431" t="n">
        <f aca="false">P61</f>
        <v>0</v>
      </c>
      <c r="Q63" s="431" t="n">
        <f aca="false">Q61</f>
        <v>0</v>
      </c>
      <c r="R63" s="431" t="n">
        <f aca="false">R61</f>
        <v>0</v>
      </c>
      <c r="S63" s="431" t="n">
        <f aca="false">S61</f>
        <v>0</v>
      </c>
      <c r="T63" s="431" t="n">
        <f aca="false">T61</f>
        <v>0</v>
      </c>
      <c r="U63" s="431" t="n">
        <f aca="false">U61</f>
        <v>0</v>
      </c>
      <c r="V63" s="431" t="n">
        <f aca="false">V61</f>
        <v>0</v>
      </c>
      <c r="W63" s="431"/>
      <c r="X63" s="431"/>
      <c r="Y63" s="431"/>
      <c r="Z63" s="431"/>
      <c r="AA63" s="485"/>
      <c r="AB63" s="485"/>
      <c r="AC63" s="431"/>
      <c r="AD63" s="431"/>
      <c r="AE63" s="431"/>
      <c r="AF63" s="492"/>
      <c r="AG63" s="431"/>
      <c r="AH63" s="102"/>
    </row>
    <row r="64" customFormat="false" ht="12.75" hidden="false" customHeight="false" outlineLevel="0" collapsed="false">
      <c r="A64" s="431" t="s">
        <v>374</v>
      </c>
      <c r="B64" s="486" t="n">
        <f aca="false">B53*5/12*C23</f>
        <v>0</v>
      </c>
      <c r="C64" s="431" t="n">
        <v>0</v>
      </c>
      <c r="D64" s="431" t="n">
        <v>0</v>
      </c>
      <c r="E64" s="431" t="n">
        <v>0</v>
      </c>
      <c r="F64" s="431" t="n">
        <v>0</v>
      </c>
      <c r="G64" s="431" t="n">
        <v>0</v>
      </c>
      <c r="H64" s="431" t="n">
        <v>0</v>
      </c>
      <c r="I64" s="431" t="n">
        <v>0</v>
      </c>
      <c r="J64" s="431" t="n">
        <v>0</v>
      </c>
      <c r="K64" s="431" t="n">
        <v>0</v>
      </c>
      <c r="L64" s="431" t="n">
        <v>0</v>
      </c>
      <c r="M64" s="431" t="n">
        <v>0</v>
      </c>
      <c r="N64" s="431" t="n">
        <v>0</v>
      </c>
      <c r="O64" s="431" t="n">
        <v>0</v>
      </c>
      <c r="P64" s="431" t="n">
        <v>0</v>
      </c>
      <c r="Q64" s="431" t="n">
        <v>0</v>
      </c>
      <c r="R64" s="431" t="n">
        <v>0</v>
      </c>
      <c r="S64" s="431" t="n">
        <v>0</v>
      </c>
      <c r="T64" s="431" t="n">
        <v>0</v>
      </c>
      <c r="U64" s="431" t="n">
        <v>0</v>
      </c>
      <c r="V64" s="431" t="n">
        <v>0</v>
      </c>
      <c r="W64" s="431"/>
      <c r="X64" s="431"/>
      <c r="Y64" s="431"/>
      <c r="Z64" s="431"/>
      <c r="AA64" s="485"/>
      <c r="AB64" s="485"/>
      <c r="AC64" s="431"/>
      <c r="AD64" s="431"/>
      <c r="AE64" s="431"/>
      <c r="AF64" s="492"/>
      <c r="AG64" s="431"/>
      <c r="AH64" s="102"/>
    </row>
    <row r="65" customFormat="false" ht="12.75" hidden="false" customHeight="false" outlineLevel="0" collapsed="false">
      <c r="A65" s="431" t="s">
        <v>370</v>
      </c>
      <c r="B65" s="486" t="n">
        <f aca="false">B63*$L$7*(13-MONTH(Assumptions!C17))/12*0</f>
        <v>0</v>
      </c>
      <c r="C65" s="431" t="n">
        <f aca="false">C63*$L$7*5/12</f>
        <v>7857</v>
      </c>
      <c r="D65" s="431" t="n">
        <f aca="false">D63*$L$7*5/12</f>
        <v>7857</v>
      </c>
      <c r="E65" s="431" t="n">
        <f aca="false">E63*$L$7*5/12</f>
        <v>7857</v>
      </c>
      <c r="F65" s="431" t="n">
        <f aca="false">F63*$L$7*5/12</f>
        <v>7857</v>
      </c>
      <c r="G65" s="431" t="n">
        <f aca="false">G63*$L$7*5/12</f>
        <v>6980.9445</v>
      </c>
      <c r="H65" s="431" t="n">
        <f aca="false">H63*$L$7*5/12</f>
        <v>5951.6775</v>
      </c>
      <c r="I65" s="431" t="n">
        <f aca="false">I63*$L$7*5/12</f>
        <v>4796.6985</v>
      </c>
      <c r="J65" s="431" t="n">
        <f aca="false">J63*$L$7*5/12</f>
        <v>3445.2945</v>
      </c>
      <c r="K65" s="431" t="n">
        <f aca="false">K63*$L$7*5/12</f>
        <v>1913.1795</v>
      </c>
      <c r="L65" s="431" t="n">
        <f aca="false">L63*$L$7*5/12</f>
        <v>0</v>
      </c>
      <c r="M65" s="431" t="n">
        <f aca="false">M63*$L$7*5/12</f>
        <v>0</v>
      </c>
      <c r="N65" s="431" t="n">
        <f aca="false">N63*$L$7*5/12</f>
        <v>0</v>
      </c>
      <c r="O65" s="431" t="n">
        <f aca="false">O63*$L$7*5/12</f>
        <v>0</v>
      </c>
      <c r="P65" s="431" t="n">
        <f aca="false">P63*$L$7*5/12</f>
        <v>0</v>
      </c>
      <c r="Q65" s="431" t="n">
        <f aca="false">Q63*$L$7*5/12</f>
        <v>0</v>
      </c>
      <c r="R65" s="431" t="n">
        <f aca="false">R63*$L$7*5/12</f>
        <v>0</v>
      </c>
      <c r="S65" s="431" t="n">
        <f aca="false">S63*$L$7*5/12</f>
        <v>0</v>
      </c>
      <c r="T65" s="431" t="n">
        <f aca="false">T63*$L$7*5/12</f>
        <v>0</v>
      </c>
      <c r="U65" s="431" t="n">
        <f aca="false">U63*$L$7*5/12</f>
        <v>0</v>
      </c>
      <c r="V65" s="431" t="n">
        <f aca="false">V63*$L$7*5/12</f>
        <v>0</v>
      </c>
      <c r="W65" s="431"/>
      <c r="X65" s="431"/>
      <c r="Y65" s="431"/>
      <c r="Z65" s="431"/>
      <c r="AA65" s="485"/>
      <c r="AB65" s="485"/>
      <c r="AC65" s="431"/>
      <c r="AD65" s="431"/>
      <c r="AE65" s="431"/>
      <c r="AF65" s="492"/>
      <c r="AG65" s="431"/>
      <c r="AH65" s="102"/>
    </row>
    <row r="66" customFormat="false" ht="12.75" hidden="false" customHeight="false" outlineLevel="0" collapsed="false">
      <c r="A66" s="431" t="s">
        <v>366</v>
      </c>
      <c r="B66" s="486" t="n">
        <f aca="false">B63-B64</f>
        <v>194000</v>
      </c>
      <c r="C66" s="431" t="n">
        <f aca="false">C63-C64</f>
        <v>194000</v>
      </c>
      <c r="D66" s="431" t="n">
        <f aca="false">D63-D64</f>
        <v>194000</v>
      </c>
      <c r="E66" s="431" t="n">
        <f aca="false">E63-E64</f>
        <v>194000</v>
      </c>
      <c r="F66" s="431" t="n">
        <f aca="false">F63-F64</f>
        <v>194000</v>
      </c>
      <c r="G66" s="431" t="n">
        <f aca="false">G63-G64</f>
        <v>172369</v>
      </c>
      <c r="H66" s="431" t="n">
        <f aca="false">H63-H64</f>
        <v>146955</v>
      </c>
      <c r="I66" s="431" t="n">
        <f aca="false">I63-I64</f>
        <v>118437</v>
      </c>
      <c r="J66" s="431" t="n">
        <f aca="false">J63-J64</f>
        <v>85069</v>
      </c>
      <c r="K66" s="431" t="n">
        <f aca="false">K63-K64</f>
        <v>47239</v>
      </c>
      <c r="L66" s="431" t="n">
        <f aca="false">L63-L64</f>
        <v>0</v>
      </c>
      <c r="M66" s="431" t="n">
        <f aca="false">M63-M64</f>
        <v>0</v>
      </c>
      <c r="N66" s="431" t="n">
        <f aca="false">N63-N64</f>
        <v>0</v>
      </c>
      <c r="O66" s="431" t="n">
        <f aca="false">O63-O64</f>
        <v>0</v>
      </c>
      <c r="P66" s="431" t="n">
        <f aca="false">P63-P64</f>
        <v>0</v>
      </c>
      <c r="Q66" s="431" t="n">
        <f aca="false">Q63-Q64</f>
        <v>0</v>
      </c>
      <c r="R66" s="431" t="n">
        <f aca="false">R63-R64</f>
        <v>0</v>
      </c>
      <c r="S66" s="431" t="n">
        <f aca="false">S63-S64</f>
        <v>0</v>
      </c>
      <c r="T66" s="431" t="n">
        <f aca="false">T63-T64</f>
        <v>0</v>
      </c>
      <c r="U66" s="431" t="n">
        <f aca="false">U63-U64</f>
        <v>0</v>
      </c>
      <c r="V66" s="431" t="n">
        <f aca="false">V63-V64</f>
        <v>0</v>
      </c>
      <c r="W66" s="431"/>
      <c r="X66" s="431"/>
      <c r="Y66" s="431"/>
      <c r="Z66" s="431"/>
      <c r="AA66" s="485"/>
      <c r="AB66" s="485"/>
      <c r="AC66" s="431"/>
      <c r="AD66" s="431"/>
      <c r="AE66" s="431"/>
      <c r="AF66" s="492"/>
      <c r="AG66" s="431"/>
      <c r="AH66" s="102"/>
    </row>
    <row r="67" customFormat="false" ht="12.75" hidden="false" customHeight="false" outlineLevel="0" collapsed="false">
      <c r="A67" s="431"/>
      <c r="B67" s="486"/>
      <c r="C67" s="431"/>
      <c r="D67" s="431"/>
      <c r="E67" s="431"/>
      <c r="F67" s="431"/>
      <c r="G67" s="431"/>
      <c r="H67" s="431"/>
      <c r="I67" s="431"/>
      <c r="J67" s="431"/>
      <c r="K67" s="431"/>
      <c r="L67" s="431"/>
      <c r="M67" s="431"/>
      <c r="N67" s="431"/>
      <c r="O67" s="431"/>
      <c r="P67" s="431"/>
      <c r="Q67" s="431"/>
      <c r="R67" s="431"/>
      <c r="S67" s="431"/>
      <c r="T67" s="431"/>
      <c r="U67" s="431"/>
      <c r="V67" s="431"/>
      <c r="W67" s="431"/>
      <c r="X67" s="431"/>
      <c r="Y67" s="431"/>
      <c r="Z67" s="431"/>
      <c r="AA67" s="485"/>
      <c r="AB67" s="485"/>
      <c r="AC67" s="431"/>
      <c r="AD67" s="431"/>
      <c r="AE67" s="431"/>
      <c r="AF67" s="492"/>
      <c r="AG67" s="431"/>
      <c r="AH67" s="102"/>
    </row>
    <row r="68" customFormat="false" ht="12.75" hidden="false" customHeight="false" outlineLevel="0" collapsed="false">
      <c r="A68" s="488" t="s">
        <v>371</v>
      </c>
      <c r="B68" s="486" t="n">
        <v>0</v>
      </c>
      <c r="C68" s="431" t="n">
        <f aca="false">C55+C60+B65</f>
        <v>10999.8</v>
      </c>
      <c r="D68" s="431" t="n">
        <f aca="false">D55+D60+C65</f>
        <v>18856.8</v>
      </c>
      <c r="E68" s="431" t="n">
        <f aca="false">E55+E60+D65</f>
        <v>18856.8</v>
      </c>
      <c r="F68" s="431" t="n">
        <f aca="false">F55+F60+E65</f>
        <v>18856.8</v>
      </c>
      <c r="G68" s="431" t="n">
        <f aca="false">G55+G60+F65</f>
        <v>18418.77225</v>
      </c>
      <c r="H68" s="431" t="n">
        <f aca="false">H55+H60+G65</f>
        <v>16136.7066</v>
      </c>
      <c r="I68" s="431" t="n">
        <f aca="false">I55+I60+H65</f>
        <v>13591.0386</v>
      </c>
      <c r="J68" s="431" t="n">
        <f aca="false">J55+J60+I65</f>
        <v>10701.234</v>
      </c>
      <c r="K68" s="431" t="n">
        <f aca="false">K55+K60+J65</f>
        <v>7349.4378</v>
      </c>
      <c r="L68" s="431" t="n">
        <f aca="false">L55+L60+K65</f>
        <v>3443.7231</v>
      </c>
      <c r="M68" s="431" t="n">
        <f aca="false">M55+M60+L65</f>
        <v>0</v>
      </c>
      <c r="N68" s="431" t="n">
        <f aca="false">N55+N60+M65</f>
        <v>0</v>
      </c>
      <c r="O68" s="431" t="n">
        <f aca="false">O55+O60+N65</f>
        <v>0</v>
      </c>
      <c r="P68" s="431" t="n">
        <f aca="false">P55+P60+O65</f>
        <v>0</v>
      </c>
      <c r="Q68" s="431" t="n">
        <f aca="false">Q55+Q60+P65</f>
        <v>0</v>
      </c>
      <c r="R68" s="431" t="n">
        <f aca="false">R55+R60+Q65</f>
        <v>0</v>
      </c>
      <c r="S68" s="431" t="n">
        <f aca="false">S55+S60+R65</f>
        <v>0</v>
      </c>
      <c r="T68" s="431" t="n">
        <f aca="false">T55+T60+S65</f>
        <v>0</v>
      </c>
      <c r="U68" s="431" t="n">
        <f aca="false">U55+U60+T65</f>
        <v>0</v>
      </c>
      <c r="V68" s="431" t="n">
        <f aca="false">V55+V60+U65</f>
        <v>0</v>
      </c>
      <c r="W68" s="431"/>
      <c r="X68" s="431"/>
      <c r="Y68" s="431"/>
      <c r="Z68" s="431"/>
      <c r="AA68" s="485"/>
      <c r="AB68" s="485"/>
      <c r="AC68" s="431"/>
      <c r="AD68" s="431"/>
      <c r="AE68" s="431"/>
      <c r="AF68" s="492"/>
      <c r="AG68" s="431"/>
      <c r="AH68" s="102"/>
    </row>
    <row r="69" customFormat="false" ht="12.75" hidden="false" customHeight="false" outlineLevel="0" collapsed="false">
      <c r="A69" s="385" t="s">
        <v>372</v>
      </c>
      <c r="B69" s="486" t="n">
        <f aca="false">B55+B60+B65</f>
        <v>0</v>
      </c>
      <c r="C69" s="431" t="n">
        <f aca="false">C55+C60+C65</f>
        <v>18856.8</v>
      </c>
      <c r="D69" s="431" t="n">
        <f aca="false">D55+D60+D65</f>
        <v>18856.8</v>
      </c>
      <c r="E69" s="431" t="n">
        <f aca="false">E55+E60+E65</f>
        <v>18856.8</v>
      </c>
      <c r="F69" s="431" t="n">
        <f aca="false">F55+F60+F65</f>
        <v>18856.8</v>
      </c>
      <c r="G69" s="431" t="n">
        <f aca="false">G55+G60+G65</f>
        <v>17542.71675</v>
      </c>
      <c r="H69" s="431" t="n">
        <f aca="false">H55+H60+H65</f>
        <v>15107.4396</v>
      </c>
      <c r="I69" s="431" t="n">
        <f aca="false">I55+I60+I65</f>
        <v>12436.0596</v>
      </c>
      <c r="J69" s="431" t="n">
        <f aca="false">J55+J60+J65</f>
        <v>9349.83</v>
      </c>
      <c r="K69" s="431" t="n">
        <f aca="false">K55+K60+K65</f>
        <v>5817.3228</v>
      </c>
      <c r="L69" s="431" t="n">
        <f aca="false">L55+L60+L65</f>
        <v>1530.5436</v>
      </c>
      <c r="M69" s="431" t="n">
        <f aca="false">M55+M60+M65</f>
        <v>0</v>
      </c>
      <c r="N69" s="431" t="n">
        <f aca="false">N55+N60+N65</f>
        <v>0</v>
      </c>
      <c r="O69" s="431" t="n">
        <f aca="false">O55+O60+O65</f>
        <v>0</v>
      </c>
      <c r="P69" s="431" t="n">
        <f aca="false">P55+P60+P65</f>
        <v>0</v>
      </c>
      <c r="Q69" s="431" t="n">
        <f aca="false">Q55+Q60+Q65</f>
        <v>0</v>
      </c>
      <c r="R69" s="431" t="n">
        <f aca="false">R55+R60+R65</f>
        <v>0</v>
      </c>
      <c r="S69" s="431" t="n">
        <f aca="false">S55+S60+S65</f>
        <v>0</v>
      </c>
      <c r="T69" s="431" t="n">
        <f aca="false">T55+T60+T65</f>
        <v>0</v>
      </c>
      <c r="U69" s="431" t="n">
        <f aca="false">U55+U60+U65</f>
        <v>0</v>
      </c>
      <c r="V69" s="431" t="n">
        <f aca="false">V55+V60+V65</f>
        <v>0</v>
      </c>
      <c r="AA69" s="1"/>
      <c r="AB69" s="1"/>
      <c r="AF69" s="78"/>
      <c r="AG69" s="431"/>
      <c r="AH69" s="102"/>
    </row>
    <row r="70" customFormat="false" ht="12.75" hidden="false" customHeight="false" outlineLevel="0" collapsed="false">
      <c r="A70" s="488" t="s">
        <v>373</v>
      </c>
      <c r="B70" s="486" t="n">
        <f aca="false">B54+B59</f>
        <v>0</v>
      </c>
      <c r="C70" s="486" t="n">
        <f aca="false">C54+C59+B64</f>
        <v>0</v>
      </c>
      <c r="D70" s="486" t="n">
        <f aca="false">D54+D59+C64</f>
        <v>0</v>
      </c>
      <c r="E70" s="486" t="n">
        <f aca="false">E54+E59+D64</f>
        <v>0</v>
      </c>
      <c r="F70" s="486" t="n">
        <f aca="false">F54+F59+E64</f>
        <v>0</v>
      </c>
      <c r="G70" s="486" t="n">
        <f aca="false">G54+G59+F64</f>
        <v>21631</v>
      </c>
      <c r="H70" s="486" t="n">
        <f aca="false">H54+H59+G64</f>
        <v>25414</v>
      </c>
      <c r="I70" s="486" t="n">
        <f aca="false">I54+I59+H64</f>
        <v>28518</v>
      </c>
      <c r="J70" s="486" t="n">
        <f aca="false">J54+J59+I64</f>
        <v>33368</v>
      </c>
      <c r="K70" s="486" t="n">
        <f aca="false">K54+K59+J64</f>
        <v>37830</v>
      </c>
      <c r="L70" s="486" t="n">
        <f aca="false">L54+L59+K64</f>
        <v>47239</v>
      </c>
      <c r="M70" s="486" t="n">
        <f aca="false">M54+M59+L64</f>
        <v>0</v>
      </c>
      <c r="N70" s="486" t="n">
        <f aca="false">N54+N59+M64</f>
        <v>0</v>
      </c>
      <c r="O70" s="486" t="n">
        <f aca="false">O54+O59+N64</f>
        <v>0</v>
      </c>
      <c r="P70" s="486" t="n">
        <f aca="false">P54+P59+O64</f>
        <v>0</v>
      </c>
      <c r="Q70" s="486" t="n">
        <f aca="false">Q54+Q59+P64</f>
        <v>0</v>
      </c>
      <c r="R70" s="486" t="n">
        <f aca="false">R54+R59+Q64</f>
        <v>0</v>
      </c>
      <c r="S70" s="486" t="n">
        <f aca="false">S54+S59+R64</f>
        <v>0</v>
      </c>
      <c r="T70" s="486" t="n">
        <f aca="false">T54+T59+S64</f>
        <v>0</v>
      </c>
      <c r="U70" s="486" t="n">
        <f aca="false">U54+U59+T64</f>
        <v>0</v>
      </c>
      <c r="V70" s="486" t="n">
        <f aca="false">V54+V59+U64</f>
        <v>0</v>
      </c>
      <c r="AA70" s="1"/>
      <c r="AB70" s="1"/>
      <c r="AF70" s="78"/>
      <c r="AG70" s="431"/>
      <c r="AH70" s="102"/>
    </row>
    <row r="71" customFormat="false" ht="12.75" hidden="false" customHeight="false" outlineLevel="0" collapsed="false">
      <c r="A71" s="385" t="s">
        <v>369</v>
      </c>
      <c r="B71" s="486" t="n">
        <f aca="false">B64</f>
        <v>0</v>
      </c>
      <c r="C71" s="486" t="n">
        <f aca="false">C64</f>
        <v>0</v>
      </c>
      <c r="D71" s="486" t="n">
        <f aca="false">D64</f>
        <v>0</v>
      </c>
      <c r="E71" s="486" t="n">
        <f aca="false">E64</f>
        <v>0</v>
      </c>
      <c r="F71" s="486" t="n">
        <f aca="false">F64</f>
        <v>0</v>
      </c>
      <c r="G71" s="486" t="n">
        <f aca="false">G64</f>
        <v>0</v>
      </c>
      <c r="H71" s="486" t="n">
        <f aca="false">H64</f>
        <v>0</v>
      </c>
      <c r="I71" s="486" t="n">
        <f aca="false">I64</f>
        <v>0</v>
      </c>
      <c r="J71" s="486" t="n">
        <f aca="false">J64</f>
        <v>0</v>
      </c>
      <c r="K71" s="486" t="n">
        <f aca="false">K64</f>
        <v>0</v>
      </c>
      <c r="L71" s="486" t="n">
        <f aca="false">L64</f>
        <v>0</v>
      </c>
      <c r="M71" s="486" t="n">
        <f aca="false">M64</f>
        <v>0</v>
      </c>
      <c r="N71" s="486" t="n">
        <f aca="false">N64</f>
        <v>0</v>
      </c>
      <c r="O71" s="486" t="n">
        <f aca="false">O64</f>
        <v>0</v>
      </c>
      <c r="P71" s="486" t="n">
        <f aca="false">P64</f>
        <v>0</v>
      </c>
      <c r="Q71" s="486" t="n">
        <f aca="false">Q64</f>
        <v>0</v>
      </c>
      <c r="R71" s="486" t="n">
        <f aca="false">R64</f>
        <v>0</v>
      </c>
      <c r="S71" s="486" t="n">
        <f aca="false">S64</f>
        <v>0</v>
      </c>
      <c r="T71" s="486" t="n">
        <f aca="false">T64</f>
        <v>0</v>
      </c>
      <c r="U71" s="486" t="n">
        <f aca="false">U64</f>
        <v>0</v>
      </c>
      <c r="V71" s="486" t="n">
        <f aca="false">V64</f>
        <v>0</v>
      </c>
      <c r="AA71" s="1"/>
      <c r="AB71" s="1"/>
      <c r="AF71" s="78"/>
      <c r="AG71" s="431"/>
      <c r="AH71" s="102"/>
    </row>
    <row r="72" customFormat="false" ht="12.75" hidden="false" customHeight="false" outlineLevel="0" collapsed="false">
      <c r="B72" s="493"/>
      <c r="C72" s="431"/>
      <c r="D72" s="431"/>
      <c r="E72" s="431"/>
      <c r="F72" s="431"/>
      <c r="G72" s="431"/>
      <c r="H72" s="431"/>
      <c r="I72" s="431"/>
      <c r="J72" s="431"/>
      <c r="K72" s="431"/>
      <c r="L72" s="431"/>
      <c r="M72" s="431"/>
      <c r="N72" s="431"/>
      <c r="O72" s="431"/>
      <c r="P72" s="431"/>
      <c r="Q72" s="431"/>
      <c r="R72" s="431"/>
      <c r="S72" s="431"/>
      <c r="T72" s="431"/>
      <c r="U72" s="431"/>
      <c r="V72" s="431"/>
      <c r="W72" s="431"/>
      <c r="X72" s="431"/>
      <c r="Y72" s="431"/>
      <c r="Z72" s="431"/>
      <c r="AA72" s="485"/>
      <c r="AB72" s="485"/>
      <c r="AC72" s="431"/>
      <c r="AD72" s="431"/>
      <c r="AE72" s="431"/>
      <c r="AF72" s="490"/>
      <c r="AG72" s="431"/>
      <c r="AH72" s="102"/>
    </row>
    <row r="73" customFormat="false" ht="12.75" hidden="false" customHeight="false" outlineLevel="0" collapsed="false">
      <c r="B73" s="486"/>
      <c r="C73" s="431"/>
      <c r="D73" s="431"/>
      <c r="E73" s="431"/>
      <c r="F73" s="431"/>
      <c r="G73" s="431"/>
      <c r="H73" s="431"/>
      <c r="I73" s="431"/>
      <c r="J73" s="431"/>
      <c r="K73" s="431"/>
      <c r="L73" s="431"/>
      <c r="M73" s="431"/>
      <c r="N73" s="431"/>
      <c r="O73" s="431"/>
      <c r="P73" s="431"/>
      <c r="Q73" s="431"/>
      <c r="R73" s="431"/>
      <c r="S73" s="431"/>
      <c r="T73" s="431"/>
      <c r="U73" s="431"/>
      <c r="V73" s="431"/>
      <c r="W73" s="431"/>
      <c r="X73" s="431"/>
      <c r="Y73" s="431"/>
      <c r="Z73" s="431"/>
      <c r="AA73" s="485"/>
      <c r="AB73" s="485"/>
      <c r="AC73" s="431"/>
      <c r="AD73" s="431"/>
      <c r="AE73" s="431"/>
      <c r="AF73" s="492"/>
      <c r="AG73" s="431"/>
      <c r="AH73" s="102"/>
    </row>
    <row r="74" customFormat="false" ht="12.75" hidden="false" customHeight="false" outlineLevel="0" collapsed="false">
      <c r="A74" s="482" t="str">
        <f aca="false">CONCATENATE("Tranche 3 @ ",R7*100,"%")</f>
        <v>Tranche 3 @ 10.435%</v>
      </c>
      <c r="B74" s="94"/>
      <c r="C74" s="483"/>
      <c r="AA74" s="1"/>
      <c r="AB74" s="1"/>
      <c r="AF74" s="78"/>
    </row>
    <row r="75" customFormat="false" ht="12.75" hidden="false" customHeight="false" outlineLevel="0" collapsed="false">
      <c r="A75" s="391" t="s">
        <v>362</v>
      </c>
      <c r="B75" s="486"/>
      <c r="AA75" s="1"/>
      <c r="AB75" s="1"/>
      <c r="AF75" s="78"/>
    </row>
    <row r="76" customFormat="false" ht="12.75" hidden="false" customHeight="false" outlineLevel="0" collapsed="false">
      <c r="A76" s="431" t="s">
        <v>363</v>
      </c>
      <c r="B76" s="489" t="n">
        <f aca="false">R10</f>
        <v>425000</v>
      </c>
      <c r="C76" s="431" t="n">
        <f aca="false">B89</f>
        <v>425000</v>
      </c>
      <c r="D76" s="431" t="n">
        <f aca="false">C89</f>
        <v>425000</v>
      </c>
      <c r="E76" s="431" t="n">
        <f aca="false">D89</f>
        <v>425000</v>
      </c>
      <c r="F76" s="431" t="n">
        <f aca="false">E89</f>
        <v>425000</v>
      </c>
      <c r="G76" s="431" t="n">
        <f aca="false">F89</f>
        <v>425000</v>
      </c>
      <c r="H76" s="431" t="n">
        <f aca="false">G89</f>
        <v>425000</v>
      </c>
      <c r="I76" s="431" t="n">
        <f aca="false">H89</f>
        <v>425000</v>
      </c>
      <c r="J76" s="431" t="n">
        <f aca="false">I89</f>
        <v>425000</v>
      </c>
      <c r="K76" s="431" t="n">
        <f aca="false">J89</f>
        <v>425000</v>
      </c>
      <c r="L76" s="431" t="n">
        <f aca="false">K89</f>
        <v>425000</v>
      </c>
      <c r="M76" s="431" t="n">
        <f aca="false">L89</f>
        <v>425000</v>
      </c>
      <c r="N76" s="431" t="n">
        <f aca="false">M89</f>
        <v>392569.759642319</v>
      </c>
      <c r="O76" s="431" t="n">
        <f aca="false">N89</f>
        <v>356519.051729409</v>
      </c>
      <c r="P76" s="431" t="n">
        <f aca="false">O89</f>
        <v>316804.189274303</v>
      </c>
      <c r="Q76" s="431" t="n">
        <f aca="false">P89</f>
        <v>274452.490849677</v>
      </c>
      <c r="R76" s="431" t="n">
        <f aca="false">Q89</f>
        <v>229193.735713575</v>
      </c>
      <c r="S76" s="431" t="n">
        <f aca="false">R89</f>
        <v>179869.659071396</v>
      </c>
      <c r="T76" s="431" t="n">
        <f aca="false">S89</f>
        <v>129582.772510436</v>
      </c>
      <c r="U76" s="431" t="n">
        <f aca="false">T89</f>
        <v>80463.0513255787</v>
      </c>
      <c r="V76" s="431" t="n">
        <f aca="false">U89</f>
        <v>37157.2314259745</v>
      </c>
      <c r="W76" s="431"/>
      <c r="X76" s="431"/>
      <c r="Y76" s="431"/>
      <c r="Z76" s="431"/>
      <c r="AA76" s="485"/>
      <c r="AB76" s="485"/>
      <c r="AC76" s="431"/>
      <c r="AD76" s="431"/>
      <c r="AE76" s="431"/>
      <c r="AF76" s="490"/>
      <c r="AG76" s="431"/>
      <c r="AH76" s="102"/>
    </row>
    <row r="77" customFormat="false" ht="12.75" hidden="false" customHeight="false" outlineLevel="0" collapsed="false">
      <c r="A77" s="431" t="s">
        <v>364</v>
      </c>
      <c r="B77" s="486" t="n">
        <v>0</v>
      </c>
      <c r="C77" s="431" t="n">
        <f aca="false">$B$76*1/12*C25</f>
        <v>0</v>
      </c>
      <c r="D77" s="431" t="n">
        <f aca="false">$B$76*6/12*D25</f>
        <v>0</v>
      </c>
      <c r="E77" s="431" t="n">
        <f aca="false">$B$76*6/12*E25</f>
        <v>0</v>
      </c>
      <c r="F77" s="431" t="n">
        <f aca="false">$B$76*6/12*F25</f>
        <v>0</v>
      </c>
      <c r="G77" s="431" t="n">
        <f aca="false">$B$76*6/12*G25</f>
        <v>0</v>
      </c>
      <c r="H77" s="431" t="n">
        <f aca="false">$B$76*6/12*H25</f>
        <v>0</v>
      </c>
      <c r="I77" s="431" t="n">
        <f aca="false">$B$76*6/12*I25</f>
        <v>0</v>
      </c>
      <c r="J77" s="431" t="n">
        <f aca="false">$B$76*6/12*J25</f>
        <v>0</v>
      </c>
      <c r="K77" s="431" t="n">
        <f aca="false">$B$76*6/12*K25</f>
        <v>0</v>
      </c>
      <c r="L77" s="431" t="n">
        <v>0</v>
      </c>
      <c r="M77" s="492" t="n">
        <f aca="false">$B$76*6/12*M25</f>
        <v>16215.1201788405</v>
      </c>
      <c r="N77" s="431" t="n">
        <f aca="false">$B$76*6/12*N25</f>
        <v>18025.3539564551</v>
      </c>
      <c r="O77" s="431" t="n">
        <f aca="false">$B$76*6/12*O25</f>
        <v>19857.4312275529</v>
      </c>
      <c r="P77" s="431" t="n">
        <f aca="false">$B$76*6/12*P25</f>
        <v>21175.849212313</v>
      </c>
      <c r="Q77" s="431" t="n">
        <f aca="false">$B$76*6/12*Q25</f>
        <v>22629.3775680508</v>
      </c>
      <c r="R77" s="431" t="n">
        <f aca="false">$B$76*6/12*R25</f>
        <v>24662.0383210895</v>
      </c>
      <c r="S77" s="431" t="n">
        <f aca="false">$B$76*6/12*S25</f>
        <v>25143.4432804799</v>
      </c>
      <c r="T77" s="431" t="n">
        <f aca="false">$B$76*6/12*T25</f>
        <v>24559.8605924288</v>
      </c>
      <c r="U77" s="431" t="n">
        <f aca="false">$B$76*6/12*U25</f>
        <v>21652.9099498021</v>
      </c>
      <c r="V77" s="431" t="n">
        <f aca="false">$B$76*6/12*V25</f>
        <v>18578.6157129873</v>
      </c>
      <c r="W77" s="492"/>
      <c r="X77" s="492"/>
      <c r="Y77" s="492"/>
      <c r="Z77" s="492"/>
      <c r="AA77" s="485"/>
      <c r="AB77" s="485"/>
      <c r="AC77" s="492"/>
      <c r="AD77" s="492"/>
      <c r="AE77" s="492"/>
      <c r="AF77" s="492"/>
      <c r="AG77" s="492"/>
      <c r="AH77" s="102"/>
    </row>
    <row r="78" customFormat="false" ht="12.75" hidden="false" customHeight="false" outlineLevel="0" collapsed="false">
      <c r="A78" s="431" t="s">
        <v>365</v>
      </c>
      <c r="B78" s="486" t="n">
        <v>0</v>
      </c>
      <c r="C78" s="431" t="n">
        <f aca="false">C76*$R$7*1/12</f>
        <v>3695.72916666667</v>
      </c>
      <c r="D78" s="431" t="n">
        <f aca="false">D76*$R$7*1/12</f>
        <v>3695.72916666667</v>
      </c>
      <c r="E78" s="431" t="n">
        <f aca="false">E76*$R$7*1/12</f>
        <v>3695.72916666667</v>
      </c>
      <c r="F78" s="431" t="n">
        <f aca="false">F76*$R$7*1/12</f>
        <v>3695.72916666667</v>
      </c>
      <c r="G78" s="431" t="n">
        <f aca="false">G76*$R$7*1/12</f>
        <v>3695.72916666667</v>
      </c>
      <c r="H78" s="431" t="n">
        <f aca="false">H76*$R$7*1/12</f>
        <v>3695.72916666667</v>
      </c>
      <c r="I78" s="431" t="n">
        <f aca="false">I76*$R$7*1/12</f>
        <v>3695.72916666667</v>
      </c>
      <c r="J78" s="431" t="n">
        <f aca="false">J76*$R$7*1/12</f>
        <v>3695.72916666667</v>
      </c>
      <c r="K78" s="431" t="n">
        <f aca="false">K76*$R$7*1/12</f>
        <v>3695.72916666667</v>
      </c>
      <c r="L78" s="431" t="n">
        <f aca="false">L76*$R$7*1/12</f>
        <v>3695.72916666667</v>
      </c>
      <c r="M78" s="492" t="n">
        <f aca="false">M76*$R$7*1/12</f>
        <v>3695.72916666667</v>
      </c>
      <c r="N78" s="492" t="n">
        <f aca="false">N76*$R$7*1/12</f>
        <v>3413.72120155633</v>
      </c>
      <c r="O78" s="492" t="n">
        <f aca="false">O76*$R$7*1/12</f>
        <v>3100.23025399698</v>
      </c>
      <c r="P78" s="492" t="n">
        <f aca="false">P76*$R$7*1/12</f>
        <v>2754.87642923113</v>
      </c>
      <c r="Q78" s="492" t="n">
        <f aca="false">Q76*$R$7*1/12</f>
        <v>2386.59311834698</v>
      </c>
      <c r="R78" s="492" t="n">
        <f aca="false">R76*$R$7*1/12</f>
        <v>1993.0305268093</v>
      </c>
      <c r="S78" s="492" t="n">
        <f aca="false">S76*$R$7*1/12</f>
        <v>1564.11657700835</v>
      </c>
      <c r="T78" s="492" t="n">
        <f aca="false">T76*$R$7*1/12</f>
        <v>1126.830192622</v>
      </c>
      <c r="U78" s="492" t="n">
        <f aca="false">U76*$R$7*1/12</f>
        <v>699.693283818678</v>
      </c>
      <c r="V78" s="492" t="n">
        <f aca="false">V76*$R$7*1/12</f>
        <v>323.11309160837</v>
      </c>
      <c r="W78" s="492"/>
      <c r="X78" s="492"/>
      <c r="Y78" s="492"/>
      <c r="Z78" s="492"/>
      <c r="AA78" s="485"/>
      <c r="AB78" s="485"/>
      <c r="AC78" s="492"/>
      <c r="AD78" s="492"/>
      <c r="AE78" s="492"/>
      <c r="AF78" s="492"/>
      <c r="AG78" s="492"/>
      <c r="AH78" s="102"/>
    </row>
    <row r="79" customFormat="false" ht="12.75" hidden="false" customHeight="false" outlineLevel="0" collapsed="false">
      <c r="A79" s="431" t="s">
        <v>366</v>
      </c>
      <c r="B79" s="486" t="n">
        <f aca="false">B76-B77</f>
        <v>425000</v>
      </c>
      <c r="C79" s="431" t="n">
        <f aca="false">C76-C77</f>
        <v>425000</v>
      </c>
      <c r="D79" s="431" t="n">
        <f aca="false">D76-D77</f>
        <v>425000</v>
      </c>
      <c r="E79" s="431" t="n">
        <f aca="false">E76-E77</f>
        <v>425000</v>
      </c>
      <c r="F79" s="431" t="n">
        <f aca="false">F76-F77</f>
        <v>425000</v>
      </c>
      <c r="G79" s="431" t="n">
        <f aca="false">G76-G77</f>
        <v>425000</v>
      </c>
      <c r="H79" s="431" t="n">
        <f aca="false">H76-H77</f>
        <v>425000</v>
      </c>
      <c r="I79" s="431" t="n">
        <f aca="false">I76-I77</f>
        <v>425000</v>
      </c>
      <c r="J79" s="431" t="n">
        <f aca="false">J76-J77</f>
        <v>425000</v>
      </c>
      <c r="K79" s="431" t="n">
        <f aca="false">K76-K77</f>
        <v>425000</v>
      </c>
      <c r="L79" s="431" t="n">
        <f aca="false">L76-L77</f>
        <v>425000</v>
      </c>
      <c r="M79" s="492" t="n">
        <f aca="false">M76-M77</f>
        <v>408784.879821159</v>
      </c>
      <c r="N79" s="492" t="n">
        <f aca="false">N76-N77</f>
        <v>374544.405685864</v>
      </c>
      <c r="O79" s="492" t="n">
        <f aca="false">O76-O77</f>
        <v>336661.620501856</v>
      </c>
      <c r="P79" s="492" t="n">
        <f aca="false">P76-P77</f>
        <v>295628.34006199</v>
      </c>
      <c r="Q79" s="492" t="n">
        <f aca="false">Q76-Q77</f>
        <v>251823.113281626</v>
      </c>
      <c r="R79" s="492" t="n">
        <f aca="false">R76-R77</f>
        <v>204531.697392486</v>
      </c>
      <c r="S79" s="492" t="n">
        <f aca="false">S76-S77</f>
        <v>154726.215790916</v>
      </c>
      <c r="T79" s="492" t="n">
        <f aca="false">T76-T77</f>
        <v>105022.911918007</v>
      </c>
      <c r="U79" s="492" t="n">
        <f aca="false">U76-U77</f>
        <v>58810.1413757766</v>
      </c>
      <c r="V79" s="492" t="n">
        <f aca="false">V76-V77</f>
        <v>18578.6157129872</v>
      </c>
      <c r="W79" s="492"/>
      <c r="X79" s="492"/>
      <c r="Y79" s="492"/>
      <c r="Z79" s="492"/>
      <c r="AA79" s="485"/>
      <c r="AB79" s="485"/>
      <c r="AC79" s="492"/>
      <c r="AD79" s="492"/>
      <c r="AE79" s="492"/>
      <c r="AF79" s="492"/>
      <c r="AG79" s="492"/>
      <c r="AH79" s="102"/>
    </row>
    <row r="80" customFormat="false" ht="12.75" hidden="false" customHeight="false" outlineLevel="0" collapsed="false">
      <c r="A80" s="391" t="s">
        <v>367</v>
      </c>
      <c r="B80" s="486"/>
      <c r="C80" s="431"/>
      <c r="D80" s="431"/>
      <c r="E80" s="431"/>
      <c r="F80" s="431"/>
      <c r="G80" s="431"/>
      <c r="H80" s="431"/>
      <c r="I80" s="431"/>
      <c r="J80" s="431"/>
      <c r="K80" s="431"/>
      <c r="L80" s="431"/>
      <c r="M80" s="492"/>
      <c r="N80" s="492"/>
      <c r="O80" s="492"/>
      <c r="P80" s="492"/>
      <c r="Q80" s="492"/>
      <c r="R80" s="492"/>
      <c r="S80" s="492"/>
      <c r="T80" s="492"/>
      <c r="U80" s="492"/>
      <c r="V80" s="492"/>
      <c r="W80" s="492"/>
      <c r="X80" s="492"/>
      <c r="Y80" s="492"/>
      <c r="Z80" s="492"/>
      <c r="AA80" s="485"/>
      <c r="AB80" s="485"/>
      <c r="AC80" s="492"/>
      <c r="AD80" s="492"/>
      <c r="AE80" s="492"/>
      <c r="AF80" s="492"/>
      <c r="AG80" s="492"/>
      <c r="AH80" s="102"/>
    </row>
    <row r="81" customFormat="false" ht="12.75" hidden="false" customHeight="false" outlineLevel="0" collapsed="false">
      <c r="A81" s="431" t="s">
        <v>363</v>
      </c>
      <c r="B81" s="486" t="n">
        <f aca="false">B79</f>
        <v>425000</v>
      </c>
      <c r="C81" s="431" t="n">
        <f aca="false">C79</f>
        <v>425000</v>
      </c>
      <c r="D81" s="431" t="n">
        <f aca="false">D79</f>
        <v>425000</v>
      </c>
      <c r="E81" s="431" t="n">
        <f aca="false">E79</f>
        <v>425000</v>
      </c>
      <c r="F81" s="431" t="n">
        <f aca="false">F79</f>
        <v>425000</v>
      </c>
      <c r="G81" s="431" t="n">
        <f aca="false">G79</f>
        <v>425000</v>
      </c>
      <c r="H81" s="431" t="n">
        <f aca="false">H79</f>
        <v>425000</v>
      </c>
      <c r="I81" s="431" t="n">
        <f aca="false">I79</f>
        <v>425000</v>
      </c>
      <c r="J81" s="431" t="n">
        <f aca="false">J79</f>
        <v>425000</v>
      </c>
      <c r="K81" s="431" t="n">
        <f aca="false">K79</f>
        <v>425000</v>
      </c>
      <c r="L81" s="431" t="n">
        <f aca="false">L79</f>
        <v>425000</v>
      </c>
      <c r="M81" s="492" t="n">
        <f aca="false">M79</f>
        <v>408784.879821159</v>
      </c>
      <c r="N81" s="492" t="n">
        <f aca="false">N79</f>
        <v>374544.405685864</v>
      </c>
      <c r="O81" s="492" t="n">
        <f aca="false">O79</f>
        <v>336661.620501856</v>
      </c>
      <c r="P81" s="492" t="n">
        <f aca="false">P79</f>
        <v>295628.34006199</v>
      </c>
      <c r="Q81" s="492" t="n">
        <f aca="false">Q79</f>
        <v>251823.113281626</v>
      </c>
      <c r="R81" s="492" t="n">
        <f aca="false">R79</f>
        <v>204531.697392486</v>
      </c>
      <c r="S81" s="492" t="n">
        <f aca="false">S79</f>
        <v>154726.215790916</v>
      </c>
      <c r="T81" s="492" t="n">
        <f aca="false">T79</f>
        <v>105022.911918007</v>
      </c>
      <c r="U81" s="492" t="n">
        <f aca="false">U79</f>
        <v>58810.1413757766</v>
      </c>
      <c r="V81" s="492" t="n">
        <f aca="false">V79</f>
        <v>18578.6157129872</v>
      </c>
      <c r="W81" s="492"/>
      <c r="X81" s="492"/>
      <c r="Y81" s="492"/>
      <c r="Z81" s="492"/>
      <c r="AA81" s="485"/>
      <c r="AB81" s="485"/>
      <c r="AC81" s="492"/>
      <c r="AD81" s="492"/>
      <c r="AE81" s="492"/>
      <c r="AF81" s="492"/>
      <c r="AG81" s="492"/>
      <c r="AH81" s="102"/>
    </row>
    <row r="82" customFormat="false" ht="12.75" hidden="false" customHeight="false" outlineLevel="0" collapsed="false">
      <c r="A82" s="431" t="s">
        <v>364</v>
      </c>
      <c r="B82" s="486" t="n">
        <v>0</v>
      </c>
      <c r="C82" s="431" t="n">
        <f aca="false">$B$76*6/12*C25</f>
        <v>0</v>
      </c>
      <c r="D82" s="431" t="n">
        <f aca="false">$B$76*6/12*D25</f>
        <v>0</v>
      </c>
      <c r="E82" s="431" t="n">
        <f aca="false">$B$76*6/12*E25</f>
        <v>0</v>
      </c>
      <c r="F82" s="431" t="n">
        <f aca="false">$B$76*6/12*F25</f>
        <v>0</v>
      </c>
      <c r="G82" s="431" t="n">
        <f aca="false">$B$76*6/12*G25</f>
        <v>0</v>
      </c>
      <c r="H82" s="431" t="n">
        <f aca="false">$B$76*6/12*H25</f>
        <v>0</v>
      </c>
      <c r="I82" s="431" t="n">
        <f aca="false">$B$76*6/12*I25</f>
        <v>0</v>
      </c>
      <c r="J82" s="431" t="n">
        <f aca="false">$B$76*6/12*J25</f>
        <v>0</v>
      </c>
      <c r="K82" s="431" t="n">
        <f aca="false">$B$76*6/12*K25</f>
        <v>0</v>
      </c>
      <c r="L82" s="431" t="n">
        <f aca="false">$B$76*L25</f>
        <v>0</v>
      </c>
      <c r="M82" s="431" t="n">
        <f aca="false">$B$76*6/12*M25</f>
        <v>16215.1201788405</v>
      </c>
      <c r="N82" s="431" t="n">
        <f aca="false">$B$76*6/12*N25</f>
        <v>18025.3539564551</v>
      </c>
      <c r="O82" s="431" t="n">
        <f aca="false">$B$76*6/12*O25</f>
        <v>19857.4312275529</v>
      </c>
      <c r="P82" s="431" t="n">
        <f aca="false">$B$76*6/12*P25</f>
        <v>21175.849212313</v>
      </c>
      <c r="Q82" s="431" t="n">
        <f aca="false">$B$76*6/12*Q25</f>
        <v>22629.3775680508</v>
      </c>
      <c r="R82" s="431" t="n">
        <f aca="false">$B$76*6/12*R25</f>
        <v>24662.0383210895</v>
      </c>
      <c r="S82" s="431" t="n">
        <f aca="false">$B$76*6/12*S25</f>
        <v>25143.4432804799</v>
      </c>
      <c r="T82" s="492" t="n">
        <f aca="false">$B$76*6/12*T25</f>
        <v>24559.8605924288</v>
      </c>
      <c r="U82" s="492" t="n">
        <f aca="false">$B$76*6/12*U25</f>
        <v>21652.9099498021</v>
      </c>
      <c r="V82" s="492" t="n">
        <f aca="false">$B$76*6/12*V25</f>
        <v>18578.6157129873</v>
      </c>
      <c r="W82" s="492"/>
      <c r="X82" s="492"/>
      <c r="Y82" s="492"/>
      <c r="Z82" s="492"/>
      <c r="AA82" s="485"/>
      <c r="AB82" s="485"/>
      <c r="AC82" s="492"/>
      <c r="AD82" s="492"/>
      <c r="AE82" s="492"/>
      <c r="AF82" s="492"/>
      <c r="AG82" s="492"/>
      <c r="AH82" s="102"/>
    </row>
    <row r="83" customFormat="false" ht="12.75" hidden="false" customHeight="false" outlineLevel="0" collapsed="false">
      <c r="A83" s="431" t="s">
        <v>365</v>
      </c>
      <c r="B83" s="486" t="n">
        <v>0</v>
      </c>
      <c r="C83" s="431" t="n">
        <f aca="false">C81*$R$7*0.5</f>
        <v>22174.375</v>
      </c>
      <c r="D83" s="431" t="n">
        <f aca="false">D81*$R$7*0.5</f>
        <v>22174.375</v>
      </c>
      <c r="E83" s="431" t="n">
        <f aca="false">E81*$R$7*0.5</f>
        <v>22174.375</v>
      </c>
      <c r="F83" s="431" t="n">
        <f aca="false">F81*$R$7*0.5</f>
        <v>22174.375</v>
      </c>
      <c r="G83" s="431" t="n">
        <f aca="false">G81*$R$7*0.5</f>
        <v>22174.375</v>
      </c>
      <c r="H83" s="431" t="n">
        <f aca="false">H81*$R$7*0.5</f>
        <v>22174.375</v>
      </c>
      <c r="I83" s="431" t="n">
        <f aca="false">I81*$R$7*0.5</f>
        <v>22174.375</v>
      </c>
      <c r="J83" s="431" t="n">
        <f aca="false">J81*$R$7*0.5</f>
        <v>22174.375</v>
      </c>
      <c r="K83" s="431" t="n">
        <f aca="false">K81*$R$7*0.5</f>
        <v>22174.375</v>
      </c>
      <c r="L83" s="494" t="n">
        <f aca="false">L81*$R$7*5/12</f>
        <v>18478.6458333333</v>
      </c>
      <c r="M83" s="431" t="n">
        <f aca="false">M81*$R$7*0.5</f>
        <v>21328.351104669</v>
      </c>
      <c r="N83" s="431" t="n">
        <f aca="false">N81*$R$7*0.5</f>
        <v>19541.8543666599</v>
      </c>
      <c r="O83" s="431" t="n">
        <f aca="false">O81*$R$7*0.5</f>
        <v>17565.3200496843</v>
      </c>
      <c r="P83" s="431" t="n">
        <f aca="false">P81*$R$7*0.5</f>
        <v>15424.4086427343</v>
      </c>
      <c r="Q83" s="431" t="n">
        <f aca="false">Q81*$R$7*0.5</f>
        <v>13138.8709354688</v>
      </c>
      <c r="R83" s="431" t="n">
        <f aca="false">R81*$R$7*0.5</f>
        <v>10671.4413114529</v>
      </c>
      <c r="S83" s="431" t="n">
        <f aca="false">S81*$R$7*0.5</f>
        <v>8072.84030889105</v>
      </c>
      <c r="T83" s="492" t="n">
        <f aca="false">T81*$R$7*0.5</f>
        <v>5479.57042932204</v>
      </c>
      <c r="U83" s="492" t="n">
        <f aca="false">U81*$R$7*0.5</f>
        <v>3068.41912628114</v>
      </c>
      <c r="V83" s="492" t="n">
        <f aca="false">V81*$R$7*0.5</f>
        <v>969.339274825109</v>
      </c>
      <c r="W83" s="492"/>
      <c r="X83" s="431"/>
      <c r="Y83" s="431"/>
      <c r="Z83" s="431"/>
      <c r="AA83" s="485"/>
      <c r="AB83" s="485"/>
      <c r="AC83" s="431"/>
      <c r="AD83" s="431"/>
      <c r="AE83" s="431"/>
      <c r="AF83" s="492"/>
      <c r="AG83" s="431"/>
      <c r="AH83" s="102"/>
    </row>
    <row r="84" customFormat="false" ht="12.75" hidden="false" customHeight="false" outlineLevel="0" collapsed="false">
      <c r="A84" s="431" t="s">
        <v>366</v>
      </c>
      <c r="B84" s="486" t="n">
        <f aca="false">B81-B82</f>
        <v>425000</v>
      </c>
      <c r="C84" s="431" t="n">
        <f aca="false">C81-C82</f>
        <v>425000</v>
      </c>
      <c r="D84" s="431" t="n">
        <f aca="false">D81-D82</f>
        <v>425000</v>
      </c>
      <c r="E84" s="431" t="n">
        <f aca="false">E81-E82</f>
        <v>425000</v>
      </c>
      <c r="F84" s="431" t="n">
        <f aca="false">F81-F82</f>
        <v>425000</v>
      </c>
      <c r="G84" s="431" t="n">
        <f aca="false">G81-G82</f>
        <v>425000</v>
      </c>
      <c r="H84" s="431" t="n">
        <f aca="false">H81-H82</f>
        <v>425000</v>
      </c>
      <c r="I84" s="431" t="n">
        <f aca="false">I81-I82</f>
        <v>425000</v>
      </c>
      <c r="J84" s="431" t="n">
        <f aca="false">J81-J82</f>
        <v>425000</v>
      </c>
      <c r="K84" s="431" t="n">
        <f aca="false">K81-K82</f>
        <v>425000</v>
      </c>
      <c r="L84" s="431" t="n">
        <f aca="false">L81-L82</f>
        <v>425000</v>
      </c>
      <c r="M84" s="431" t="n">
        <f aca="false">M81-M82</f>
        <v>392569.759642319</v>
      </c>
      <c r="N84" s="431" t="n">
        <f aca="false">N81-N82</f>
        <v>356519.051729409</v>
      </c>
      <c r="O84" s="431" t="n">
        <f aca="false">O81-O82</f>
        <v>316804.189274303</v>
      </c>
      <c r="P84" s="431" t="n">
        <f aca="false">P81-P82</f>
        <v>274452.490849677</v>
      </c>
      <c r="Q84" s="431" t="n">
        <f aca="false">Q81-Q82</f>
        <v>229193.735713575</v>
      </c>
      <c r="R84" s="431" t="n">
        <f aca="false">R81-R82</f>
        <v>179869.659071396</v>
      </c>
      <c r="S84" s="431" t="n">
        <f aca="false">S81-S82</f>
        <v>129582.772510436</v>
      </c>
      <c r="T84" s="492" t="n">
        <f aca="false">T81-T82</f>
        <v>80463.0513255787</v>
      </c>
      <c r="U84" s="492" t="n">
        <f aca="false">U81-U82</f>
        <v>37157.2314259745</v>
      </c>
      <c r="V84" s="492" t="n">
        <f aca="false">V81-V82</f>
        <v>0</v>
      </c>
      <c r="W84" s="492"/>
      <c r="X84" s="431"/>
      <c r="Y84" s="431"/>
      <c r="Z84" s="431"/>
      <c r="AA84" s="485"/>
      <c r="AB84" s="485"/>
      <c r="AC84" s="431"/>
      <c r="AD84" s="431"/>
      <c r="AE84" s="431"/>
      <c r="AF84" s="492"/>
      <c r="AG84" s="431"/>
      <c r="AH84" s="102"/>
    </row>
    <row r="85" customFormat="false" ht="12.75" hidden="false" customHeight="false" outlineLevel="0" collapsed="false">
      <c r="A85" s="487" t="s">
        <v>368</v>
      </c>
      <c r="B85" s="486"/>
      <c r="C85" s="431"/>
      <c r="D85" s="431"/>
      <c r="E85" s="431"/>
      <c r="F85" s="431"/>
      <c r="G85" s="431"/>
      <c r="H85" s="431"/>
      <c r="I85" s="431"/>
      <c r="J85" s="431"/>
      <c r="K85" s="431"/>
      <c r="L85" s="431"/>
      <c r="M85" s="431"/>
      <c r="N85" s="431"/>
      <c r="O85" s="431"/>
      <c r="P85" s="431"/>
      <c r="Q85" s="431"/>
      <c r="R85" s="431"/>
      <c r="S85" s="431"/>
      <c r="T85" s="492"/>
      <c r="U85" s="492"/>
      <c r="V85" s="492"/>
      <c r="W85" s="492"/>
      <c r="X85" s="431"/>
      <c r="Y85" s="431"/>
      <c r="Z85" s="431"/>
      <c r="AA85" s="485"/>
      <c r="AB85" s="485"/>
      <c r="AC85" s="431"/>
      <c r="AD85" s="431"/>
      <c r="AE85" s="431"/>
      <c r="AF85" s="492"/>
      <c r="AG85" s="431"/>
      <c r="AH85" s="102"/>
    </row>
    <row r="86" customFormat="false" ht="12.75" hidden="false" customHeight="false" outlineLevel="0" collapsed="false">
      <c r="A86" s="431" t="s">
        <v>363</v>
      </c>
      <c r="B86" s="486" t="n">
        <f aca="false">B84</f>
        <v>425000</v>
      </c>
      <c r="C86" s="431" t="n">
        <f aca="false">C84</f>
        <v>425000</v>
      </c>
      <c r="D86" s="431" t="n">
        <f aca="false">D84</f>
        <v>425000</v>
      </c>
      <c r="E86" s="431" t="n">
        <f aca="false">E84</f>
        <v>425000</v>
      </c>
      <c r="F86" s="431" t="n">
        <f aca="false">F84</f>
        <v>425000</v>
      </c>
      <c r="G86" s="431" t="n">
        <f aca="false">G84</f>
        <v>425000</v>
      </c>
      <c r="H86" s="431" t="n">
        <f aca="false">H84</f>
        <v>425000</v>
      </c>
      <c r="I86" s="431" t="n">
        <f aca="false">I84</f>
        <v>425000</v>
      </c>
      <c r="J86" s="431" t="n">
        <f aca="false">J84</f>
        <v>425000</v>
      </c>
      <c r="K86" s="431" t="n">
        <f aca="false">K84</f>
        <v>425000</v>
      </c>
      <c r="L86" s="431" t="n">
        <f aca="false">L84</f>
        <v>425000</v>
      </c>
      <c r="M86" s="431" t="n">
        <f aca="false">M84</f>
        <v>392569.759642319</v>
      </c>
      <c r="N86" s="431" t="n">
        <f aca="false">N84</f>
        <v>356519.051729409</v>
      </c>
      <c r="O86" s="431" t="n">
        <f aca="false">O84</f>
        <v>316804.189274303</v>
      </c>
      <c r="P86" s="431" t="n">
        <f aca="false">P84</f>
        <v>274452.490849677</v>
      </c>
      <c r="Q86" s="431" t="n">
        <f aca="false">Q84</f>
        <v>229193.735713575</v>
      </c>
      <c r="R86" s="431" t="n">
        <f aca="false">R84</f>
        <v>179869.659071396</v>
      </c>
      <c r="S86" s="431" t="n">
        <f aca="false">S84</f>
        <v>129582.772510436</v>
      </c>
      <c r="T86" s="492" t="n">
        <f aca="false">T84</f>
        <v>80463.0513255787</v>
      </c>
      <c r="U86" s="492" t="n">
        <f aca="false">U84</f>
        <v>37157.2314259745</v>
      </c>
      <c r="V86" s="492" t="n">
        <f aca="false">V84</f>
        <v>0</v>
      </c>
      <c r="W86" s="492"/>
      <c r="X86" s="431"/>
      <c r="Y86" s="431"/>
      <c r="Z86" s="431"/>
      <c r="AA86" s="485"/>
      <c r="AB86" s="485"/>
      <c r="AC86" s="431"/>
      <c r="AD86" s="431"/>
      <c r="AE86" s="431"/>
      <c r="AF86" s="492"/>
      <c r="AG86" s="431"/>
      <c r="AH86" s="102"/>
    </row>
    <row r="87" customFormat="false" ht="12.75" hidden="false" customHeight="false" outlineLevel="0" collapsed="false">
      <c r="A87" s="431" t="s">
        <v>374</v>
      </c>
      <c r="B87" s="486" t="n">
        <f aca="false">B76*5/12*C25</f>
        <v>0</v>
      </c>
      <c r="C87" s="431" t="n">
        <v>0</v>
      </c>
      <c r="D87" s="431" t="n">
        <v>0</v>
      </c>
      <c r="E87" s="431" t="n">
        <v>0</v>
      </c>
      <c r="F87" s="431" t="n">
        <v>0</v>
      </c>
      <c r="G87" s="431" t="n">
        <v>0</v>
      </c>
      <c r="H87" s="431" t="n">
        <v>0</v>
      </c>
      <c r="I87" s="431" t="n">
        <v>0</v>
      </c>
      <c r="J87" s="431" t="n">
        <v>0</v>
      </c>
      <c r="K87" s="431" t="n">
        <v>0</v>
      </c>
      <c r="L87" s="431" t="n">
        <v>0</v>
      </c>
      <c r="M87" s="431" t="n">
        <v>0</v>
      </c>
      <c r="N87" s="431" t="n">
        <v>0</v>
      </c>
      <c r="O87" s="431" t="n">
        <v>0</v>
      </c>
      <c r="P87" s="431" t="n">
        <v>0</v>
      </c>
      <c r="Q87" s="431" t="n">
        <v>0</v>
      </c>
      <c r="R87" s="431" t="n">
        <v>0</v>
      </c>
      <c r="S87" s="431" t="n">
        <v>0</v>
      </c>
      <c r="T87" s="492" t="n">
        <v>0</v>
      </c>
      <c r="U87" s="492" t="n">
        <v>0</v>
      </c>
      <c r="V87" s="492" t="n">
        <v>0</v>
      </c>
      <c r="W87" s="492"/>
      <c r="X87" s="431"/>
      <c r="Y87" s="431"/>
      <c r="Z87" s="431"/>
      <c r="AA87" s="485"/>
      <c r="AB87" s="485"/>
      <c r="AC87" s="431"/>
      <c r="AD87" s="431"/>
      <c r="AE87" s="431"/>
      <c r="AF87" s="492"/>
      <c r="AG87" s="431"/>
      <c r="AH87" s="102"/>
    </row>
    <row r="88" customFormat="false" ht="12.75" hidden="false" customHeight="false" outlineLevel="0" collapsed="false">
      <c r="A88" s="431" t="s">
        <v>370</v>
      </c>
      <c r="B88" s="486" t="n">
        <f aca="false">B86*$R$7*(13-MONTH(Assumptions!C17))/12*0</f>
        <v>0</v>
      </c>
      <c r="C88" s="431" t="n">
        <f aca="false">C86*$R$7*5/12</f>
        <v>18478.6458333333</v>
      </c>
      <c r="D88" s="431" t="n">
        <f aca="false">D86*$R$7*5/12</f>
        <v>18478.6458333333</v>
      </c>
      <c r="E88" s="431" t="n">
        <f aca="false">E86*$R$7*5/12</f>
        <v>18478.6458333333</v>
      </c>
      <c r="F88" s="431" t="n">
        <f aca="false">F86*$R$7*5/12</f>
        <v>18478.6458333333</v>
      </c>
      <c r="G88" s="431" t="n">
        <f aca="false">G86*$R$7*5/12</f>
        <v>18478.6458333333</v>
      </c>
      <c r="H88" s="431" t="n">
        <f aca="false">H86*$R$7*5/12</f>
        <v>18478.6458333333</v>
      </c>
      <c r="I88" s="431" t="n">
        <f aca="false">I86*$R$7*5/12</f>
        <v>18478.6458333333</v>
      </c>
      <c r="J88" s="431" t="n">
        <f aca="false">J86*$R$7*5/12</f>
        <v>18478.6458333333</v>
      </c>
      <c r="K88" s="431" t="n">
        <f aca="false">K86*$R$7*5/12</f>
        <v>18478.6458333333</v>
      </c>
      <c r="L88" s="494" t="n">
        <f aca="false">L86*$R$7*6/12</f>
        <v>22174.375</v>
      </c>
      <c r="M88" s="431" t="n">
        <f aca="false">M86*$R$7*5/12</f>
        <v>17068.6060077817</v>
      </c>
      <c r="N88" s="431" t="n">
        <f aca="false">N86*$R$7*5/12</f>
        <v>15501.1512699849</v>
      </c>
      <c r="O88" s="431" t="n">
        <f aca="false">O86*$R$7*5/12</f>
        <v>13774.3821461556</v>
      </c>
      <c r="P88" s="431" t="n">
        <f aca="false">P86*$R$7*5/12</f>
        <v>11932.9655917349</v>
      </c>
      <c r="Q88" s="431" t="n">
        <f aca="false">Q86*$R$7*5/12</f>
        <v>9965.15263404649</v>
      </c>
      <c r="R88" s="431" t="n">
        <f aca="false">R86*$R$7*5/12</f>
        <v>7820.58288504174</v>
      </c>
      <c r="S88" s="431" t="n">
        <f aca="false">S86*$R$7*5/12</f>
        <v>5634.15096311001</v>
      </c>
      <c r="T88" s="492" t="n">
        <f aca="false">T86*$R$7*5/12</f>
        <v>3498.46641909339</v>
      </c>
      <c r="U88" s="492" t="n">
        <f aca="false">U86*$R$7*5/12</f>
        <v>1615.56545804185</v>
      </c>
      <c r="V88" s="492" t="n">
        <f aca="false">V86*$R$7*5/12</f>
        <v>0</v>
      </c>
      <c r="W88" s="492"/>
      <c r="X88" s="431"/>
      <c r="Y88" s="431"/>
      <c r="Z88" s="431"/>
      <c r="AA88" s="485"/>
      <c r="AB88" s="485"/>
      <c r="AC88" s="431"/>
      <c r="AD88" s="431"/>
      <c r="AE88" s="431"/>
      <c r="AF88" s="492"/>
      <c r="AG88" s="431"/>
      <c r="AH88" s="102"/>
    </row>
    <row r="89" customFormat="false" ht="12.75" hidden="false" customHeight="false" outlineLevel="0" collapsed="false">
      <c r="A89" s="431" t="s">
        <v>366</v>
      </c>
      <c r="B89" s="431" t="n">
        <f aca="false">B86-B87</f>
        <v>425000</v>
      </c>
      <c r="C89" s="431" t="n">
        <f aca="false">C86-C87</f>
        <v>425000</v>
      </c>
      <c r="D89" s="431" t="n">
        <f aca="false">D86-D87</f>
        <v>425000</v>
      </c>
      <c r="E89" s="431" t="n">
        <f aca="false">E86-E87</f>
        <v>425000</v>
      </c>
      <c r="F89" s="431" t="n">
        <f aca="false">F86-F87</f>
        <v>425000</v>
      </c>
      <c r="G89" s="431" t="n">
        <f aca="false">G86-G87</f>
        <v>425000</v>
      </c>
      <c r="H89" s="431" t="n">
        <f aca="false">H86-H87</f>
        <v>425000</v>
      </c>
      <c r="I89" s="431" t="n">
        <f aca="false">I86-I87</f>
        <v>425000</v>
      </c>
      <c r="J89" s="431" t="n">
        <f aca="false">J86-J87</f>
        <v>425000</v>
      </c>
      <c r="K89" s="431" t="n">
        <f aca="false">K86-K87</f>
        <v>425000</v>
      </c>
      <c r="L89" s="431" t="n">
        <f aca="false">L86-L87</f>
        <v>425000</v>
      </c>
      <c r="M89" s="431" t="n">
        <f aca="false">M86-M87</f>
        <v>392569.759642319</v>
      </c>
      <c r="N89" s="431" t="n">
        <f aca="false">N86-N87</f>
        <v>356519.051729409</v>
      </c>
      <c r="O89" s="431" t="n">
        <f aca="false">O86-O87</f>
        <v>316804.189274303</v>
      </c>
      <c r="P89" s="431" t="n">
        <f aca="false">P86-P87</f>
        <v>274452.490849677</v>
      </c>
      <c r="Q89" s="431" t="n">
        <f aca="false">Q86-Q87</f>
        <v>229193.735713575</v>
      </c>
      <c r="R89" s="431" t="n">
        <f aca="false">R86-R87</f>
        <v>179869.659071396</v>
      </c>
      <c r="S89" s="431" t="n">
        <f aca="false">S86-S87</f>
        <v>129582.772510436</v>
      </c>
      <c r="T89" s="492" t="n">
        <f aca="false">T86-T87</f>
        <v>80463.0513255787</v>
      </c>
      <c r="U89" s="492" t="n">
        <f aca="false">U86-U87</f>
        <v>37157.2314259745</v>
      </c>
      <c r="V89" s="492" t="n">
        <f aca="false">V86-V87</f>
        <v>0</v>
      </c>
      <c r="W89" s="492"/>
      <c r="X89" s="431"/>
      <c r="Y89" s="431"/>
      <c r="Z89" s="431"/>
      <c r="AA89" s="485"/>
      <c r="AB89" s="485"/>
      <c r="AC89" s="431"/>
      <c r="AD89" s="431"/>
      <c r="AE89" s="431"/>
      <c r="AF89" s="492"/>
      <c r="AG89" s="431"/>
      <c r="AH89" s="102"/>
    </row>
    <row r="90" customFormat="false" ht="12.75" hidden="false" customHeight="false" outlineLevel="0" collapsed="false">
      <c r="A90" s="431"/>
      <c r="B90" s="431"/>
      <c r="C90" s="431"/>
      <c r="D90" s="431"/>
      <c r="E90" s="431"/>
      <c r="F90" s="431"/>
      <c r="G90" s="431"/>
      <c r="H90" s="431"/>
      <c r="I90" s="431"/>
      <c r="J90" s="431"/>
      <c r="K90" s="431"/>
      <c r="L90" s="431"/>
      <c r="M90" s="431"/>
      <c r="N90" s="431"/>
      <c r="O90" s="431"/>
      <c r="P90" s="431"/>
      <c r="Q90" s="431"/>
      <c r="R90" s="431"/>
      <c r="S90" s="431"/>
      <c r="T90" s="492"/>
      <c r="U90" s="492"/>
      <c r="V90" s="492"/>
      <c r="W90" s="492"/>
      <c r="X90" s="431"/>
      <c r="Y90" s="431"/>
      <c r="Z90" s="431"/>
      <c r="AA90" s="485"/>
      <c r="AB90" s="485"/>
      <c r="AC90" s="431"/>
      <c r="AD90" s="431"/>
      <c r="AE90" s="431"/>
      <c r="AF90" s="492"/>
      <c r="AG90" s="431"/>
      <c r="AH90" s="102"/>
    </row>
    <row r="91" customFormat="false" ht="12.75" hidden="false" customHeight="false" outlineLevel="0" collapsed="false">
      <c r="A91" s="488" t="s">
        <v>371</v>
      </c>
      <c r="B91" s="431" t="n">
        <v>0</v>
      </c>
      <c r="C91" s="431" t="n">
        <f aca="false">C78+C83+B88</f>
        <v>25870.1041666667</v>
      </c>
      <c r="D91" s="431" t="n">
        <f aca="false">D78+D83+C88</f>
        <v>44348.75</v>
      </c>
      <c r="E91" s="431" t="n">
        <f aca="false">E78+E83+D88</f>
        <v>44348.75</v>
      </c>
      <c r="F91" s="431" t="n">
        <f aca="false">F78+F83+E88</f>
        <v>44348.75</v>
      </c>
      <c r="G91" s="431" t="n">
        <f aca="false">G78+G83+F88</f>
        <v>44348.75</v>
      </c>
      <c r="H91" s="431" t="n">
        <f aca="false">H78+H83+G88</f>
        <v>44348.75</v>
      </c>
      <c r="I91" s="431" t="n">
        <f aca="false">I78+I83+H88</f>
        <v>44348.75</v>
      </c>
      <c r="J91" s="431" t="n">
        <f aca="false">J78+J83+I88</f>
        <v>44348.75</v>
      </c>
      <c r="K91" s="431" t="n">
        <f aca="false">K78+K83+J88</f>
        <v>44348.75</v>
      </c>
      <c r="L91" s="431" t="n">
        <f aca="false">L78+L83+K88</f>
        <v>40653.0208333333</v>
      </c>
      <c r="M91" s="431" t="n">
        <f aca="false">M78+M83+L88</f>
        <v>47198.4552713357</v>
      </c>
      <c r="N91" s="431" t="n">
        <f aca="false">N78+N83+M88</f>
        <v>40024.1815759979</v>
      </c>
      <c r="O91" s="431" t="n">
        <f aca="false">O78+O83+N88</f>
        <v>36166.7015736662</v>
      </c>
      <c r="P91" s="431" t="n">
        <f aca="false">P78+P83+O88</f>
        <v>31953.6672181211</v>
      </c>
      <c r="Q91" s="431" t="n">
        <f aca="false">Q78+Q83+P88</f>
        <v>27458.4296455507</v>
      </c>
      <c r="R91" s="431" t="n">
        <f aca="false">R78+R83+Q88</f>
        <v>22629.6244723087</v>
      </c>
      <c r="S91" s="431" t="n">
        <f aca="false">S78+S83+R88</f>
        <v>17457.5397709411</v>
      </c>
      <c r="T91" s="492" t="n">
        <f aca="false">T78+T83+S88</f>
        <v>12240.5515850541</v>
      </c>
      <c r="U91" s="492" t="n">
        <f aca="false">U78+U83+T88</f>
        <v>7266.57882919321</v>
      </c>
      <c r="V91" s="492" t="n">
        <f aca="false">V78+V83+U88</f>
        <v>2908.01782447533</v>
      </c>
      <c r="W91" s="492"/>
      <c r="X91" s="431"/>
      <c r="Y91" s="431"/>
      <c r="Z91" s="431"/>
      <c r="AA91" s="485"/>
      <c r="AB91" s="485"/>
      <c r="AC91" s="431"/>
      <c r="AD91" s="431"/>
      <c r="AE91" s="431"/>
      <c r="AF91" s="492"/>
      <c r="AG91" s="431"/>
      <c r="AH91" s="102"/>
    </row>
    <row r="92" customFormat="false" ht="12.75" hidden="false" customHeight="false" outlineLevel="0" collapsed="false">
      <c r="A92" s="385" t="s">
        <v>372</v>
      </c>
      <c r="B92" s="431" t="n">
        <f aca="false">B78+B83+B88</f>
        <v>0</v>
      </c>
      <c r="C92" s="431" t="n">
        <f aca="false">C78+C83+C88</f>
        <v>44348.75</v>
      </c>
      <c r="D92" s="431" t="n">
        <f aca="false">D78+D83+D88</f>
        <v>44348.75</v>
      </c>
      <c r="E92" s="431" t="n">
        <f aca="false">E78+E83+E88</f>
        <v>44348.75</v>
      </c>
      <c r="F92" s="431" t="n">
        <f aca="false">F78+F83+F88</f>
        <v>44348.75</v>
      </c>
      <c r="G92" s="431" t="n">
        <f aca="false">G78+G83+G88</f>
        <v>44348.75</v>
      </c>
      <c r="H92" s="431" t="n">
        <f aca="false">H78+H83+H88</f>
        <v>44348.75</v>
      </c>
      <c r="I92" s="431" t="n">
        <f aca="false">I78+I83+I88</f>
        <v>44348.75</v>
      </c>
      <c r="J92" s="431" t="n">
        <f aca="false">J78+J83+J88</f>
        <v>44348.75</v>
      </c>
      <c r="K92" s="431" t="n">
        <f aca="false">K78+K83+K88</f>
        <v>44348.75</v>
      </c>
      <c r="L92" s="431" t="n">
        <f aca="false">L78+L83+L88</f>
        <v>44348.75</v>
      </c>
      <c r="M92" s="431" t="n">
        <f aca="false">M78+M83+M88</f>
        <v>42092.6862791173</v>
      </c>
      <c r="N92" s="431" t="n">
        <f aca="false">N78+N83+N88</f>
        <v>38456.7268382012</v>
      </c>
      <c r="O92" s="431" t="n">
        <f aca="false">O78+O83+O88</f>
        <v>34439.9324498369</v>
      </c>
      <c r="P92" s="431" t="n">
        <f aca="false">P78+P83+P88</f>
        <v>30112.2506637003</v>
      </c>
      <c r="Q92" s="431" t="n">
        <f aca="false">Q78+Q83+Q88</f>
        <v>25490.6166878623</v>
      </c>
      <c r="R92" s="431" t="n">
        <f aca="false">R78+R83+R88</f>
        <v>20485.054723304</v>
      </c>
      <c r="S92" s="431" t="n">
        <f aca="false">S78+S83+S88</f>
        <v>15271.1078490094</v>
      </c>
      <c r="T92" s="492" t="n">
        <f aca="false">T78+T83+T88</f>
        <v>10104.8670410374</v>
      </c>
      <c r="U92" s="492" t="n">
        <f aca="false">U78+U83+U88</f>
        <v>5383.67786814167</v>
      </c>
      <c r="V92" s="492" t="n">
        <f aca="false">V78+V83+V88</f>
        <v>1292.45236643348</v>
      </c>
      <c r="W92" s="78"/>
      <c r="AA92" s="1"/>
      <c r="AB92" s="1"/>
      <c r="AF92" s="78"/>
      <c r="AG92" s="431"/>
      <c r="AH92" s="102"/>
    </row>
    <row r="93" customFormat="false" ht="12.75" hidden="false" customHeight="false" outlineLevel="0" collapsed="false">
      <c r="A93" s="488" t="s">
        <v>373</v>
      </c>
      <c r="B93" s="486" t="n">
        <f aca="false">B77+B82</f>
        <v>0</v>
      </c>
      <c r="C93" s="486" t="n">
        <f aca="false">C77+C82+B87</f>
        <v>0</v>
      </c>
      <c r="D93" s="486" t="n">
        <f aca="false">D77+D82+C87</f>
        <v>0</v>
      </c>
      <c r="E93" s="486" t="n">
        <f aca="false">E77+E82+D87</f>
        <v>0</v>
      </c>
      <c r="F93" s="486" t="n">
        <f aca="false">F77+F82+E87</f>
        <v>0</v>
      </c>
      <c r="G93" s="486" t="n">
        <f aca="false">G77+G82+F87</f>
        <v>0</v>
      </c>
      <c r="H93" s="486" t="n">
        <f aca="false">H77+H82+G87</f>
        <v>0</v>
      </c>
      <c r="I93" s="486" t="n">
        <f aca="false">I77+I82+H87</f>
        <v>0</v>
      </c>
      <c r="J93" s="486" t="n">
        <f aca="false">J77+J82+I87</f>
        <v>0</v>
      </c>
      <c r="K93" s="486" t="n">
        <f aca="false">K77+K82+J87</f>
        <v>0</v>
      </c>
      <c r="L93" s="486" t="n">
        <f aca="false">L77+L82+K87</f>
        <v>0</v>
      </c>
      <c r="M93" s="486" t="n">
        <f aca="false">M77+M82+L87</f>
        <v>32430.2403576811</v>
      </c>
      <c r="N93" s="486" t="n">
        <f aca="false">N77+N82+M87</f>
        <v>36050.7079129103</v>
      </c>
      <c r="O93" s="486" t="n">
        <f aca="false">O77+O82+N87</f>
        <v>39714.8624551058</v>
      </c>
      <c r="P93" s="486" t="n">
        <f aca="false">P77+P82+O87</f>
        <v>42351.698424626</v>
      </c>
      <c r="Q93" s="486" t="n">
        <f aca="false">Q77+Q82+P87</f>
        <v>45258.7551361017</v>
      </c>
      <c r="R93" s="486" t="n">
        <f aca="false">R77+R82+Q87</f>
        <v>49324.0766421791</v>
      </c>
      <c r="S93" s="486" t="n">
        <f aca="false">S77+S82+R87</f>
        <v>50286.8865609598</v>
      </c>
      <c r="T93" s="485" t="n">
        <f aca="false">T77+T82+S87</f>
        <v>49119.7211848576</v>
      </c>
      <c r="U93" s="485" t="n">
        <f aca="false">U77+U82+T87</f>
        <v>43305.8198996042</v>
      </c>
      <c r="V93" s="485" t="n">
        <f aca="false">V77+V82+U87</f>
        <v>37157.2314259745</v>
      </c>
      <c r="W93" s="78"/>
      <c r="AA93" s="1"/>
      <c r="AB93" s="1"/>
      <c r="AF93" s="78"/>
      <c r="AG93" s="431"/>
      <c r="AH93" s="102"/>
    </row>
    <row r="94" customFormat="false" ht="12.75" hidden="false" customHeight="false" outlineLevel="0" collapsed="false">
      <c r="A94" s="385" t="s">
        <v>369</v>
      </c>
      <c r="B94" s="431" t="n">
        <f aca="false">B87</f>
        <v>0</v>
      </c>
      <c r="C94" s="431" t="n">
        <f aca="false">C87</f>
        <v>0</v>
      </c>
      <c r="D94" s="431" t="n">
        <f aca="false">D87</f>
        <v>0</v>
      </c>
      <c r="E94" s="431" t="n">
        <f aca="false">E87</f>
        <v>0</v>
      </c>
      <c r="F94" s="431" t="n">
        <f aca="false">F87</f>
        <v>0</v>
      </c>
      <c r="G94" s="431" t="n">
        <f aca="false">G87</f>
        <v>0</v>
      </c>
      <c r="H94" s="431" t="n">
        <f aca="false">H87</f>
        <v>0</v>
      </c>
      <c r="I94" s="431" t="n">
        <f aca="false">I87</f>
        <v>0</v>
      </c>
      <c r="J94" s="431" t="n">
        <f aca="false">J87</f>
        <v>0</v>
      </c>
      <c r="K94" s="431" t="n">
        <f aca="false">K87</f>
        <v>0</v>
      </c>
      <c r="L94" s="431" t="n">
        <f aca="false">L87</f>
        <v>0</v>
      </c>
      <c r="M94" s="431" t="n">
        <f aca="false">M87</f>
        <v>0</v>
      </c>
      <c r="N94" s="431" t="n">
        <f aca="false">N87</f>
        <v>0</v>
      </c>
      <c r="O94" s="431" t="n">
        <f aca="false">O87</f>
        <v>0</v>
      </c>
      <c r="P94" s="431" t="n">
        <f aca="false">P87</f>
        <v>0</v>
      </c>
      <c r="Q94" s="431" t="n">
        <f aca="false">Q87</f>
        <v>0</v>
      </c>
      <c r="R94" s="431" t="n">
        <f aca="false">R87</f>
        <v>0</v>
      </c>
      <c r="S94" s="431" t="n">
        <f aca="false">S87</f>
        <v>0</v>
      </c>
      <c r="T94" s="492" t="n">
        <f aca="false">T87</f>
        <v>0</v>
      </c>
      <c r="U94" s="492" t="n">
        <f aca="false">U87</f>
        <v>0</v>
      </c>
      <c r="V94" s="492" t="n">
        <f aca="false">V87</f>
        <v>0</v>
      </c>
      <c r="W94" s="78"/>
      <c r="AA94" s="1"/>
      <c r="AB94" s="1"/>
      <c r="AF94" s="78"/>
      <c r="AG94" s="431"/>
      <c r="AH94" s="102"/>
    </row>
    <row r="95" customFormat="false" ht="12.75" hidden="false" customHeight="false" outlineLevel="0" collapsed="false">
      <c r="T95" s="78"/>
      <c r="U95" s="78"/>
      <c r="V95" s="78"/>
      <c r="W95" s="78"/>
    </row>
    <row r="97" customFormat="false" ht="12.75" hidden="false" customHeight="false" outlineLevel="0" collapsed="false">
      <c r="A97" s="495" t="s">
        <v>289</v>
      </c>
      <c r="B97" s="496" t="n">
        <v>0</v>
      </c>
      <c r="C97" s="496" t="n">
        <f aca="false">IS!E38</f>
        <v>89715.843466456</v>
      </c>
      <c r="D97" s="496" t="n">
        <f aca="false">IS!F38</f>
        <v>122372.11600516</v>
      </c>
      <c r="E97" s="496" t="n">
        <f aca="false">IS!G38</f>
        <v>121860.672632795</v>
      </c>
      <c r="F97" s="496" t="n">
        <f aca="false">IS!H38</f>
        <v>187651.640149133</v>
      </c>
      <c r="G97" s="496" t="n">
        <f aca="false">IS!I38</f>
        <v>190109.102175011</v>
      </c>
      <c r="H97" s="496" t="n">
        <f aca="false">IS!J38</f>
        <v>193591.992963032</v>
      </c>
      <c r="I97" s="496" t="n">
        <f aca="false">IS!K38</f>
        <v>194788.062797385</v>
      </c>
      <c r="J97" s="496" t="n">
        <f aca="false">IS!L38</f>
        <v>199203.15022056</v>
      </c>
      <c r="K97" s="496" t="n">
        <f aca="false">IS!M38</f>
        <v>201177.532601569</v>
      </c>
      <c r="L97" s="496" t="n">
        <f aca="false">IS!N38</f>
        <v>205855.995429301</v>
      </c>
      <c r="M97" s="496" t="n">
        <f aca="false">IS!O38</f>
        <v>206645.906238297</v>
      </c>
      <c r="N97" s="496" t="n">
        <f aca="false">IS!P38</f>
        <v>211414.538031109</v>
      </c>
      <c r="O97" s="496" t="n">
        <f aca="false">IS!Q38</f>
        <v>213506.786652741</v>
      </c>
      <c r="P97" s="496" t="n">
        <f aca="false">IS!R38</f>
        <v>214835.547615443</v>
      </c>
      <c r="Q97" s="496" t="n">
        <f aca="false">IS!S38</f>
        <v>216468.363466035</v>
      </c>
      <c r="R97" s="496" t="n">
        <f aca="false">IS!T38</f>
        <v>218387.20496215</v>
      </c>
      <c r="S97" s="496" t="n">
        <f aca="false">IS!U38</f>
        <v>220305.410284444</v>
      </c>
      <c r="T97" s="496" t="n">
        <f aca="false">IS!V38</f>
        <v>222191.208984475</v>
      </c>
      <c r="U97" s="496" t="n">
        <f aca="false">IS!W38</f>
        <v>223808.309370617</v>
      </c>
      <c r="V97" s="496" t="n">
        <f aca="false">IS!X38</f>
        <v>223087.610196391</v>
      </c>
      <c r="W97" s="0"/>
      <c r="X97" s="0"/>
      <c r="Y97" s="0"/>
      <c r="Z97" s="0"/>
      <c r="AA97" s="0"/>
      <c r="AB97" s="395"/>
      <c r="AC97" s="496"/>
      <c r="AD97" s="496"/>
      <c r="AE97" s="496"/>
      <c r="AF97" s="496"/>
      <c r="AG97" s="496"/>
      <c r="AH97" s="323"/>
      <c r="AI97" s="323"/>
      <c r="AJ97" s="323"/>
      <c r="AK97" s="323"/>
      <c r="AL97" s="323"/>
      <c r="AM97" s="323"/>
    </row>
    <row r="98" customFormat="false" ht="12.75" hidden="false" customHeight="false" outlineLevel="0" collapsed="false">
      <c r="A98" s="401"/>
      <c r="B98" s="497"/>
      <c r="C98" s="497"/>
      <c r="D98" s="497"/>
      <c r="E98" s="497"/>
      <c r="F98" s="497"/>
      <c r="G98" s="497"/>
      <c r="H98" s="497"/>
      <c r="I98" s="497"/>
      <c r="J98" s="497"/>
      <c r="K98" s="497"/>
      <c r="L98" s="497"/>
      <c r="M98" s="497"/>
      <c r="N98" s="497"/>
      <c r="O98" s="497"/>
      <c r="P98" s="497"/>
      <c r="Q98" s="497"/>
      <c r="R98" s="497"/>
      <c r="S98" s="497"/>
      <c r="T98" s="497"/>
      <c r="U98" s="497"/>
      <c r="V98" s="497"/>
      <c r="W98" s="0"/>
      <c r="X98" s="0"/>
      <c r="Y98" s="0"/>
      <c r="Z98" s="0"/>
      <c r="AA98" s="0"/>
      <c r="AB98" s="498"/>
      <c r="AC98" s="401"/>
      <c r="AD98" s="401"/>
      <c r="AE98" s="401"/>
      <c r="AF98" s="401"/>
      <c r="AG98" s="401"/>
      <c r="AH98" s="401"/>
      <c r="AI98" s="401"/>
      <c r="AJ98" s="401"/>
      <c r="AK98" s="401"/>
      <c r="AL98" s="401"/>
      <c r="AM98" s="401"/>
    </row>
    <row r="99" customFormat="false" ht="12.75" hidden="false" customHeight="false" outlineLevel="0" collapsed="false">
      <c r="A99" s="497" t="s">
        <v>375</v>
      </c>
      <c r="B99" s="497" t="n">
        <f aca="false">B45+B31+B36</f>
        <v>0</v>
      </c>
      <c r="C99" s="497" t="n">
        <f aca="false">C45+C47</f>
        <v>12507.1988625</v>
      </c>
      <c r="D99" s="497" t="n">
        <f aca="false">D45+D47</f>
        <v>31119.14750625</v>
      </c>
      <c r="E99" s="497" t="n">
        <f aca="false">E45+E47</f>
        <v>30559.220325</v>
      </c>
      <c r="F99" s="497" t="n">
        <f aca="false">F45+F47</f>
        <v>20151.75105</v>
      </c>
      <c r="G99" s="497" t="n">
        <f aca="false">G45+G47</f>
        <v>0</v>
      </c>
      <c r="H99" s="497" t="n">
        <f aca="false">H45+H47</f>
        <v>0</v>
      </c>
      <c r="I99" s="497" t="n">
        <f aca="false">I45+I47</f>
        <v>0</v>
      </c>
      <c r="J99" s="497" t="n">
        <f aca="false">J45+J47</f>
        <v>0</v>
      </c>
      <c r="K99" s="497" t="n">
        <f aca="false">K45+K47</f>
        <v>0</v>
      </c>
      <c r="L99" s="497" t="n">
        <f aca="false">L45+L47</f>
        <v>0</v>
      </c>
      <c r="M99" s="497" t="n">
        <f aca="false">M45+M47</f>
        <v>0</v>
      </c>
      <c r="N99" s="497" t="n">
        <f aca="false">N45+N47</f>
        <v>0</v>
      </c>
      <c r="O99" s="497" t="n">
        <f aca="false">O45+O47</f>
        <v>0</v>
      </c>
      <c r="P99" s="497" t="n">
        <f aca="false">P45+P47</f>
        <v>0</v>
      </c>
      <c r="Q99" s="497" t="n">
        <f aca="false">Q45+Q47</f>
        <v>0</v>
      </c>
      <c r="R99" s="497" t="n">
        <f aca="false">R45+R47</f>
        <v>0</v>
      </c>
      <c r="S99" s="497" t="n">
        <f aca="false">S45+S47</f>
        <v>0</v>
      </c>
      <c r="T99" s="497" t="n">
        <f aca="false">T45+T47</f>
        <v>0</v>
      </c>
      <c r="U99" s="497" t="n">
        <f aca="false">U45+U47</f>
        <v>0</v>
      </c>
      <c r="V99" s="497" t="n">
        <f aca="false">V45+V47</f>
        <v>0</v>
      </c>
      <c r="W99" s="0"/>
      <c r="X99" s="0"/>
      <c r="Y99" s="0"/>
      <c r="Z99" s="0"/>
      <c r="AA99" s="0"/>
      <c r="AB99" s="499"/>
      <c r="AC99" s="497"/>
      <c r="AD99" s="497"/>
      <c r="AE99" s="497"/>
      <c r="AF99" s="497"/>
      <c r="AG99" s="497"/>
      <c r="AH99" s="497"/>
      <c r="AI99" s="497"/>
      <c r="AJ99" s="497"/>
      <c r="AK99" s="497"/>
      <c r="AL99" s="497"/>
      <c r="AM99" s="497"/>
    </row>
    <row r="100" customFormat="false" ht="12.75" hidden="false" customHeight="false" outlineLevel="0" collapsed="false">
      <c r="A100" s="497" t="s">
        <v>376</v>
      </c>
      <c r="B100" s="497" t="n">
        <f aca="false">B68+B54+B59</f>
        <v>0</v>
      </c>
      <c r="C100" s="497" t="n">
        <f aca="false">C68+C70</f>
        <v>10999.8</v>
      </c>
      <c r="D100" s="497" t="n">
        <f aca="false">D68+D70</f>
        <v>18856.8</v>
      </c>
      <c r="E100" s="497" t="n">
        <f aca="false">E68+E70</f>
        <v>18856.8</v>
      </c>
      <c r="F100" s="497" t="n">
        <f aca="false">F68+F70</f>
        <v>18856.8</v>
      </c>
      <c r="G100" s="497" t="n">
        <f aca="false">G68+G70</f>
        <v>40049.77225</v>
      </c>
      <c r="H100" s="497" t="n">
        <f aca="false">H68+H70</f>
        <v>41550.7066</v>
      </c>
      <c r="I100" s="497" t="n">
        <f aca="false">I68+I70</f>
        <v>42109.0386</v>
      </c>
      <c r="J100" s="497" t="n">
        <f aca="false">J68+J70</f>
        <v>44069.234</v>
      </c>
      <c r="K100" s="497" t="n">
        <f aca="false">K68+K70</f>
        <v>45179.4378</v>
      </c>
      <c r="L100" s="497" t="n">
        <f aca="false">L68+L70</f>
        <v>50682.7231</v>
      </c>
      <c r="M100" s="497" t="n">
        <f aca="false">M68+M70</f>
        <v>0</v>
      </c>
      <c r="N100" s="497" t="n">
        <f aca="false">N68+N70</f>
        <v>0</v>
      </c>
      <c r="O100" s="497" t="n">
        <f aca="false">O68+O70</f>
        <v>0</v>
      </c>
      <c r="P100" s="497" t="n">
        <f aca="false">P68+P70</f>
        <v>0</v>
      </c>
      <c r="Q100" s="497" t="n">
        <f aca="false">Q68+Q70</f>
        <v>0</v>
      </c>
      <c r="R100" s="497" t="n">
        <f aca="false">R68+R70</f>
        <v>0</v>
      </c>
      <c r="S100" s="497" t="n">
        <f aca="false">S68+S70</f>
        <v>0</v>
      </c>
      <c r="T100" s="497" t="n">
        <f aca="false">T68+T70</f>
        <v>0</v>
      </c>
      <c r="U100" s="497" t="n">
        <f aca="false">U68+U70</f>
        <v>0</v>
      </c>
      <c r="V100" s="497" t="n">
        <f aca="false">V68+V70</f>
        <v>0</v>
      </c>
      <c r="W100" s="0"/>
      <c r="X100" s="0"/>
      <c r="Y100" s="0"/>
      <c r="Z100" s="0"/>
      <c r="AA100" s="0"/>
      <c r="AB100" s="499"/>
      <c r="AC100" s="497"/>
      <c r="AD100" s="497"/>
      <c r="AE100" s="497"/>
      <c r="AF100" s="497"/>
      <c r="AG100" s="497"/>
      <c r="AH100" s="497"/>
      <c r="AI100" s="497"/>
      <c r="AJ100" s="497"/>
      <c r="AK100" s="497"/>
      <c r="AL100" s="497"/>
      <c r="AM100" s="497"/>
    </row>
    <row r="101" customFormat="false" ht="12.75" hidden="false" customHeight="false" outlineLevel="0" collapsed="false">
      <c r="A101" s="497" t="s">
        <v>377</v>
      </c>
      <c r="B101" s="497" t="n">
        <f aca="false">B91+B77+B82</f>
        <v>0</v>
      </c>
      <c r="C101" s="497" t="n">
        <f aca="false">C91+C93</f>
        <v>25870.1041666667</v>
      </c>
      <c r="D101" s="497" t="n">
        <f aca="false">D91+D93</f>
        <v>44348.75</v>
      </c>
      <c r="E101" s="497" t="n">
        <f aca="false">E91+E93</f>
        <v>44348.75</v>
      </c>
      <c r="F101" s="497" t="n">
        <f aca="false">F91+F93</f>
        <v>44348.75</v>
      </c>
      <c r="G101" s="497" t="n">
        <f aca="false">G91+G93</f>
        <v>44348.75</v>
      </c>
      <c r="H101" s="497" t="n">
        <f aca="false">H91+H93</f>
        <v>44348.75</v>
      </c>
      <c r="I101" s="497" t="n">
        <f aca="false">I91+I93</f>
        <v>44348.75</v>
      </c>
      <c r="J101" s="497" t="n">
        <f aca="false">J91+J93</f>
        <v>44348.75</v>
      </c>
      <c r="K101" s="497" t="n">
        <f aca="false">K91+K93</f>
        <v>44348.75</v>
      </c>
      <c r="L101" s="497" t="n">
        <f aca="false">L91+L93</f>
        <v>40653.0208333333</v>
      </c>
      <c r="M101" s="497" t="n">
        <f aca="false">M91+M93</f>
        <v>79628.6956290168</v>
      </c>
      <c r="N101" s="497" t="n">
        <f aca="false">N91+N93</f>
        <v>76074.8894889082</v>
      </c>
      <c r="O101" s="497" t="n">
        <f aca="false">O91+O93</f>
        <v>75881.5640287721</v>
      </c>
      <c r="P101" s="497" t="n">
        <f aca="false">P91+P93</f>
        <v>74305.365642747</v>
      </c>
      <c r="Q101" s="497" t="n">
        <f aca="false">Q91+Q93</f>
        <v>72717.1847816524</v>
      </c>
      <c r="R101" s="497" t="n">
        <f aca="false">R91+R93</f>
        <v>71953.7011144878</v>
      </c>
      <c r="S101" s="497" t="n">
        <f aca="false">S91+S93</f>
        <v>67744.426331901</v>
      </c>
      <c r="T101" s="497" t="n">
        <f aca="false">T91+T93</f>
        <v>61360.2727699117</v>
      </c>
      <c r="U101" s="497" t="n">
        <f aca="false">U91+U93</f>
        <v>50572.3987287974</v>
      </c>
      <c r="V101" s="497" t="n">
        <f aca="false">V91+V93</f>
        <v>40065.2492504499</v>
      </c>
      <c r="W101" s="0"/>
      <c r="X101" s="0"/>
      <c r="Y101" s="0"/>
      <c r="Z101" s="0"/>
      <c r="AA101" s="0"/>
      <c r="AB101" s="499"/>
      <c r="AC101" s="497"/>
      <c r="AD101" s="497"/>
      <c r="AE101" s="497"/>
      <c r="AF101" s="497"/>
      <c r="AG101" s="497"/>
      <c r="AH101" s="497"/>
      <c r="AI101" s="497"/>
      <c r="AJ101" s="497"/>
      <c r="AK101" s="497"/>
      <c r="AL101" s="497"/>
      <c r="AM101" s="497"/>
    </row>
    <row r="102" customFormat="false" ht="12.75" hidden="false" customHeight="false" outlineLevel="0" collapsed="false">
      <c r="A102" s="401" t="s">
        <v>378</v>
      </c>
      <c r="B102" s="500" t="n">
        <v>0</v>
      </c>
      <c r="C102" s="501" t="n">
        <f aca="false">IRR!D11</f>
        <v>-0</v>
      </c>
      <c r="D102" s="497" t="n">
        <v>0</v>
      </c>
      <c r="E102" s="497" t="n">
        <v>0</v>
      </c>
      <c r="F102" s="497" t="n">
        <v>0</v>
      </c>
      <c r="G102" s="497" t="n">
        <v>0</v>
      </c>
      <c r="H102" s="497" t="n">
        <v>0</v>
      </c>
      <c r="I102" s="497" t="n">
        <v>0</v>
      </c>
      <c r="J102" s="497" t="n">
        <v>0</v>
      </c>
      <c r="K102" s="497" t="n">
        <v>0</v>
      </c>
      <c r="L102" s="497" t="n">
        <v>0</v>
      </c>
      <c r="M102" s="497" t="n">
        <v>0</v>
      </c>
      <c r="N102" s="497" t="n">
        <v>0</v>
      </c>
      <c r="O102" s="497" t="n">
        <v>0</v>
      </c>
      <c r="P102" s="497" t="n">
        <v>0</v>
      </c>
      <c r="Q102" s="497" t="n">
        <v>0</v>
      </c>
      <c r="R102" s="497" t="n">
        <v>0</v>
      </c>
      <c r="S102" s="497" t="n">
        <v>0</v>
      </c>
      <c r="T102" s="497" t="n">
        <v>0</v>
      </c>
      <c r="U102" s="497" t="n">
        <v>0</v>
      </c>
      <c r="V102" s="497" t="n">
        <v>0</v>
      </c>
      <c r="W102" s="0"/>
      <c r="X102" s="0"/>
      <c r="Y102" s="0"/>
      <c r="Z102" s="0"/>
      <c r="AA102" s="0"/>
      <c r="AB102" s="499"/>
      <c r="AC102" s="497"/>
      <c r="AD102" s="497"/>
      <c r="AE102" s="497"/>
      <c r="AF102" s="497"/>
      <c r="AG102" s="497"/>
      <c r="AH102" s="497"/>
      <c r="AI102" s="497"/>
      <c r="AJ102" s="497"/>
      <c r="AK102" s="497"/>
      <c r="AL102" s="497"/>
      <c r="AM102" s="497"/>
    </row>
    <row r="103" customFormat="false" ht="12.75" hidden="false" customHeight="false" outlineLevel="0" collapsed="false">
      <c r="A103" s="401" t="s">
        <v>379</v>
      </c>
      <c r="B103" s="500" t="n">
        <v>0</v>
      </c>
      <c r="C103" s="501" t="n">
        <f aca="false">-CF!E12</f>
        <v>1147.62556847617</v>
      </c>
      <c r="D103" s="501" t="n">
        <f aca="false">-CF!G12</f>
        <v>-0</v>
      </c>
      <c r="E103" s="497"/>
      <c r="F103" s="497"/>
      <c r="G103" s="497"/>
      <c r="H103" s="497"/>
      <c r="I103" s="497"/>
      <c r="J103" s="497"/>
      <c r="K103" s="497"/>
      <c r="L103" s="497"/>
      <c r="M103" s="497"/>
      <c r="N103" s="497"/>
      <c r="O103" s="497"/>
      <c r="P103" s="497"/>
      <c r="Q103" s="497"/>
      <c r="R103" s="497"/>
      <c r="S103" s="497"/>
      <c r="T103" s="497"/>
      <c r="U103" s="497"/>
      <c r="V103" s="497"/>
      <c r="W103" s="0"/>
      <c r="X103" s="0"/>
      <c r="Y103" s="0"/>
      <c r="Z103" s="0"/>
      <c r="AA103" s="0"/>
      <c r="AB103" s="499"/>
      <c r="AC103" s="497"/>
      <c r="AD103" s="497"/>
      <c r="AE103" s="497"/>
      <c r="AF103" s="497"/>
      <c r="AG103" s="497"/>
      <c r="AH103" s="497"/>
      <c r="AI103" s="497"/>
      <c r="AJ103" s="497"/>
      <c r="AK103" s="497"/>
      <c r="AL103" s="497"/>
      <c r="AM103" s="497"/>
    </row>
    <row r="104" customFormat="false" ht="12.75" hidden="false" customHeight="false" outlineLevel="0" collapsed="false">
      <c r="A104" s="401" t="s">
        <v>380</v>
      </c>
      <c r="B104" s="501" t="n">
        <f aca="false">-Allocation!H15*(B32+B55+B78)-4/6*(B37+B60+B83)*Allocation!$I15</f>
        <v>-0</v>
      </c>
      <c r="C104" s="500" t="n">
        <f aca="false">-Allocation!I15*(C32+C55+C78)-(C37+C60+C83)*((11-Assumptions!R53)/6*Allocation!$I13+(11-Assumptions!P53)/6*Allocation!$I12+(11-Assumptions!Q53)/6*Allocation!$I14)-(B88+B65+B42)*Allocation!$I15*(MONTH(B18)-MONTH(Assumptions!C18))/(MONTH(B18)+1-MONTH(Assumptions!C17))</f>
        <v>-18014.5947013754</v>
      </c>
      <c r="D104" s="502"/>
      <c r="E104" s="502"/>
      <c r="F104" s="502"/>
      <c r="G104" s="502"/>
      <c r="H104" s="502"/>
      <c r="I104" s="502"/>
      <c r="J104" s="502"/>
      <c r="K104" s="502"/>
      <c r="L104" s="502"/>
      <c r="M104" s="502"/>
      <c r="N104" s="502"/>
      <c r="O104" s="502"/>
      <c r="P104" s="502"/>
      <c r="Q104" s="502"/>
      <c r="R104" s="502"/>
      <c r="S104" s="502"/>
      <c r="T104" s="502"/>
      <c r="U104" s="502"/>
      <c r="V104" s="502"/>
      <c r="W104" s="0"/>
      <c r="X104" s="0"/>
      <c r="Y104" s="0"/>
      <c r="Z104" s="0"/>
      <c r="AA104" s="0"/>
      <c r="AB104" s="499"/>
      <c r="AC104" s="497"/>
      <c r="AD104" s="497"/>
      <c r="AE104" s="497"/>
      <c r="AF104" s="497"/>
      <c r="AG104" s="497"/>
      <c r="AH104" s="497"/>
      <c r="AI104" s="497"/>
      <c r="AJ104" s="497"/>
      <c r="AK104" s="497"/>
      <c r="AL104" s="497"/>
      <c r="AM104" s="497"/>
    </row>
    <row r="105" customFormat="false" ht="12.75" hidden="false" customHeight="false" outlineLevel="0" collapsed="false">
      <c r="B105" s="431"/>
      <c r="C105" s="431"/>
      <c r="D105" s="431"/>
      <c r="E105" s="431"/>
      <c r="F105" s="431"/>
      <c r="G105" s="431"/>
      <c r="H105" s="431"/>
      <c r="I105" s="431"/>
      <c r="J105" s="431"/>
      <c r="K105" s="431"/>
      <c r="L105" s="431"/>
      <c r="M105" s="431"/>
      <c r="N105" s="431"/>
      <c r="O105" s="431"/>
      <c r="P105" s="431"/>
      <c r="Q105" s="431"/>
      <c r="R105" s="431"/>
      <c r="S105" s="431"/>
      <c r="T105" s="431"/>
      <c r="U105" s="431"/>
      <c r="V105" s="431"/>
      <c r="W105" s="0"/>
      <c r="X105" s="0"/>
      <c r="Y105" s="0"/>
      <c r="Z105" s="0"/>
      <c r="AA105" s="0"/>
      <c r="AB105" s="499"/>
      <c r="AC105" s="497"/>
      <c r="AD105" s="497"/>
      <c r="AE105" s="497"/>
      <c r="AF105" s="497"/>
      <c r="AG105" s="497"/>
      <c r="AH105" s="497"/>
      <c r="AI105" s="497"/>
      <c r="AJ105" s="497"/>
      <c r="AK105" s="497"/>
      <c r="AL105" s="497"/>
      <c r="AM105" s="497"/>
    </row>
    <row r="106" customFormat="false" ht="12.75" hidden="false" customHeight="false" outlineLevel="0" collapsed="false">
      <c r="A106" s="488" t="s">
        <v>381</v>
      </c>
      <c r="B106" s="488" t="n">
        <v>0</v>
      </c>
      <c r="C106" s="488" t="n">
        <f aca="false">SUM(C99:C104)</f>
        <v>32510.1338962675</v>
      </c>
      <c r="D106" s="488" t="n">
        <f aca="false">SUM(D99:D103)</f>
        <v>94324.69750625</v>
      </c>
      <c r="E106" s="488" t="n">
        <f aca="false">SUM(E99:E103)</f>
        <v>93764.770325</v>
      </c>
      <c r="F106" s="488" t="n">
        <f aca="false">SUM(F99:F103)</f>
        <v>83357.30105</v>
      </c>
      <c r="G106" s="488" t="n">
        <f aca="false">SUM(G99:G103)</f>
        <v>84398.52225</v>
      </c>
      <c r="H106" s="488" t="n">
        <f aca="false">SUM(H99:H103)</f>
        <v>85899.4566</v>
      </c>
      <c r="I106" s="488" t="n">
        <f aca="false">SUM(I99:I103)</f>
        <v>86457.7886</v>
      </c>
      <c r="J106" s="488" t="n">
        <f aca="false">SUM(J99:J103)</f>
        <v>88417.984</v>
      </c>
      <c r="K106" s="488" t="n">
        <f aca="false">SUM(K99:K103)</f>
        <v>89528.1878</v>
      </c>
      <c r="L106" s="488" t="n">
        <f aca="false">SUM(L99:L103)</f>
        <v>91335.7439333334</v>
      </c>
      <c r="M106" s="488" t="n">
        <f aca="false">SUM(M99:M103)</f>
        <v>79628.6956290168</v>
      </c>
      <c r="N106" s="488" t="n">
        <f aca="false">SUM(N99:N103)</f>
        <v>76074.8894889082</v>
      </c>
      <c r="O106" s="488" t="n">
        <f aca="false">SUM(O99:O103)</f>
        <v>75881.5640287721</v>
      </c>
      <c r="P106" s="488" t="n">
        <f aca="false">SUM(P99:P103)</f>
        <v>74305.365642747</v>
      </c>
      <c r="Q106" s="488" t="n">
        <f aca="false">SUM(Q99:Q103)</f>
        <v>72717.1847816524</v>
      </c>
      <c r="R106" s="488" t="n">
        <f aca="false">SUM(R99:R103)</f>
        <v>71953.7011144878</v>
      </c>
      <c r="S106" s="488" t="n">
        <f aca="false">SUM(S99:S103)</f>
        <v>67744.426331901</v>
      </c>
      <c r="T106" s="488" t="n">
        <f aca="false">SUM(T99:T103)</f>
        <v>61360.2727699117</v>
      </c>
      <c r="U106" s="488" t="n">
        <f aca="false">SUM(U99:U103)</f>
        <v>50572.3987287974</v>
      </c>
      <c r="V106" s="488" t="n">
        <f aca="false">SUM(V99:V103)</f>
        <v>40065.2492504499</v>
      </c>
      <c r="W106" s="0"/>
      <c r="X106" s="0"/>
      <c r="Y106" s="0"/>
      <c r="Z106" s="0"/>
      <c r="AA106" s="0"/>
      <c r="AB106" s="493"/>
      <c r="AC106" s="488"/>
      <c r="AD106" s="488"/>
      <c r="AE106" s="488"/>
      <c r="AF106" s="488"/>
      <c r="AG106" s="488"/>
      <c r="AH106" s="488"/>
      <c r="AI106" s="488"/>
      <c r="AJ106" s="488"/>
      <c r="AK106" s="488"/>
      <c r="AL106" s="488"/>
      <c r="AM106" s="488"/>
    </row>
    <row r="107" customFormat="false" ht="12.75" hidden="false" customHeight="false" outlineLevel="0" collapsed="false">
      <c r="A107" s="488"/>
      <c r="B107" s="488"/>
      <c r="C107" s="488"/>
      <c r="D107" s="488"/>
      <c r="E107" s="488"/>
      <c r="F107" s="488"/>
      <c r="G107" s="488"/>
      <c r="H107" s="488"/>
      <c r="I107" s="488"/>
      <c r="J107" s="488"/>
      <c r="K107" s="488"/>
      <c r="L107" s="488"/>
      <c r="M107" s="488"/>
      <c r="N107" s="488"/>
      <c r="O107" s="488"/>
      <c r="P107" s="488"/>
      <c r="Q107" s="488"/>
      <c r="R107" s="488"/>
      <c r="S107" s="488"/>
      <c r="T107" s="488"/>
      <c r="U107" s="488"/>
      <c r="V107" s="488"/>
      <c r="W107" s="0"/>
      <c r="X107" s="0"/>
      <c r="Y107" s="0"/>
      <c r="Z107" s="0"/>
      <c r="AA107" s="0"/>
      <c r="AB107" s="493"/>
      <c r="AC107" s="488"/>
      <c r="AD107" s="488"/>
      <c r="AE107" s="488"/>
      <c r="AF107" s="488"/>
      <c r="AG107" s="488"/>
      <c r="AH107" s="488"/>
      <c r="AI107" s="488"/>
      <c r="AJ107" s="488"/>
      <c r="AK107" s="488"/>
      <c r="AL107" s="488"/>
      <c r="AM107" s="488"/>
    </row>
    <row r="108" customFormat="false" ht="12.75" hidden="false" customHeight="false" outlineLevel="0" collapsed="false">
      <c r="A108" s="488" t="s">
        <v>382</v>
      </c>
      <c r="B108" s="488" t="n">
        <f aca="false">B45+B68+B91</f>
        <v>0</v>
      </c>
      <c r="C108" s="488" t="n">
        <f aca="false">C45+C68+C91</f>
        <v>40710.1030291667</v>
      </c>
      <c r="D108" s="488" t="n">
        <f aca="false">D45+D68+D91</f>
        <v>68647.69750625</v>
      </c>
      <c r="E108" s="488" t="n">
        <f aca="false">E45+E68+E91</f>
        <v>66467.770325</v>
      </c>
      <c r="F108" s="488" t="n">
        <f aca="false">F45+F68+F91</f>
        <v>63998.30105</v>
      </c>
      <c r="G108" s="488" t="n">
        <f aca="false">G45+G68+G91</f>
        <v>62767.52225</v>
      </c>
      <c r="H108" s="488" t="n">
        <f aca="false">H45+H68+H91</f>
        <v>60485.4566</v>
      </c>
      <c r="I108" s="488" t="n">
        <f aca="false">I45+I68+I91</f>
        <v>57939.7886</v>
      </c>
      <c r="J108" s="488" t="n">
        <f aca="false">J45+J68+J91</f>
        <v>55049.984</v>
      </c>
      <c r="K108" s="488" t="n">
        <f aca="false">K45+K68+K91</f>
        <v>51698.1878</v>
      </c>
      <c r="L108" s="488" t="n">
        <f aca="false">L45+L68+L91</f>
        <v>44096.7439333333</v>
      </c>
      <c r="M108" s="488" t="n">
        <f aca="false">M45+M68+M91</f>
        <v>47198.4552713357</v>
      </c>
      <c r="N108" s="488" t="n">
        <f aca="false">N45+N68+N91</f>
        <v>40024.1815759979</v>
      </c>
      <c r="O108" s="488" t="n">
        <f aca="false">O45+O68+O91</f>
        <v>36166.7015736662</v>
      </c>
      <c r="P108" s="488" t="n">
        <f aca="false">P45+P68+P91</f>
        <v>31953.6672181211</v>
      </c>
      <c r="Q108" s="488" t="n">
        <f aca="false">Q45+Q68+Q91</f>
        <v>27458.4296455507</v>
      </c>
      <c r="R108" s="488" t="n">
        <f aca="false">R45+R68+R91</f>
        <v>22629.6244723087</v>
      </c>
      <c r="S108" s="488" t="n">
        <f aca="false">S45+S68+S91</f>
        <v>17457.5397709411</v>
      </c>
      <c r="T108" s="488" t="n">
        <f aca="false">T45+T68+T91</f>
        <v>12240.5515850541</v>
      </c>
      <c r="U108" s="488" t="n">
        <f aca="false">U45+U68+U91</f>
        <v>7266.57882919321</v>
      </c>
      <c r="V108" s="488" t="n">
        <f aca="false">V45+V68+V91</f>
        <v>2908.01782447533</v>
      </c>
      <c r="W108" s="0"/>
      <c r="X108" s="0"/>
      <c r="Y108" s="0"/>
      <c r="Z108" s="0"/>
      <c r="AA108" s="0"/>
      <c r="AB108" s="493"/>
      <c r="AC108" s="488"/>
      <c r="AD108" s="488"/>
      <c r="AE108" s="488"/>
      <c r="AF108" s="488"/>
      <c r="AG108" s="488"/>
      <c r="AH108" s="488"/>
      <c r="AI108" s="488"/>
      <c r="AJ108" s="488"/>
      <c r="AK108" s="488"/>
      <c r="AL108" s="488"/>
      <c r="AM108" s="488"/>
    </row>
    <row r="109" customFormat="false" ht="12.75" hidden="false" customHeight="false" outlineLevel="0" collapsed="false">
      <c r="A109" s="488" t="s">
        <v>383</v>
      </c>
      <c r="B109" s="488" t="n">
        <f aca="false">B46+B69+B92</f>
        <v>0</v>
      </c>
      <c r="C109" s="488" t="n">
        <f aca="false">C46+C69+C92</f>
        <v>69514.1124875</v>
      </c>
      <c r="D109" s="488" t="n">
        <f aca="false">D46+D69+D92</f>
        <v>67771.46988125</v>
      </c>
      <c r="E109" s="488" t="n">
        <f aca="false">E46+E69+E92</f>
        <v>65536.2602</v>
      </c>
      <c r="F109" s="488" t="n">
        <f aca="false">F46+F69+F92</f>
        <v>63337.675175</v>
      </c>
      <c r="G109" s="488" t="n">
        <f aca="false">G46+G69+G92</f>
        <v>61891.46675</v>
      </c>
      <c r="H109" s="488" t="n">
        <f aca="false">H46+H69+H92</f>
        <v>59456.1896</v>
      </c>
      <c r="I109" s="488" t="n">
        <f aca="false">I46+I69+I92</f>
        <v>56784.8096</v>
      </c>
      <c r="J109" s="488" t="n">
        <f aca="false">J46+J69+J92</f>
        <v>53698.58</v>
      </c>
      <c r="K109" s="488" t="n">
        <f aca="false">K46+K69+K92</f>
        <v>50166.0728</v>
      </c>
      <c r="L109" s="488" t="n">
        <f aca="false">L46+L69+L92</f>
        <v>45879.2936</v>
      </c>
      <c r="M109" s="488" t="n">
        <f aca="false">M46+M69+M92</f>
        <v>42092.6862791173</v>
      </c>
      <c r="N109" s="488" t="n">
        <f aca="false">N46+N69+N92</f>
        <v>38456.7268382012</v>
      </c>
      <c r="O109" s="488" t="n">
        <f aca="false">O46+O69+O92</f>
        <v>34439.9324498369</v>
      </c>
      <c r="P109" s="488" t="n">
        <f aca="false">P46+P69+P92</f>
        <v>30112.2506637003</v>
      </c>
      <c r="Q109" s="488" t="n">
        <f aca="false">Q46+Q69+Q92</f>
        <v>25490.6166878623</v>
      </c>
      <c r="R109" s="488" t="n">
        <f aca="false">R46+R69+R92</f>
        <v>20485.054723304</v>
      </c>
      <c r="S109" s="488" t="n">
        <f aca="false">S46+S69+S92</f>
        <v>15271.1078490094</v>
      </c>
      <c r="T109" s="488" t="n">
        <f aca="false">T46+T69+T92</f>
        <v>10104.8670410374</v>
      </c>
      <c r="U109" s="488" t="n">
        <f aca="false">U46+U69+U92</f>
        <v>5383.67786814167</v>
      </c>
      <c r="V109" s="488" t="n">
        <f aca="false">V46+V69+V92</f>
        <v>1292.45236643348</v>
      </c>
      <c r="W109" s="0"/>
      <c r="X109" s="0"/>
      <c r="Y109" s="0"/>
      <c r="Z109" s="0"/>
      <c r="AA109" s="0"/>
      <c r="AB109" s="493"/>
      <c r="AC109" s="488"/>
      <c r="AD109" s="488"/>
      <c r="AE109" s="488"/>
      <c r="AF109" s="488"/>
      <c r="AG109" s="488"/>
      <c r="AH109" s="488"/>
      <c r="AI109" s="488"/>
      <c r="AJ109" s="488"/>
      <c r="AK109" s="488"/>
      <c r="AL109" s="488"/>
      <c r="AM109" s="488"/>
    </row>
    <row r="110" customFormat="false" ht="12.75" hidden="false" customHeight="false" outlineLevel="0" collapsed="false">
      <c r="A110" s="488" t="s">
        <v>373</v>
      </c>
      <c r="B110" s="488" t="n">
        <f aca="false">B93+B70+B47</f>
        <v>0</v>
      </c>
      <c r="C110" s="488" t="n">
        <f aca="false">C93+C70+C47</f>
        <v>8667</v>
      </c>
      <c r="D110" s="488" t="n">
        <f aca="false">D93+D70+D47</f>
        <v>25677</v>
      </c>
      <c r="E110" s="488" t="n">
        <f aca="false">E93+E70+E47</f>
        <v>27297</v>
      </c>
      <c r="F110" s="488" t="n">
        <f aca="false">F93+F70+F47</f>
        <v>19359</v>
      </c>
      <c r="G110" s="488" t="n">
        <f aca="false">G93+G70+G47</f>
        <v>21631</v>
      </c>
      <c r="H110" s="488" t="n">
        <f aca="false">H93+H70+H47</f>
        <v>25414</v>
      </c>
      <c r="I110" s="488" t="n">
        <f aca="false">I93+I70+I47</f>
        <v>28518</v>
      </c>
      <c r="J110" s="488" t="n">
        <f aca="false">J93+J70+J47</f>
        <v>33368</v>
      </c>
      <c r="K110" s="488" t="n">
        <f aca="false">K93+K70+K47</f>
        <v>37830</v>
      </c>
      <c r="L110" s="488" t="n">
        <f aca="false">L93+L70+L47</f>
        <v>47239</v>
      </c>
      <c r="M110" s="488" t="n">
        <f aca="false">M93+M70+M47</f>
        <v>32430.2403576811</v>
      </c>
      <c r="N110" s="488" t="n">
        <f aca="false">N93+N70+N47</f>
        <v>36050.7079129103</v>
      </c>
      <c r="O110" s="488" t="n">
        <f aca="false">O93+O70+O47</f>
        <v>39714.8624551058</v>
      </c>
      <c r="P110" s="488" t="n">
        <f aca="false">P93+P70+P47</f>
        <v>42351.698424626</v>
      </c>
      <c r="Q110" s="488" t="n">
        <f aca="false">Q93+Q70+Q47</f>
        <v>45258.7551361017</v>
      </c>
      <c r="R110" s="488" t="n">
        <f aca="false">R93+R70+R47</f>
        <v>49324.0766421791</v>
      </c>
      <c r="S110" s="488" t="n">
        <f aca="false">S93+S70+S47</f>
        <v>50286.8865609598</v>
      </c>
      <c r="T110" s="488" t="n">
        <f aca="false">T93+T70+T47</f>
        <v>49119.7211848576</v>
      </c>
      <c r="U110" s="488" t="n">
        <f aca="false">U93+U70+U47</f>
        <v>43305.8198996042</v>
      </c>
      <c r="V110" s="488" t="n">
        <f aca="false">V93+V70+V47</f>
        <v>37157.2314259745</v>
      </c>
      <c r="W110" s="0"/>
      <c r="X110" s="0"/>
      <c r="Y110" s="0"/>
      <c r="Z110" s="0"/>
      <c r="AA110" s="0"/>
      <c r="AB110" s="493"/>
      <c r="AC110" s="488"/>
      <c r="AD110" s="488"/>
      <c r="AE110" s="488"/>
      <c r="AF110" s="488"/>
      <c r="AG110" s="488"/>
      <c r="AH110" s="488"/>
      <c r="AI110" s="488"/>
      <c r="AJ110" s="488"/>
      <c r="AK110" s="488"/>
      <c r="AL110" s="488"/>
      <c r="AM110" s="488"/>
    </row>
    <row r="111" customFormat="false" ht="12.75" hidden="false" customHeight="false" outlineLevel="0" collapsed="false">
      <c r="A111" s="385" t="s">
        <v>384</v>
      </c>
      <c r="B111" s="488" t="n">
        <f aca="false">B48+B71+B94</f>
        <v>0</v>
      </c>
      <c r="C111" s="488" t="n">
        <f aca="false">C48+C71+C94</f>
        <v>0</v>
      </c>
      <c r="D111" s="488" t="n">
        <f aca="false">D48+D71+D94</f>
        <v>0</v>
      </c>
      <c r="E111" s="488" t="n">
        <f aca="false">E48+E71+E94</f>
        <v>0</v>
      </c>
      <c r="F111" s="488" t="n">
        <f aca="false">F48+F71+F94</f>
        <v>0</v>
      </c>
      <c r="G111" s="488" t="n">
        <f aca="false">G48+G71+G94</f>
        <v>0</v>
      </c>
      <c r="H111" s="488" t="n">
        <f aca="false">H48+H71+H94</f>
        <v>0</v>
      </c>
      <c r="I111" s="488" t="n">
        <f aca="false">I48+I71+I94</f>
        <v>0</v>
      </c>
      <c r="J111" s="488" t="n">
        <f aca="false">J48+J71+J94</f>
        <v>0</v>
      </c>
      <c r="K111" s="488" t="n">
        <f aca="false">K48+K71+K94</f>
        <v>0</v>
      </c>
      <c r="L111" s="488" t="n">
        <f aca="false">L48+L71+L94</f>
        <v>0</v>
      </c>
      <c r="M111" s="488" t="n">
        <f aca="false">M48+M71+M94</f>
        <v>0</v>
      </c>
      <c r="N111" s="488" t="n">
        <f aca="false">N48+N71+N94</f>
        <v>0</v>
      </c>
      <c r="O111" s="488" t="n">
        <f aca="false">O48+O71+O94</f>
        <v>0</v>
      </c>
      <c r="P111" s="488" t="n">
        <f aca="false">P48+P71+P94</f>
        <v>0</v>
      </c>
      <c r="Q111" s="488" t="n">
        <f aca="false">Q48+Q71+Q94</f>
        <v>0</v>
      </c>
      <c r="R111" s="488" t="n">
        <f aca="false">R48+R71+R94</f>
        <v>0</v>
      </c>
      <c r="S111" s="488" t="n">
        <f aca="false">S48+S71+S94</f>
        <v>0</v>
      </c>
      <c r="T111" s="488" t="n">
        <f aca="false">T48+T71+T94</f>
        <v>0</v>
      </c>
      <c r="U111" s="488" t="n">
        <f aca="false">U48+U71+U94</f>
        <v>0</v>
      </c>
      <c r="V111" s="488" t="n">
        <f aca="false">V48+V71+V94</f>
        <v>0</v>
      </c>
      <c r="W111" s="0"/>
      <c r="X111" s="0"/>
      <c r="Y111" s="0"/>
      <c r="Z111" s="0"/>
      <c r="AA111" s="0"/>
      <c r="AB111" s="493"/>
      <c r="AC111" s="488"/>
      <c r="AD111" s="488"/>
      <c r="AE111" s="488"/>
      <c r="AF111" s="488"/>
      <c r="AG111" s="488"/>
      <c r="AH111" s="488"/>
      <c r="AI111" s="488"/>
      <c r="AJ111" s="488"/>
      <c r="AK111" s="488"/>
      <c r="AL111" s="488"/>
      <c r="AM111" s="488"/>
    </row>
    <row r="112" customFormat="false" ht="12.75" hidden="false" customHeight="false" outlineLevel="0" collapsed="false">
      <c r="A112" s="385" t="s">
        <v>385</v>
      </c>
      <c r="B112" s="488" t="n">
        <v>0</v>
      </c>
      <c r="C112" s="488" t="n">
        <v>0</v>
      </c>
      <c r="D112" s="488" t="n">
        <v>0</v>
      </c>
      <c r="E112" s="488" t="n">
        <v>0</v>
      </c>
      <c r="F112" s="488" t="n">
        <v>0</v>
      </c>
      <c r="G112" s="488" t="n">
        <v>0</v>
      </c>
      <c r="H112" s="488" t="n">
        <v>0</v>
      </c>
      <c r="I112" s="488" t="n">
        <v>0</v>
      </c>
      <c r="J112" s="488" t="n">
        <v>0</v>
      </c>
      <c r="K112" s="488" t="n">
        <v>0</v>
      </c>
      <c r="L112" s="488" t="n">
        <v>0</v>
      </c>
      <c r="M112" s="488" t="n">
        <v>0</v>
      </c>
      <c r="N112" s="488" t="n">
        <v>0</v>
      </c>
      <c r="O112" s="488" t="n">
        <v>0</v>
      </c>
      <c r="P112" s="488" t="n">
        <v>0</v>
      </c>
      <c r="Q112" s="488" t="n">
        <v>0</v>
      </c>
      <c r="R112" s="488" t="n">
        <v>0</v>
      </c>
      <c r="S112" s="488" t="n">
        <v>0</v>
      </c>
      <c r="T112" s="488" t="n">
        <v>0</v>
      </c>
      <c r="U112" s="488" t="n">
        <v>0</v>
      </c>
      <c r="V112" s="488" t="n">
        <v>0</v>
      </c>
      <c r="W112" s="0"/>
      <c r="X112" s="0"/>
      <c r="Y112" s="0"/>
      <c r="Z112" s="0"/>
      <c r="AA112" s="0"/>
      <c r="AB112" s="493"/>
      <c r="AC112" s="488"/>
      <c r="AD112" s="488"/>
      <c r="AE112" s="488"/>
      <c r="AF112" s="488"/>
      <c r="AG112" s="488"/>
      <c r="AH112" s="488"/>
      <c r="AI112" s="488"/>
      <c r="AJ112" s="488"/>
      <c r="AK112" s="488"/>
      <c r="AL112" s="488"/>
      <c r="AM112" s="488"/>
    </row>
    <row r="113" customFormat="false" ht="12.75" hidden="false" customHeight="false" outlineLevel="0" collapsed="false">
      <c r="A113" s="497"/>
      <c r="B113" s="497"/>
      <c r="C113" s="497"/>
      <c r="D113" s="497"/>
      <c r="E113" s="497"/>
      <c r="F113" s="503" t="n">
        <f aca="false">F140/SUM(F31,F32,E41,E42,F54,F55,E64,E65,F77,F78,E87,E88)</f>
        <v>-0.286299488799407</v>
      </c>
      <c r="G113" s="497"/>
      <c r="H113" s="497"/>
      <c r="I113" s="497"/>
      <c r="J113" s="497"/>
      <c r="K113" s="497"/>
      <c r="L113" s="497"/>
      <c r="M113" s="497"/>
      <c r="N113" s="497"/>
      <c r="O113" s="497"/>
      <c r="P113" s="497"/>
      <c r="Q113" s="497"/>
      <c r="R113" s="497"/>
      <c r="S113" s="497"/>
      <c r="T113" s="497"/>
      <c r="U113" s="497"/>
      <c r="V113" s="497"/>
      <c r="W113" s="0"/>
      <c r="X113" s="0"/>
      <c r="Y113" s="0"/>
      <c r="Z113" s="0"/>
      <c r="AA113" s="0"/>
      <c r="AB113" s="499"/>
      <c r="AC113" s="497"/>
      <c r="AD113" s="497"/>
      <c r="AE113" s="497"/>
      <c r="AF113" s="497"/>
      <c r="AG113" s="497"/>
      <c r="AH113" s="497"/>
      <c r="AI113" s="497"/>
      <c r="AJ113" s="497"/>
      <c r="AK113" s="497"/>
      <c r="AL113" s="497"/>
      <c r="AM113" s="497"/>
    </row>
    <row r="114" customFormat="false" ht="12.75" hidden="false" customHeight="false" outlineLevel="0" collapsed="false">
      <c r="A114" s="446" t="s">
        <v>386</v>
      </c>
      <c r="B114" s="504" t="str">
        <f aca="false">IF(AND(B101&lt;0.001,B100&lt;0.0001),"NA",B97/(B106))</f>
        <v>NA</v>
      </c>
      <c r="C114" s="504" t="n">
        <f aca="false">7/12*C97/C106</f>
        <v>1.60978242012433</v>
      </c>
      <c r="D114" s="504" t="n">
        <f aca="false">D97/D106</f>
        <v>1.29734967872069</v>
      </c>
      <c r="E114" s="504" t="n">
        <f aca="false">E97/E106</f>
        <v>1.2996424159139</v>
      </c>
      <c r="F114" s="504" t="s">
        <v>339</v>
      </c>
      <c r="G114" s="504" t="s">
        <v>339</v>
      </c>
      <c r="H114" s="504" t="s">
        <v>339</v>
      </c>
      <c r="I114" s="504" t="s">
        <v>339</v>
      </c>
      <c r="J114" s="504" t="s">
        <v>339</v>
      </c>
      <c r="K114" s="504" t="s">
        <v>339</v>
      </c>
      <c r="L114" s="504" t="s">
        <v>339</v>
      </c>
      <c r="M114" s="504" t="s">
        <v>339</v>
      </c>
      <c r="N114" s="504" t="s">
        <v>339</v>
      </c>
      <c r="O114" s="504" t="s">
        <v>339</v>
      </c>
      <c r="P114" s="504" t="s">
        <v>339</v>
      </c>
      <c r="Q114" s="504" t="s">
        <v>339</v>
      </c>
      <c r="R114" s="504" t="s">
        <v>339</v>
      </c>
      <c r="S114" s="504" t="s">
        <v>339</v>
      </c>
      <c r="T114" s="504" t="s">
        <v>339</v>
      </c>
      <c r="U114" s="504" t="s">
        <v>339</v>
      </c>
      <c r="V114" s="505" t="s">
        <v>339</v>
      </c>
      <c r="W114" s="0"/>
      <c r="X114" s="0"/>
      <c r="Y114" s="0"/>
      <c r="Z114" s="0"/>
      <c r="AA114" s="0"/>
      <c r="AB114" s="506"/>
      <c r="AC114" s="470"/>
      <c r="AD114" s="470"/>
      <c r="AE114" s="470"/>
      <c r="AF114" s="470"/>
      <c r="AG114" s="470"/>
      <c r="AH114" s="470"/>
      <c r="AI114" s="470"/>
      <c r="AJ114" s="470"/>
      <c r="AK114" s="470"/>
      <c r="AL114" s="470"/>
      <c r="AM114" s="470"/>
    </row>
    <row r="115" customFormat="false" ht="12.75" hidden="false" customHeight="false" outlineLevel="0" collapsed="false">
      <c r="A115" s="450" t="s">
        <v>387</v>
      </c>
      <c r="B115" s="507" t="s">
        <v>339</v>
      </c>
      <c r="C115" s="507" t="s">
        <v>339</v>
      </c>
      <c r="D115" s="507" t="s">
        <v>339</v>
      </c>
      <c r="E115" s="507" t="s">
        <v>339</v>
      </c>
      <c r="F115" s="507" t="n">
        <f aca="false">F97/F106</f>
        <v>2.25117221629542</v>
      </c>
      <c r="G115" s="507" t="n">
        <f aca="false">G97/G106</f>
        <v>2.25251695298505</v>
      </c>
      <c r="H115" s="507" t="n">
        <f aca="false">H97/H106</f>
        <v>2.25370451252694</v>
      </c>
      <c r="I115" s="507" t="n">
        <f aca="false">I97/I106</f>
        <v>2.25298455988249</v>
      </c>
      <c r="J115" s="507" t="n">
        <f aca="false">J97/J106</f>
        <v>2.25297095917228</v>
      </c>
      <c r="K115" s="507" t="n">
        <f aca="false">K97/K106</f>
        <v>2.24708594628305</v>
      </c>
      <c r="L115" s="507" t="n">
        <f aca="false">L97/L106</f>
        <v>2.25383827365064</v>
      </c>
      <c r="M115" s="507" t="n">
        <f aca="false">M97/M106</f>
        <v>2.59511856380322</v>
      </c>
      <c r="N115" s="507" t="n">
        <f aca="false">N97/N106</f>
        <v>2.77903181261845</v>
      </c>
      <c r="O115" s="507" t="n">
        <f aca="false">O97/O106</f>
        <v>2.81368458051004</v>
      </c>
      <c r="P115" s="507" t="n">
        <f aca="false">P97/P106</f>
        <v>2.8912521425216</v>
      </c>
      <c r="Q115" s="507" t="n">
        <f aca="false">Q97/Q106</f>
        <v>2.97685291469992</v>
      </c>
      <c r="R115" s="507" t="n">
        <f aca="false">R97/R106</f>
        <v>3.0351073201178</v>
      </c>
      <c r="S115" s="507" t="n">
        <f aca="false">S97/S106</f>
        <v>3.25200790992162</v>
      </c>
      <c r="T115" s="507" t="n">
        <f aca="false">T97/T106</f>
        <v>3.62109226302898</v>
      </c>
      <c r="U115" s="507" t="n">
        <f aca="false">U97/U106</f>
        <v>4.42550313998007</v>
      </c>
      <c r="V115" s="508" t="n">
        <f aca="false">V97/V106</f>
        <v>5.56810738407889</v>
      </c>
      <c r="W115" s="0"/>
      <c r="X115" s="0"/>
      <c r="Y115" s="0"/>
      <c r="Z115" s="0"/>
      <c r="AA115" s="0"/>
      <c r="AB115" s="506"/>
      <c r="AC115" s="470"/>
      <c r="AD115" s="470"/>
      <c r="AE115" s="470"/>
      <c r="AF115" s="470"/>
      <c r="AG115" s="470"/>
      <c r="AH115" s="470"/>
      <c r="AI115" s="470"/>
      <c r="AJ115" s="470"/>
      <c r="AK115" s="470"/>
      <c r="AL115" s="470"/>
      <c r="AM115" s="470"/>
    </row>
    <row r="116" customFormat="false" ht="12.75" hidden="false" customHeight="false" outlineLevel="0" collapsed="false">
      <c r="A116" s="509"/>
      <c r="B116" s="510"/>
      <c r="C116" s="510"/>
      <c r="D116" s="510"/>
      <c r="E116" s="510"/>
      <c r="F116" s="510"/>
      <c r="G116" s="510"/>
      <c r="H116" s="510"/>
      <c r="I116" s="510"/>
      <c r="J116" s="510"/>
      <c r="K116" s="510"/>
      <c r="L116" s="510"/>
      <c r="M116" s="510"/>
      <c r="N116" s="510"/>
      <c r="O116" s="510"/>
      <c r="P116" s="510"/>
      <c r="Q116" s="510"/>
      <c r="R116" s="510"/>
      <c r="S116" s="510"/>
      <c r="T116" s="510"/>
      <c r="U116" s="510"/>
      <c r="V116" s="510"/>
      <c r="W116" s="0"/>
      <c r="X116" s="0"/>
      <c r="Y116" s="0"/>
      <c r="Z116" s="0"/>
      <c r="AA116" s="0"/>
      <c r="AB116" s="506"/>
      <c r="AC116" s="470"/>
      <c r="AD116" s="470"/>
      <c r="AE116" s="470"/>
      <c r="AF116" s="470"/>
      <c r="AG116" s="470"/>
      <c r="AH116" s="470"/>
      <c r="AI116" s="470"/>
      <c r="AJ116" s="470"/>
      <c r="AK116" s="470"/>
      <c r="AL116" s="470"/>
      <c r="AM116" s="470"/>
    </row>
    <row r="117" customFormat="false" ht="12.75" hidden="false" customHeight="false" outlineLevel="0" collapsed="false">
      <c r="A117" s="509"/>
      <c r="B117" s="510"/>
      <c r="C117" s="510"/>
      <c r="D117" s="510"/>
      <c r="E117" s="510"/>
      <c r="F117" s="510"/>
      <c r="G117" s="510"/>
      <c r="H117" s="510"/>
      <c r="I117" s="510"/>
      <c r="J117" s="510"/>
      <c r="K117" s="510"/>
      <c r="L117" s="510"/>
      <c r="M117" s="510"/>
      <c r="N117" s="510"/>
      <c r="O117" s="510"/>
      <c r="P117" s="510"/>
      <c r="Q117" s="510"/>
      <c r="R117" s="510"/>
      <c r="S117" s="510"/>
      <c r="T117" s="510"/>
      <c r="U117" s="510"/>
      <c r="V117" s="510"/>
      <c r="W117" s="0"/>
      <c r="X117" s="0"/>
      <c r="Y117" s="0"/>
      <c r="Z117" s="0"/>
      <c r="AA117" s="0"/>
      <c r="AB117" s="506"/>
      <c r="AC117" s="470"/>
      <c r="AD117" s="470"/>
      <c r="AE117" s="470"/>
      <c r="AF117" s="470"/>
      <c r="AG117" s="470"/>
      <c r="AH117" s="470"/>
      <c r="AI117" s="470"/>
      <c r="AJ117" s="470"/>
      <c r="AK117" s="470"/>
      <c r="AL117" s="470"/>
      <c r="AM117" s="470"/>
    </row>
    <row r="118" customFormat="false" ht="12.75" hidden="false" customHeight="false" outlineLevel="0" collapsed="false">
      <c r="A118" s="470"/>
      <c r="B118" s="446" t="s">
        <v>388</v>
      </c>
      <c r="C118" s="511"/>
      <c r="D118" s="511"/>
      <c r="E118" s="512" t="n">
        <f aca="false">AVERAGE(C114:T114)</f>
        <v>1.40225817158631</v>
      </c>
      <c r="F118" s="470"/>
      <c r="G118" s="446" t="s">
        <v>389</v>
      </c>
      <c r="H118" s="511"/>
      <c r="I118" s="511"/>
      <c r="J118" s="512" t="n">
        <f aca="false">AVERAGE(F115:V115)</f>
        <v>2.92482537953391</v>
      </c>
      <c r="K118" s="470"/>
      <c r="L118" s="470"/>
      <c r="M118" s="513"/>
      <c r="N118" s="470"/>
      <c r="O118" s="470"/>
      <c r="P118" s="514"/>
      <c r="Q118" s="514"/>
      <c r="R118" s="514"/>
      <c r="S118" s="470"/>
      <c r="T118" s="470"/>
      <c r="U118" s="470"/>
      <c r="V118" s="470"/>
      <c r="W118" s="0"/>
      <c r="X118" s="0"/>
      <c r="Y118" s="0"/>
      <c r="Z118" s="0"/>
      <c r="AA118" s="0"/>
      <c r="AB118" s="506"/>
      <c r="AC118" s="470"/>
      <c r="AD118" s="470"/>
      <c r="AE118" s="470"/>
      <c r="AF118" s="470"/>
      <c r="AG118" s="470"/>
      <c r="AH118" s="470"/>
      <c r="AI118" s="470"/>
      <c r="AJ118" s="470"/>
      <c r="AK118" s="470"/>
      <c r="AL118" s="470"/>
      <c r="AM118" s="470"/>
    </row>
    <row r="119" customFormat="false" ht="12.75" hidden="false" customHeight="false" outlineLevel="0" collapsed="false">
      <c r="A119" s="470"/>
      <c r="B119" s="450" t="s">
        <v>390</v>
      </c>
      <c r="C119" s="515"/>
      <c r="D119" s="515"/>
      <c r="E119" s="516" t="n">
        <f aca="false">MIN(C114:T114)</f>
        <v>1.29734967872069</v>
      </c>
      <c r="F119" s="509"/>
      <c r="G119" s="450" t="s">
        <v>391</v>
      </c>
      <c r="H119" s="515"/>
      <c r="I119" s="515"/>
      <c r="J119" s="516" t="n">
        <f aca="false">MIN(F115:V115)</f>
        <v>2.24708594628305</v>
      </c>
      <c r="K119" s="509"/>
      <c r="L119" s="509"/>
      <c r="M119" s="509"/>
      <c r="N119" s="509"/>
      <c r="O119" s="509"/>
      <c r="P119" s="514"/>
      <c r="Q119" s="514"/>
      <c r="R119" s="514"/>
      <c r="S119" s="470"/>
      <c r="T119" s="470"/>
      <c r="U119" s="470"/>
      <c r="V119" s="470"/>
      <c r="W119" s="0"/>
      <c r="X119" s="0"/>
      <c r="Y119" s="0"/>
      <c r="Z119" s="0"/>
      <c r="AA119" s="0"/>
      <c r="AB119" s="506"/>
      <c r="AC119" s="470"/>
      <c r="AD119" s="470"/>
      <c r="AE119" s="470"/>
      <c r="AF119" s="470"/>
      <c r="AG119" s="470"/>
      <c r="AH119" s="470"/>
      <c r="AI119" s="470"/>
      <c r="AJ119" s="470"/>
      <c r="AK119" s="470"/>
      <c r="AL119" s="470"/>
      <c r="AM119" s="470"/>
    </row>
    <row r="122" customFormat="false" ht="12.75" hidden="false" customHeight="false" outlineLevel="0" collapsed="false">
      <c r="A122" s="385" t="s">
        <v>141</v>
      </c>
    </row>
    <row r="123" customFormat="false" ht="12.75" hidden="false" customHeight="false" outlineLevel="0" collapsed="false">
      <c r="B123" s="436" t="n">
        <f aca="false">Assumptions!C17</f>
        <v>36526</v>
      </c>
      <c r="C123" s="436" t="n">
        <v>36556</v>
      </c>
      <c r="D123" s="436" t="n">
        <v>36738</v>
      </c>
      <c r="E123" s="436" t="n">
        <v>36922</v>
      </c>
      <c r="F123" s="436" t="n">
        <v>37103</v>
      </c>
      <c r="G123" s="436" t="n">
        <v>37287</v>
      </c>
      <c r="H123" s="436" t="n">
        <v>37468</v>
      </c>
      <c r="I123" s="436" t="n">
        <v>37652</v>
      </c>
      <c r="J123" s="436" t="n">
        <v>37833</v>
      </c>
      <c r="K123" s="436" t="n">
        <v>38017</v>
      </c>
      <c r="L123" s="436" t="n">
        <v>38199</v>
      </c>
      <c r="M123" s="436" t="n">
        <v>38383</v>
      </c>
      <c r="N123" s="436" t="n">
        <v>38564</v>
      </c>
      <c r="O123" s="436" t="n">
        <v>38748</v>
      </c>
      <c r="P123" s="436" t="n">
        <v>38929</v>
      </c>
      <c r="Q123" s="436" t="n">
        <v>39113</v>
      </c>
      <c r="R123" s="436" t="n">
        <v>39294</v>
      </c>
      <c r="S123" s="436" t="n">
        <v>39478</v>
      </c>
      <c r="T123" s="436" t="n">
        <v>39660</v>
      </c>
      <c r="U123" s="436" t="n">
        <v>39844</v>
      </c>
      <c r="V123" s="436" t="n">
        <v>40025</v>
      </c>
      <c r="W123" s="436" t="n">
        <v>40209</v>
      </c>
      <c r="X123" s="436" t="n">
        <v>40390</v>
      </c>
      <c r="Y123" s="436" t="n">
        <v>40574</v>
      </c>
      <c r="Z123" s="436" t="n">
        <v>40755</v>
      </c>
      <c r="AA123" s="436" t="n">
        <v>40939</v>
      </c>
      <c r="AB123" s="436" t="n">
        <v>41121</v>
      </c>
      <c r="AC123" s="436" t="n">
        <v>41305</v>
      </c>
      <c r="AD123" s="436" t="n">
        <v>41486</v>
      </c>
      <c r="AE123" s="436" t="n">
        <v>41670</v>
      </c>
      <c r="AF123" s="436" t="n">
        <v>41851</v>
      </c>
      <c r="AG123" s="436" t="n">
        <v>42035</v>
      </c>
      <c r="AH123" s="436" t="n">
        <v>42216</v>
      </c>
      <c r="AI123" s="436" t="n">
        <v>42400</v>
      </c>
      <c r="AJ123" s="436" t="n">
        <v>42582</v>
      </c>
      <c r="AK123" s="436" t="n">
        <v>42766</v>
      </c>
      <c r="AL123" s="436" t="n">
        <v>42947</v>
      </c>
      <c r="AM123" s="436" t="n">
        <v>43131</v>
      </c>
      <c r="AN123" s="436" t="n">
        <v>43312</v>
      </c>
      <c r="AO123" s="436" t="n">
        <v>43496</v>
      </c>
      <c r="AP123" s="436" t="n">
        <v>43677</v>
      </c>
      <c r="AQ123" s="436"/>
      <c r="AR123" s="436"/>
      <c r="AS123" s="436"/>
      <c r="AT123" s="436"/>
      <c r="AU123" s="436"/>
      <c r="AV123" s="436"/>
    </row>
    <row r="124" customFormat="false" ht="12.75" hidden="false" customHeight="false" outlineLevel="0" collapsed="false">
      <c r="B124" s="1" t="n">
        <v>0</v>
      </c>
      <c r="C124" s="398" t="n">
        <f aca="false">(C123-$B$123)/365</f>
        <v>0.0821917808219178</v>
      </c>
      <c r="D124" s="398" t="n">
        <f aca="false">(D123-$B$123)/365</f>
        <v>0.580821917808219</v>
      </c>
      <c r="E124" s="398" t="n">
        <f aca="false">(E123-$B$123)/365</f>
        <v>1.08493150684932</v>
      </c>
      <c r="F124" s="398" t="n">
        <f aca="false">(F123-$B$123)/365</f>
        <v>1.58082191780822</v>
      </c>
      <c r="G124" s="398" t="n">
        <f aca="false">(G123-$B$123)/365</f>
        <v>2.08493150684932</v>
      </c>
      <c r="H124" s="398" t="n">
        <f aca="false">(H123-$B$123)/365</f>
        <v>2.58082191780822</v>
      </c>
      <c r="I124" s="398" t="n">
        <f aca="false">(I123-$B$123)/365</f>
        <v>3.08493150684932</v>
      </c>
      <c r="J124" s="398" t="n">
        <f aca="false">(J123-$B$123)/365</f>
        <v>3.58082191780822</v>
      </c>
      <c r="K124" s="398" t="n">
        <f aca="false">(K123-$B$123)/365</f>
        <v>4.08493150684932</v>
      </c>
      <c r="L124" s="398" t="n">
        <f aca="false">(L123-$B$123)/365</f>
        <v>4.58356164383562</v>
      </c>
      <c r="M124" s="398" t="n">
        <f aca="false">(M123-$B$123)/365</f>
        <v>5.08767123287671</v>
      </c>
      <c r="N124" s="398" t="n">
        <f aca="false">(N123-$B$123)/365</f>
        <v>5.58356164383562</v>
      </c>
      <c r="O124" s="398" t="n">
        <f aca="false">(O123-$B$123)/365</f>
        <v>6.08767123287671</v>
      </c>
      <c r="P124" s="398" t="n">
        <f aca="false">(P123-$B$123)/365</f>
        <v>6.58356164383562</v>
      </c>
      <c r="Q124" s="398" t="n">
        <f aca="false">(Q123-$B$123)/365</f>
        <v>7.08767123287671</v>
      </c>
      <c r="R124" s="398" t="n">
        <f aca="false">(R123-$B$123)/365</f>
        <v>7.58356164383562</v>
      </c>
      <c r="S124" s="398" t="n">
        <f aca="false">(S123-$B$123)/365</f>
        <v>8.08767123287671</v>
      </c>
      <c r="T124" s="398" t="n">
        <f aca="false">(T123-$B$123)/365</f>
        <v>8.58630136986301</v>
      </c>
      <c r="U124" s="398" t="n">
        <f aca="false">(U123-$B$123)/365</f>
        <v>9.09041095890411</v>
      </c>
      <c r="V124" s="398" t="n">
        <f aca="false">(V123-$B$123)/365</f>
        <v>9.58630136986301</v>
      </c>
      <c r="W124" s="398" t="n">
        <f aca="false">(W123-$B$123)/365</f>
        <v>10.0904109589041</v>
      </c>
      <c r="X124" s="398" t="n">
        <f aca="false">(X123-$B$123)/365</f>
        <v>10.586301369863</v>
      </c>
      <c r="Y124" s="398" t="n">
        <f aca="false">(Y123-$B$123)/365</f>
        <v>11.0904109589041</v>
      </c>
      <c r="Z124" s="398" t="n">
        <f aca="false">(Z123-$B$123)/365</f>
        <v>11.586301369863</v>
      </c>
      <c r="AA124" s="398" t="n">
        <f aca="false">(AA123-$B$123)/365</f>
        <v>12.0904109589041</v>
      </c>
      <c r="AB124" s="398" t="n">
        <f aca="false">(AB123-$B$123)/365</f>
        <v>12.5890410958904</v>
      </c>
      <c r="AC124" s="398" t="n">
        <f aca="false">(AC123-$B$123)/365</f>
        <v>13.0931506849315</v>
      </c>
      <c r="AD124" s="398" t="n">
        <f aca="false">(AD123-$B$123)/365</f>
        <v>13.5890410958904</v>
      </c>
      <c r="AE124" s="398" t="n">
        <f aca="false">(AE123-$B$123)/365</f>
        <v>14.0931506849315</v>
      </c>
      <c r="AF124" s="398" t="n">
        <f aca="false">(AF123-$B$123)/365</f>
        <v>14.5890410958904</v>
      </c>
      <c r="AG124" s="398" t="n">
        <f aca="false">(AG123-$B$123)/365</f>
        <v>15.0931506849315</v>
      </c>
      <c r="AH124" s="398" t="n">
        <f aca="false">(AH123-$B$123)/365</f>
        <v>15.5890410958904</v>
      </c>
      <c r="AI124" s="398" t="n">
        <f aca="false">(AI123-$B$123)/365</f>
        <v>16.0931506849315</v>
      </c>
      <c r="AJ124" s="398" t="n">
        <f aca="false">(AJ123-$B$123)/365</f>
        <v>16.5917808219178</v>
      </c>
      <c r="AK124" s="398" t="n">
        <f aca="false">(AK123-$B$123)/365</f>
        <v>17.0958904109589</v>
      </c>
      <c r="AL124" s="398" t="n">
        <f aca="false">(AL123-$B$123)/365</f>
        <v>17.5917808219178</v>
      </c>
      <c r="AM124" s="398" t="n">
        <f aca="false">(AM123-$B$123)/365</f>
        <v>18.0958904109589</v>
      </c>
      <c r="AN124" s="398" t="n">
        <f aca="false">(AN123-$B$123)/365</f>
        <v>18.5917808219178</v>
      </c>
      <c r="AO124" s="398" t="n">
        <f aca="false">(AO123-$B$123)/365</f>
        <v>19.0958904109589</v>
      </c>
      <c r="AP124" s="398" t="n">
        <f aca="false">(AP123-$B$123)/365</f>
        <v>19.5917808219178</v>
      </c>
    </row>
    <row r="126" customFormat="false" ht="12.75" hidden="false" customHeight="false" outlineLevel="0" collapsed="false">
      <c r="A126" s="1" t="s">
        <v>392</v>
      </c>
      <c r="B126" s="431" t="n">
        <f aca="false">B31+B36</f>
        <v>0</v>
      </c>
      <c r="C126" s="431" t="n">
        <f aca="false">C31+B41</f>
        <v>722.25</v>
      </c>
      <c r="D126" s="431" t="n">
        <f aca="false">C36</f>
        <v>7944.75</v>
      </c>
      <c r="E126" s="431" t="n">
        <f aca="false">D31</f>
        <v>11768.625</v>
      </c>
      <c r="F126" s="431" t="n">
        <f aca="false">D36</f>
        <v>13908.375</v>
      </c>
      <c r="G126" s="431" t="n">
        <f aca="false">E31</f>
        <v>13648.5</v>
      </c>
      <c r="H126" s="431" t="n">
        <f aca="false">E36</f>
        <v>13648.5</v>
      </c>
      <c r="I126" s="431" t="n">
        <f aca="false">F31</f>
        <v>19359</v>
      </c>
      <c r="J126" s="431" t="n">
        <f aca="false">F36</f>
        <v>0</v>
      </c>
      <c r="K126" s="431" t="n">
        <f aca="false">K31+K36</f>
        <v>0</v>
      </c>
      <c r="L126" s="431" t="n">
        <f aca="false">L31+L36</f>
        <v>0</v>
      </c>
      <c r="M126" s="431" t="n">
        <f aca="false">M31+M36</f>
        <v>0</v>
      </c>
      <c r="N126" s="431" t="n">
        <f aca="false">N31+N36</f>
        <v>0</v>
      </c>
      <c r="O126" s="431" t="n">
        <f aca="false">O31+O36</f>
        <v>0</v>
      </c>
      <c r="P126" s="431" t="n">
        <f aca="false">P31+P36</f>
        <v>0</v>
      </c>
      <c r="Q126" s="431" t="n">
        <f aca="false">Q31+Q36</f>
        <v>0</v>
      </c>
      <c r="R126" s="431" t="n">
        <f aca="false">R31+R36</f>
        <v>0</v>
      </c>
      <c r="S126" s="431" t="n">
        <f aca="false">S31+S36</f>
        <v>0</v>
      </c>
      <c r="T126" s="431" t="n">
        <f aca="false">T31+T36</f>
        <v>0</v>
      </c>
      <c r="U126" s="431" t="n">
        <f aca="false">U31+U36</f>
        <v>0</v>
      </c>
      <c r="V126" s="431" t="n">
        <f aca="false">V31+V36</f>
        <v>0</v>
      </c>
      <c r="W126" s="1" t="n">
        <v>0</v>
      </c>
      <c r="X126" s="1" t="n">
        <v>0</v>
      </c>
      <c r="Y126" s="1" t="n">
        <v>0</v>
      </c>
      <c r="Z126" s="1" t="n">
        <v>0</v>
      </c>
      <c r="AA126" s="70" t="n">
        <v>0</v>
      </c>
      <c r="AB126" s="70" t="n">
        <v>0</v>
      </c>
      <c r="AC126" s="1" t="n">
        <v>0</v>
      </c>
      <c r="AD126" s="1" t="n">
        <v>0</v>
      </c>
      <c r="AE126" s="1" t="n">
        <v>0</v>
      </c>
      <c r="AF126" s="1" t="n">
        <v>0</v>
      </c>
      <c r="AG126" s="1" t="n">
        <v>0</v>
      </c>
      <c r="AH126" s="1" t="n">
        <v>0</v>
      </c>
      <c r="AI126" s="1" t="n">
        <v>0</v>
      </c>
      <c r="AJ126" s="1" t="n">
        <v>0</v>
      </c>
      <c r="AK126" s="1" t="n">
        <v>0</v>
      </c>
      <c r="AL126" s="1" t="n">
        <v>0</v>
      </c>
      <c r="AM126" s="1" t="n">
        <v>0</v>
      </c>
      <c r="AN126" s="1" t="n">
        <v>0</v>
      </c>
      <c r="AO126" s="1" t="n">
        <v>0</v>
      </c>
      <c r="AP126" s="1" t="n">
        <v>0</v>
      </c>
    </row>
    <row r="127" customFormat="false" ht="12.75" hidden="false" customHeight="false" outlineLevel="0" collapsed="false">
      <c r="A127" s="1" t="s">
        <v>393</v>
      </c>
      <c r="B127" s="431" t="n">
        <v>0</v>
      </c>
      <c r="C127" s="431" t="n">
        <v>0</v>
      </c>
      <c r="D127" s="431" t="n">
        <v>0</v>
      </c>
      <c r="E127" s="431" t="n">
        <v>0</v>
      </c>
      <c r="F127" s="431" t="n">
        <v>0</v>
      </c>
      <c r="G127" s="431" t="n">
        <v>0</v>
      </c>
      <c r="H127" s="431" t="n">
        <v>0</v>
      </c>
      <c r="I127" s="431" t="n">
        <v>0</v>
      </c>
      <c r="J127" s="431" t="n">
        <v>0</v>
      </c>
      <c r="K127" s="431" t="n">
        <f aca="false">G54</f>
        <v>9012.91666666667</v>
      </c>
      <c r="L127" s="431" t="n">
        <f aca="false">G59</f>
        <v>12618.0833333333</v>
      </c>
      <c r="M127" s="431" t="n">
        <f aca="false">H54</f>
        <v>12707</v>
      </c>
      <c r="N127" s="431" t="n">
        <f aca="false">H59</f>
        <v>12707</v>
      </c>
      <c r="O127" s="431" t="n">
        <f aca="false">I54</f>
        <v>14259</v>
      </c>
      <c r="P127" s="431" t="n">
        <f aca="false">I59</f>
        <v>14259</v>
      </c>
      <c r="Q127" s="431" t="n">
        <f aca="false">J54</f>
        <v>16684</v>
      </c>
      <c r="R127" s="431" t="n">
        <f aca="false">J59</f>
        <v>16684</v>
      </c>
      <c r="S127" s="431" t="n">
        <f aca="false">K54</f>
        <v>18915</v>
      </c>
      <c r="T127" s="431" t="n">
        <f aca="false">K59</f>
        <v>18915</v>
      </c>
      <c r="U127" s="431" t="n">
        <f aca="false">L54</f>
        <v>23619.5</v>
      </c>
      <c r="V127" s="431" t="n">
        <f aca="false">L59</f>
        <v>23619.5</v>
      </c>
      <c r="W127" s="1" t="n">
        <v>0</v>
      </c>
      <c r="X127" s="1" t="n">
        <v>0</v>
      </c>
      <c r="Y127" s="1" t="n">
        <v>0</v>
      </c>
      <c r="Z127" s="1" t="n">
        <v>0</v>
      </c>
      <c r="AA127" s="70" t="n">
        <v>0</v>
      </c>
      <c r="AB127" s="70" t="n">
        <v>0</v>
      </c>
      <c r="AC127" s="1" t="n">
        <v>0</v>
      </c>
      <c r="AD127" s="1" t="n">
        <v>0</v>
      </c>
      <c r="AE127" s="1" t="n">
        <v>0</v>
      </c>
      <c r="AF127" s="1" t="n">
        <v>0</v>
      </c>
      <c r="AG127" s="1" t="n">
        <v>0</v>
      </c>
      <c r="AH127" s="1" t="n">
        <v>0</v>
      </c>
      <c r="AI127" s="1" t="n">
        <v>0</v>
      </c>
      <c r="AJ127" s="1" t="n">
        <v>0</v>
      </c>
      <c r="AK127" s="1" t="n">
        <v>0</v>
      </c>
      <c r="AL127" s="1" t="n">
        <v>0</v>
      </c>
      <c r="AM127" s="1" t="n">
        <v>0</v>
      </c>
      <c r="AN127" s="1" t="n">
        <v>0</v>
      </c>
      <c r="AO127" s="1" t="n">
        <v>0</v>
      </c>
      <c r="AP127" s="1" t="n">
        <v>0</v>
      </c>
    </row>
    <row r="128" customFormat="false" ht="12.75" hidden="false" customHeight="false" outlineLevel="0" collapsed="false">
      <c r="A128" s="1" t="s">
        <v>394</v>
      </c>
      <c r="B128" s="431" t="n">
        <v>0</v>
      </c>
      <c r="C128" s="431" t="n">
        <v>0</v>
      </c>
      <c r="D128" s="431" t="n">
        <v>0</v>
      </c>
      <c r="E128" s="431" t="n">
        <v>0</v>
      </c>
      <c r="F128" s="431" t="n">
        <v>0</v>
      </c>
      <c r="G128" s="431" t="n">
        <v>0</v>
      </c>
      <c r="H128" s="431" t="n">
        <v>0</v>
      </c>
      <c r="I128" s="431" t="n">
        <v>0</v>
      </c>
      <c r="J128" s="431" t="n">
        <v>0</v>
      </c>
      <c r="K128" s="431" t="n">
        <v>0</v>
      </c>
      <c r="L128" s="431" t="n">
        <v>0</v>
      </c>
      <c r="M128" s="431" t="n">
        <v>0</v>
      </c>
      <c r="N128" s="431" t="n">
        <v>0</v>
      </c>
      <c r="O128" s="431" t="n">
        <v>0</v>
      </c>
      <c r="P128" s="431" t="n">
        <v>0</v>
      </c>
      <c r="Q128" s="431" t="n">
        <v>0</v>
      </c>
      <c r="R128" s="431" t="n">
        <v>0</v>
      </c>
      <c r="S128" s="431" t="n">
        <v>0</v>
      </c>
      <c r="T128" s="431" t="n">
        <v>0</v>
      </c>
      <c r="U128" s="431" t="n">
        <v>0</v>
      </c>
      <c r="V128" s="431" t="n">
        <v>0</v>
      </c>
      <c r="W128" s="431" t="n">
        <f aca="false">M77</f>
        <v>16215.1201788405</v>
      </c>
      <c r="X128" s="431" t="n">
        <f aca="false">M82</f>
        <v>16215.1201788405</v>
      </c>
      <c r="Y128" s="431" t="n">
        <f aca="false">N77</f>
        <v>18025.3539564551</v>
      </c>
      <c r="Z128" s="431" t="n">
        <f aca="false">N82</f>
        <v>18025.3539564551</v>
      </c>
      <c r="AA128" s="485" t="n">
        <f aca="false">O77</f>
        <v>19857.4312275529</v>
      </c>
      <c r="AB128" s="485" t="n">
        <f aca="false">O82</f>
        <v>19857.4312275529</v>
      </c>
      <c r="AC128" s="431" t="n">
        <f aca="false">P77</f>
        <v>21175.849212313</v>
      </c>
      <c r="AD128" s="431" t="n">
        <f aca="false">P82</f>
        <v>21175.849212313</v>
      </c>
      <c r="AE128" s="431" t="n">
        <f aca="false">Q77</f>
        <v>22629.3775680508</v>
      </c>
      <c r="AF128" s="431" t="n">
        <f aca="false">Q82</f>
        <v>22629.3775680508</v>
      </c>
      <c r="AG128" s="431" t="n">
        <f aca="false">R77</f>
        <v>24662.0383210895</v>
      </c>
      <c r="AH128" s="431" t="n">
        <f aca="false">R82</f>
        <v>24662.0383210895</v>
      </c>
      <c r="AI128" s="431" t="n">
        <f aca="false">S77</f>
        <v>25143.4432804799</v>
      </c>
      <c r="AJ128" s="431" t="n">
        <f aca="false">S82</f>
        <v>25143.4432804799</v>
      </c>
      <c r="AK128" s="431" t="n">
        <f aca="false">T77</f>
        <v>24559.8605924288</v>
      </c>
      <c r="AL128" s="431" t="n">
        <f aca="false">T82</f>
        <v>24559.8605924288</v>
      </c>
      <c r="AM128" s="431" t="n">
        <f aca="false">U77</f>
        <v>21652.9099498021</v>
      </c>
      <c r="AN128" s="431" t="n">
        <f aca="false">U82</f>
        <v>21652.9099498021</v>
      </c>
      <c r="AO128" s="431" t="n">
        <f aca="false">V77</f>
        <v>18578.6157129873</v>
      </c>
      <c r="AP128" s="431" t="n">
        <f aca="false">V82</f>
        <v>18578.6157129873</v>
      </c>
    </row>
    <row r="130" customFormat="false" ht="12.75" hidden="false" customHeight="false" outlineLevel="0" collapsed="false">
      <c r="A130" s="1" t="s">
        <v>395</v>
      </c>
    </row>
    <row r="131" customFormat="false" ht="12.75" hidden="false" customHeight="false" outlineLevel="0" collapsed="false">
      <c r="A131" s="1" t="s">
        <v>156</v>
      </c>
      <c r="B131" s="245" t="n">
        <f aca="false">SUMPRODUCT(B126:AP126,B124:AP124)/SUM(B126:AP126)</f>
        <v>2.01025171232877</v>
      </c>
    </row>
    <row r="132" customFormat="false" ht="12.75" hidden="false" customHeight="false" outlineLevel="0" collapsed="false">
      <c r="A132" s="1" t="s">
        <v>157</v>
      </c>
      <c r="B132" s="245" t="n">
        <f aca="false">SUMPRODUCT(B127:AP127,B124:AP124)/SUM(B127:AP127)</f>
        <v>7.27953105022831</v>
      </c>
    </row>
    <row r="133" customFormat="false" ht="12.75" hidden="false" customHeight="false" outlineLevel="0" collapsed="false">
      <c r="A133" s="1" t="s">
        <v>158</v>
      </c>
      <c r="B133" s="245" t="n">
        <f aca="false">SUMPRODUCT(B128:AP128,B124:AP124)/SUM(B128:AP128)</f>
        <v>15.039434304589</v>
      </c>
    </row>
    <row r="135" customFormat="false" ht="12.75" hidden="false" customHeight="false" outlineLevel="0" collapsed="false">
      <c r="A135" s="517"/>
      <c r="B135" s="518" t="n">
        <v>36525</v>
      </c>
      <c r="C135" s="519" t="n">
        <v>36891</v>
      </c>
    </row>
    <row r="136" customFormat="false" ht="12.75" hidden="false" customHeight="false" outlineLevel="0" collapsed="false">
      <c r="A136" s="520" t="s">
        <v>396</v>
      </c>
      <c r="B136" s="521" t="n">
        <f aca="false">-(B88+B65+B42)*Allocation!$I15*(MONTH(B18)-MONTH(Assumptions!C18))/(MONTH(B18)+1-MONTH(Assumptions!C17))</f>
        <v>-0</v>
      </c>
      <c r="C136" s="522" t="n">
        <f aca="false">D136-B136</f>
        <v>-18014.5947013754</v>
      </c>
      <c r="D136" s="324" t="n">
        <f aca="false">C104</f>
        <v>-18014.5947013754</v>
      </c>
      <c r="E136" s="0"/>
      <c r="F136" s="0"/>
      <c r="G136" s="0"/>
      <c r="H136" s="0"/>
      <c r="I136" s="0"/>
      <c r="J136" s="0"/>
      <c r="K136" s="0"/>
      <c r="L136" s="0"/>
      <c r="M136" s="0"/>
      <c r="N136" s="0"/>
      <c r="O136" s="0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0"/>
      <c r="AC136" s="0"/>
      <c r="AD136" s="0"/>
      <c r="AE136" s="0"/>
    </row>
    <row r="137" customFormat="false" ht="12.75" hidden="false" customHeight="false" outlineLevel="0" collapsed="false">
      <c r="A137" s="523"/>
      <c r="B137" s="524" t="n">
        <v>36571</v>
      </c>
      <c r="C137" s="525" t="n">
        <v>36753</v>
      </c>
      <c r="D137" s="324"/>
      <c r="E137" s="0"/>
      <c r="F137" s="271"/>
      <c r="G137" s="271"/>
      <c r="H137" s="271"/>
      <c r="I137" s="271"/>
      <c r="J137" s="271"/>
      <c r="K137" s="271"/>
      <c r="L137" s="271"/>
      <c r="M137" s="271"/>
      <c r="N137" s="271"/>
      <c r="O137" s="271"/>
      <c r="P137" s="271"/>
      <c r="Q137" s="271"/>
      <c r="R137" s="271"/>
      <c r="S137" s="271"/>
      <c r="T137" s="271"/>
      <c r="U137" s="271"/>
      <c r="V137" s="271"/>
      <c r="W137" s="0"/>
      <c r="X137" s="0"/>
      <c r="Y137" s="0"/>
      <c r="Z137" s="0"/>
      <c r="AA137" s="0"/>
      <c r="AB137" s="0"/>
      <c r="AC137" s="0"/>
      <c r="AD137" s="0"/>
      <c r="AE137" s="0"/>
    </row>
    <row r="138" customFormat="false" ht="12.75" hidden="false" customHeight="false" outlineLevel="0" collapsed="false">
      <c r="A138" s="520" t="s">
        <v>397</v>
      </c>
      <c r="B138" s="521" t="n">
        <f aca="false">-Allocation!I15*(C32+C55+C78)-(B88+B65+B42)*Allocation!$I15*(MONTH(B18)-MONTH(Assumptions!C18))/(MONTH(B18)+1-MONTH(Assumptions!C17))</f>
        <v>-3218.41178742862</v>
      </c>
      <c r="C138" s="522" t="n">
        <f aca="false">D136-B138</f>
        <v>-14796.1829139467</v>
      </c>
      <c r="D138" s="0"/>
      <c r="E138" s="0"/>
      <c r="F138" s="0"/>
      <c r="G138" s="0"/>
      <c r="H138" s="0"/>
      <c r="I138" s="0"/>
      <c r="J138" s="0"/>
      <c r="K138" s="0"/>
      <c r="L138" s="0"/>
      <c r="M138" s="0"/>
      <c r="N138" s="0"/>
      <c r="O138" s="0"/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0"/>
      <c r="AC138" s="0"/>
      <c r="AD138" s="0"/>
      <c r="AE138" s="0"/>
    </row>
    <row r="139" customFormat="false" ht="12.75" hidden="false" customHeight="false" outlineLevel="0" collapsed="false">
      <c r="A139" s="0"/>
      <c r="B139" s="0"/>
      <c r="C139" s="0"/>
      <c r="D139" s="0"/>
      <c r="E139" s="0"/>
      <c r="F139" s="0"/>
      <c r="G139" s="0"/>
      <c r="H139" s="0"/>
      <c r="I139" s="0"/>
      <c r="J139" s="0"/>
      <c r="K139" s="0"/>
      <c r="L139" s="0"/>
      <c r="M139" s="0"/>
      <c r="N139" s="0"/>
      <c r="O139" s="0"/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0"/>
      <c r="AC139" s="0"/>
      <c r="AD139" s="0"/>
      <c r="AE139" s="0"/>
    </row>
    <row r="140" customFormat="false" ht="10.5" hidden="false" customHeight="true" outlineLevel="0" collapsed="false">
      <c r="A140" s="526" t="s">
        <v>289</v>
      </c>
      <c r="B140" s="527"/>
      <c r="C140" s="528" t="n">
        <f aca="false">C97</f>
        <v>89715.843466456</v>
      </c>
      <c r="D140" s="528" t="n">
        <f aca="false">D97</f>
        <v>122372.11600516</v>
      </c>
      <c r="E140" s="528" t="n">
        <f aca="false">E97</f>
        <v>121860.672632795</v>
      </c>
      <c r="F140" s="528" t="n">
        <f aca="false">F97-F154</f>
        <v>-14817.2943511706</v>
      </c>
      <c r="G140" s="526"/>
      <c r="H140" s="526"/>
      <c r="I140" s="526"/>
      <c r="J140" s="526"/>
      <c r="K140" s="526"/>
      <c r="L140" s="526"/>
      <c r="M140" s="526"/>
      <c r="N140" s="526"/>
      <c r="O140" s="526"/>
      <c r="P140" s="526"/>
      <c r="Q140" s="526"/>
      <c r="R140" s="526"/>
      <c r="S140" s="526"/>
      <c r="T140" s="526"/>
      <c r="U140" s="526"/>
      <c r="V140" s="526"/>
      <c r="AE140" s="0"/>
    </row>
    <row r="141" customFormat="false" ht="12.75" hidden="true" customHeight="false" outlineLevel="0" collapsed="false">
      <c r="A141" s="527"/>
      <c r="B141" s="529" t="n">
        <v>36373</v>
      </c>
      <c r="C141" s="530" t="n">
        <v>36556</v>
      </c>
      <c r="D141" s="530" t="n">
        <v>36738</v>
      </c>
      <c r="E141" s="530" t="n">
        <v>36922</v>
      </c>
      <c r="F141" s="530" t="n">
        <v>37103</v>
      </c>
      <c r="G141" s="530" t="n">
        <v>37287</v>
      </c>
      <c r="H141" s="530" t="n">
        <v>37468</v>
      </c>
      <c r="I141" s="530" t="n">
        <v>37652</v>
      </c>
      <c r="J141" s="530" t="n">
        <v>37833</v>
      </c>
      <c r="K141" s="530" t="n">
        <v>38017</v>
      </c>
      <c r="L141" s="530" t="n">
        <v>38199</v>
      </c>
      <c r="M141" s="530" t="n">
        <v>38383</v>
      </c>
      <c r="N141" s="530" t="n">
        <v>38564</v>
      </c>
      <c r="O141" s="530" t="n">
        <v>38748</v>
      </c>
      <c r="P141" s="530" t="n">
        <v>38929</v>
      </c>
      <c r="Q141" s="530" t="n">
        <v>39113</v>
      </c>
      <c r="R141" s="530" t="n">
        <v>39294</v>
      </c>
      <c r="S141" s="530" t="n">
        <v>39478</v>
      </c>
      <c r="T141" s="530" t="n">
        <v>39660</v>
      </c>
      <c r="U141" s="530" t="n">
        <v>39844</v>
      </c>
      <c r="V141" s="530" t="n">
        <v>40025</v>
      </c>
      <c r="W141" s="436" t="n">
        <v>40209</v>
      </c>
      <c r="X141" s="436" t="n">
        <v>40390</v>
      </c>
      <c r="Y141" s="436" t="n">
        <v>40574</v>
      </c>
      <c r="Z141" s="436" t="n">
        <v>40755</v>
      </c>
      <c r="AA141" s="436" t="n">
        <v>40939</v>
      </c>
      <c r="AB141" s="436" t="n">
        <v>41121</v>
      </c>
      <c r="AC141" s="436" t="n">
        <v>41305</v>
      </c>
      <c r="AD141" s="436" t="n">
        <v>41486</v>
      </c>
      <c r="AE141" s="0"/>
    </row>
    <row r="142" customFormat="false" ht="12.75" hidden="true" customHeight="false" outlineLevel="0" collapsed="false">
      <c r="A142" s="527"/>
      <c r="B142" s="527" t="n">
        <v>0</v>
      </c>
      <c r="C142" s="531" t="n">
        <f aca="false">(C141-$B$123)/365</f>
        <v>0.0821917808219178</v>
      </c>
      <c r="D142" s="531" t="n">
        <f aca="false">(D141-$B$123)/365</f>
        <v>0.580821917808219</v>
      </c>
      <c r="E142" s="531" t="n">
        <f aca="false">(E141-$B$123)/365</f>
        <v>1.08493150684932</v>
      </c>
      <c r="F142" s="531" t="n">
        <f aca="false">(F141-$B$123)/365</f>
        <v>1.58082191780822</v>
      </c>
      <c r="G142" s="531" t="n">
        <f aca="false">(G141-$B$123)/365</f>
        <v>2.08493150684932</v>
      </c>
      <c r="H142" s="531" t="n">
        <f aca="false">(H141-$B$123)/365</f>
        <v>2.58082191780822</v>
      </c>
      <c r="I142" s="531" t="n">
        <f aca="false">(I141-$B$123)/365</f>
        <v>3.08493150684932</v>
      </c>
      <c r="J142" s="531" t="n">
        <f aca="false">(J141-$B$123)/365</f>
        <v>3.58082191780822</v>
      </c>
      <c r="K142" s="531" t="n">
        <f aca="false">(K141-$B$123)/365</f>
        <v>4.08493150684932</v>
      </c>
      <c r="L142" s="531" t="n">
        <f aca="false">(L141-$B$123)/365</f>
        <v>4.58356164383562</v>
      </c>
      <c r="M142" s="531" t="n">
        <f aca="false">(M141-$B$123)/365</f>
        <v>5.08767123287671</v>
      </c>
      <c r="N142" s="531" t="n">
        <f aca="false">(N141-$B$123)/365</f>
        <v>5.58356164383562</v>
      </c>
      <c r="O142" s="531" t="n">
        <f aca="false">(O141-$B$123)/365</f>
        <v>6.08767123287671</v>
      </c>
      <c r="P142" s="531" t="n">
        <f aca="false">(P141-$B$123)/365</f>
        <v>6.58356164383562</v>
      </c>
      <c r="Q142" s="531" t="n">
        <f aca="false">(Q141-$B$123)/365</f>
        <v>7.08767123287671</v>
      </c>
      <c r="R142" s="531" t="n">
        <f aca="false">(R141-$B$123)/365</f>
        <v>7.58356164383562</v>
      </c>
      <c r="S142" s="531" t="n">
        <f aca="false">(S141-$B$123)/365</f>
        <v>8.08767123287671</v>
      </c>
      <c r="T142" s="531" t="n">
        <f aca="false">(T141-$B$123)/365</f>
        <v>8.58630136986301</v>
      </c>
      <c r="U142" s="531" t="n">
        <f aca="false">(U141-$B$123)/365</f>
        <v>9.09041095890411</v>
      </c>
      <c r="V142" s="531" t="n">
        <f aca="false">(V141-$B$123)/365</f>
        <v>9.58630136986301</v>
      </c>
      <c r="W142" s="398" t="n">
        <f aca="false">(W141-$B$123)/365</f>
        <v>10.0904109589041</v>
      </c>
      <c r="X142" s="398" t="n">
        <f aca="false">(X141-$B$123)/365</f>
        <v>10.586301369863</v>
      </c>
      <c r="Y142" s="398" t="n">
        <f aca="false">(Y141-$B$123)/365</f>
        <v>11.0904109589041</v>
      </c>
      <c r="Z142" s="398" t="n">
        <f aca="false">(Z141-$B$123)/365</f>
        <v>11.586301369863</v>
      </c>
      <c r="AA142" s="398" t="n">
        <f aca="false">(AA141-$B$123)/365</f>
        <v>12.0904109589041</v>
      </c>
      <c r="AB142" s="398" t="n">
        <f aca="false">(AB141-$B$123)/365</f>
        <v>12.5890410958904</v>
      </c>
      <c r="AC142" s="398" t="n">
        <f aca="false">(AC141-$B$123)/365</f>
        <v>13.0931506849315</v>
      </c>
      <c r="AD142" s="398" t="n">
        <f aca="false">(AD141-$B$123)/365</f>
        <v>13.5890410958904</v>
      </c>
      <c r="AE142" s="0"/>
    </row>
    <row r="143" customFormat="false" ht="12.75" hidden="true" customHeight="false" outlineLevel="0" collapsed="false">
      <c r="A143" s="527"/>
      <c r="B143" s="527"/>
      <c r="C143" s="526"/>
      <c r="D143" s="526"/>
      <c r="E143" s="526"/>
      <c r="F143" s="526"/>
      <c r="G143" s="526"/>
      <c r="H143" s="526"/>
      <c r="I143" s="526"/>
      <c r="J143" s="526"/>
      <c r="K143" s="526"/>
      <c r="L143" s="526"/>
      <c r="M143" s="526"/>
      <c r="N143" s="526"/>
      <c r="O143" s="526"/>
      <c r="P143" s="526"/>
      <c r="Q143" s="526"/>
      <c r="R143" s="526"/>
      <c r="S143" s="526"/>
      <c r="T143" s="526"/>
      <c r="U143" s="526"/>
      <c r="V143" s="526"/>
      <c r="AE143" s="0"/>
    </row>
    <row r="144" customFormat="false" ht="12.75" hidden="true" customHeight="false" outlineLevel="0" collapsed="false">
      <c r="A144" s="527" t="s">
        <v>392</v>
      </c>
      <c r="B144" s="532" t="n">
        <f aca="false">B49+B54</f>
        <v>0</v>
      </c>
      <c r="C144" s="533" t="n">
        <f aca="false">C49+B59</f>
        <v>0</v>
      </c>
      <c r="D144" s="533" t="n">
        <f aca="false">C54</f>
        <v>0</v>
      </c>
      <c r="E144" s="533" t="n">
        <f aca="false">D49</f>
        <v>0</v>
      </c>
      <c r="F144" s="533" t="n">
        <f aca="false">D54</f>
        <v>0</v>
      </c>
      <c r="G144" s="533" t="n">
        <f aca="false">E49</f>
        <v>0</v>
      </c>
      <c r="H144" s="533" t="n">
        <f aca="false">E54</f>
        <v>0</v>
      </c>
      <c r="I144" s="533" t="n">
        <f aca="false">F49</f>
        <v>0</v>
      </c>
      <c r="J144" s="533" t="n">
        <f aca="false">F54</f>
        <v>0</v>
      </c>
      <c r="K144" s="533" t="n">
        <f aca="false">K49+K54</f>
        <v>18915</v>
      </c>
      <c r="L144" s="533" t="n">
        <f aca="false">L49+L54</f>
        <v>23619.5</v>
      </c>
      <c r="M144" s="533" t="n">
        <f aca="false">M49+M54</f>
        <v>0</v>
      </c>
      <c r="N144" s="533" t="n">
        <f aca="false">N49+N54</f>
        <v>0</v>
      </c>
      <c r="O144" s="533" t="n">
        <f aca="false">O49+O54</f>
        <v>0</v>
      </c>
      <c r="P144" s="533" t="n">
        <f aca="false">P49+P54</f>
        <v>0</v>
      </c>
      <c r="Q144" s="533" t="n">
        <f aca="false">Q49+Q54</f>
        <v>0</v>
      </c>
      <c r="R144" s="533" t="n">
        <f aca="false">R49+R54</f>
        <v>0</v>
      </c>
      <c r="S144" s="533" t="n">
        <f aca="false">S49+S54</f>
        <v>0</v>
      </c>
      <c r="T144" s="533" t="n">
        <f aca="false">T49+T54</f>
        <v>0</v>
      </c>
      <c r="U144" s="533" t="n">
        <f aca="false">U49+U54</f>
        <v>0</v>
      </c>
      <c r="V144" s="533" t="n">
        <f aca="false">V49+V54</f>
        <v>0</v>
      </c>
      <c r="W144" s="1" t="n">
        <v>0</v>
      </c>
      <c r="X144" s="1" t="n">
        <v>0</v>
      </c>
      <c r="Y144" s="1" t="n">
        <v>0</v>
      </c>
      <c r="Z144" s="1" t="n">
        <v>0</v>
      </c>
      <c r="AA144" s="70" t="n">
        <v>0</v>
      </c>
      <c r="AB144" s="70" t="n">
        <v>0</v>
      </c>
      <c r="AC144" s="1" t="n">
        <v>0</v>
      </c>
      <c r="AD144" s="1" t="n">
        <v>0</v>
      </c>
      <c r="AE144" s="0"/>
    </row>
    <row r="145" customFormat="false" ht="12.75" hidden="true" customHeight="false" outlineLevel="0" collapsed="false">
      <c r="A145" s="527" t="s">
        <v>393</v>
      </c>
      <c r="B145" s="532" t="n">
        <v>0</v>
      </c>
      <c r="C145" s="533" t="n">
        <v>0</v>
      </c>
      <c r="D145" s="533" t="n">
        <v>0</v>
      </c>
      <c r="E145" s="533" t="n">
        <v>0</v>
      </c>
      <c r="F145" s="533" t="n">
        <v>0</v>
      </c>
      <c r="G145" s="533" t="n">
        <v>0</v>
      </c>
      <c r="H145" s="533" t="n">
        <v>0</v>
      </c>
      <c r="I145" s="533" t="n">
        <v>0</v>
      </c>
      <c r="J145" s="533" t="n">
        <v>0</v>
      </c>
      <c r="K145" s="533" t="n">
        <f aca="false">G72</f>
        <v>0</v>
      </c>
      <c r="L145" s="533" t="n">
        <f aca="false">G77</f>
        <v>0</v>
      </c>
      <c r="M145" s="533" t="n">
        <f aca="false">H72</f>
        <v>0</v>
      </c>
      <c r="N145" s="533" t="n">
        <f aca="false">H77</f>
        <v>0</v>
      </c>
      <c r="O145" s="533" t="n">
        <f aca="false">I72</f>
        <v>0</v>
      </c>
      <c r="P145" s="533" t="n">
        <f aca="false">I77</f>
        <v>0</v>
      </c>
      <c r="Q145" s="533" t="n">
        <f aca="false">J72</f>
        <v>0</v>
      </c>
      <c r="R145" s="533" t="n">
        <f aca="false">J77</f>
        <v>0</v>
      </c>
      <c r="S145" s="533" t="n">
        <f aca="false">K72</f>
        <v>0</v>
      </c>
      <c r="T145" s="533" t="n">
        <f aca="false">K77</f>
        <v>0</v>
      </c>
      <c r="U145" s="533" t="n">
        <f aca="false">L72</f>
        <v>0</v>
      </c>
      <c r="V145" s="533" t="n">
        <f aca="false">L77</f>
        <v>0</v>
      </c>
      <c r="W145" s="1" t="n">
        <v>0</v>
      </c>
      <c r="X145" s="1" t="n">
        <v>0</v>
      </c>
      <c r="Y145" s="1" t="n">
        <v>0</v>
      </c>
      <c r="Z145" s="1" t="n">
        <v>0</v>
      </c>
      <c r="AA145" s="70" t="n">
        <v>0</v>
      </c>
      <c r="AB145" s="70" t="n">
        <v>0</v>
      </c>
      <c r="AC145" s="1" t="n">
        <v>0</v>
      </c>
      <c r="AD145" s="1" t="n">
        <v>0</v>
      </c>
      <c r="AE145" s="0"/>
    </row>
    <row r="146" customFormat="false" ht="12.75" hidden="true" customHeight="false" outlineLevel="0" collapsed="false">
      <c r="A146" s="527" t="s">
        <v>394</v>
      </c>
      <c r="B146" s="532" t="n">
        <v>0</v>
      </c>
      <c r="C146" s="533" t="n">
        <v>0</v>
      </c>
      <c r="D146" s="533" t="n">
        <v>0</v>
      </c>
      <c r="E146" s="533" t="n">
        <v>0</v>
      </c>
      <c r="F146" s="533" t="n">
        <v>0</v>
      </c>
      <c r="G146" s="533" t="n">
        <v>0</v>
      </c>
      <c r="H146" s="533" t="n">
        <v>0</v>
      </c>
      <c r="I146" s="533" t="n">
        <v>0</v>
      </c>
      <c r="J146" s="533" t="n">
        <v>0</v>
      </c>
      <c r="K146" s="533" t="n">
        <v>0</v>
      </c>
      <c r="L146" s="533" t="n">
        <v>0</v>
      </c>
      <c r="M146" s="533" t="n">
        <v>0</v>
      </c>
      <c r="N146" s="533" t="n">
        <v>0</v>
      </c>
      <c r="O146" s="533" t="n">
        <v>0</v>
      </c>
      <c r="P146" s="533" t="n">
        <v>0</v>
      </c>
      <c r="Q146" s="533" t="n">
        <v>0</v>
      </c>
      <c r="R146" s="533" t="n">
        <v>0</v>
      </c>
      <c r="S146" s="533" t="n">
        <v>0</v>
      </c>
      <c r="T146" s="533" t="n">
        <v>0</v>
      </c>
      <c r="U146" s="533" t="n">
        <v>0</v>
      </c>
      <c r="V146" s="533" t="n">
        <v>0</v>
      </c>
      <c r="W146" s="431" t="n">
        <f aca="false">M95</f>
        <v>0</v>
      </c>
      <c r="X146" s="431" t="n">
        <f aca="false">M100</f>
        <v>0</v>
      </c>
      <c r="Y146" s="431" t="n">
        <f aca="false">N95</f>
        <v>0</v>
      </c>
      <c r="Z146" s="431" t="n">
        <f aca="false">N100</f>
        <v>0</v>
      </c>
      <c r="AA146" s="485" t="n">
        <f aca="false">O95</f>
        <v>0</v>
      </c>
      <c r="AB146" s="485" t="n">
        <f aca="false">O100</f>
        <v>0</v>
      </c>
      <c r="AC146" s="431" t="n">
        <f aca="false">P95</f>
        <v>0</v>
      </c>
      <c r="AD146" s="431" t="n">
        <f aca="false">P100</f>
        <v>0</v>
      </c>
      <c r="AE146" s="0"/>
    </row>
    <row r="147" customFormat="false" ht="12.75" hidden="true" customHeight="false" outlineLevel="0" collapsed="false">
      <c r="A147" s="527"/>
      <c r="B147" s="527"/>
      <c r="C147" s="526"/>
      <c r="D147" s="526"/>
      <c r="E147" s="526"/>
      <c r="F147" s="526"/>
      <c r="G147" s="526"/>
      <c r="H147" s="526"/>
      <c r="I147" s="526"/>
      <c r="J147" s="526"/>
      <c r="K147" s="526"/>
      <c r="L147" s="526"/>
      <c r="M147" s="526"/>
      <c r="N147" s="526"/>
      <c r="O147" s="526"/>
      <c r="P147" s="526"/>
      <c r="Q147" s="526"/>
      <c r="R147" s="526"/>
      <c r="S147" s="526"/>
      <c r="T147" s="526"/>
      <c r="U147" s="526"/>
      <c r="V147" s="526"/>
      <c r="AE147" s="0"/>
    </row>
    <row r="148" customFormat="false" ht="12.75" hidden="true" customHeight="false" outlineLevel="0" collapsed="false">
      <c r="A148" s="527" t="s">
        <v>395</v>
      </c>
      <c r="B148" s="527"/>
      <c r="C148" s="526"/>
      <c r="D148" s="526"/>
      <c r="E148" s="526"/>
      <c r="F148" s="526"/>
      <c r="G148" s="526"/>
      <c r="H148" s="526"/>
      <c r="I148" s="526"/>
      <c r="J148" s="526"/>
      <c r="K148" s="526"/>
      <c r="L148" s="526"/>
      <c r="M148" s="526"/>
      <c r="N148" s="526"/>
      <c r="O148" s="526"/>
      <c r="P148" s="526"/>
      <c r="Q148" s="526"/>
      <c r="R148" s="526"/>
      <c r="S148" s="526"/>
      <c r="T148" s="526"/>
      <c r="U148" s="526"/>
      <c r="V148" s="526"/>
      <c r="AE148" s="0"/>
    </row>
    <row r="149" customFormat="false" ht="12.75" hidden="true" customHeight="false" outlineLevel="0" collapsed="false">
      <c r="A149" s="527" t="s">
        <v>156</v>
      </c>
      <c r="B149" s="534" t="n">
        <f aca="false">SUMPRODUCT(B144:AP144,B142:AP142)/SUM(B144:AP144)</f>
        <v>4.36182190218835</v>
      </c>
      <c r="C149" s="526"/>
      <c r="D149" s="526"/>
      <c r="E149" s="526"/>
      <c r="F149" s="526"/>
      <c r="G149" s="526"/>
      <c r="H149" s="526"/>
      <c r="I149" s="526"/>
      <c r="J149" s="526"/>
      <c r="K149" s="526"/>
      <c r="L149" s="526"/>
      <c r="M149" s="526"/>
      <c r="N149" s="526"/>
      <c r="O149" s="526"/>
      <c r="P149" s="526"/>
      <c r="Q149" s="526"/>
      <c r="R149" s="526"/>
      <c r="S149" s="526"/>
      <c r="T149" s="526"/>
      <c r="U149" s="526"/>
      <c r="V149" s="526"/>
      <c r="AE149" s="0"/>
    </row>
    <row r="150" customFormat="false" ht="12.75" hidden="true" customHeight="false" outlineLevel="0" collapsed="false">
      <c r="A150" s="527" t="s">
        <v>157</v>
      </c>
      <c r="B150" s="534" t="e">
        <f aca="false">SUMPRODUCT(B145:AP145,B142:AP142)/SUM(B145:AP145)</f>
        <v>#DIV/0!</v>
      </c>
      <c r="C150" s="526"/>
      <c r="D150" s="526"/>
      <c r="E150" s="526"/>
      <c r="F150" s="526"/>
      <c r="G150" s="526"/>
      <c r="H150" s="526"/>
      <c r="I150" s="526"/>
      <c r="J150" s="526"/>
      <c r="K150" s="526"/>
      <c r="L150" s="526"/>
      <c r="M150" s="526"/>
      <c r="N150" s="526"/>
      <c r="O150" s="526"/>
      <c r="P150" s="526"/>
      <c r="Q150" s="526"/>
      <c r="R150" s="526"/>
      <c r="S150" s="526"/>
      <c r="T150" s="526"/>
      <c r="U150" s="526"/>
      <c r="V150" s="526"/>
      <c r="AE150" s="0"/>
    </row>
    <row r="151" customFormat="false" ht="12.75" hidden="true" customHeight="false" outlineLevel="0" collapsed="false">
      <c r="A151" s="527" t="s">
        <v>158</v>
      </c>
      <c r="B151" s="534" t="e">
        <f aca="false">SUMPRODUCT(B146:AP146,B142:AP142)/SUM(B146:AP146)</f>
        <v>#DIV/0!</v>
      </c>
      <c r="C151" s="526"/>
      <c r="D151" s="526"/>
      <c r="E151" s="526"/>
      <c r="F151" s="526"/>
      <c r="G151" s="526"/>
      <c r="H151" s="526"/>
      <c r="I151" s="526"/>
      <c r="J151" s="526"/>
      <c r="K151" s="526"/>
      <c r="L151" s="526"/>
      <c r="M151" s="526"/>
      <c r="N151" s="526"/>
      <c r="O151" s="526"/>
      <c r="P151" s="526"/>
      <c r="Q151" s="526"/>
      <c r="R151" s="526"/>
      <c r="S151" s="526"/>
      <c r="T151" s="526"/>
      <c r="U151" s="526"/>
      <c r="V151" s="526"/>
      <c r="AE151" s="0"/>
    </row>
    <row r="152" customFormat="false" ht="12.75" hidden="true" customHeight="false" outlineLevel="0" collapsed="false">
      <c r="A152" s="527"/>
      <c r="B152" s="527"/>
      <c r="C152" s="526"/>
      <c r="D152" s="526"/>
      <c r="E152" s="526"/>
      <c r="F152" s="526"/>
      <c r="G152" s="526"/>
      <c r="H152" s="526"/>
      <c r="I152" s="526"/>
      <c r="J152" s="526"/>
      <c r="K152" s="526"/>
      <c r="L152" s="526"/>
      <c r="M152" s="526"/>
      <c r="N152" s="526"/>
      <c r="O152" s="526"/>
      <c r="P152" s="526"/>
      <c r="Q152" s="526"/>
      <c r="R152" s="526"/>
      <c r="S152" s="526"/>
      <c r="T152" s="526"/>
      <c r="U152" s="526"/>
      <c r="V152" s="526"/>
      <c r="AE152" s="0"/>
    </row>
    <row r="153" customFormat="false" ht="12.75" hidden="true" customHeight="false" outlineLevel="0" collapsed="false">
      <c r="A153" s="527"/>
      <c r="B153" s="527"/>
      <c r="C153" s="526"/>
      <c r="D153" s="526"/>
      <c r="E153" s="526"/>
      <c r="F153" s="526"/>
      <c r="G153" s="526"/>
      <c r="H153" s="526"/>
      <c r="I153" s="526"/>
      <c r="J153" s="526"/>
      <c r="K153" s="526"/>
      <c r="L153" s="526"/>
      <c r="M153" s="526"/>
      <c r="N153" s="526"/>
      <c r="O153" s="526"/>
      <c r="P153" s="526"/>
      <c r="Q153" s="526"/>
      <c r="R153" s="526"/>
      <c r="S153" s="526"/>
      <c r="T153" s="526"/>
      <c r="U153" s="526"/>
      <c r="V153" s="526"/>
      <c r="AE153" s="0"/>
    </row>
    <row r="154" customFormat="false" ht="12.75" hidden="false" customHeight="false" outlineLevel="0" collapsed="false">
      <c r="A154" s="527"/>
      <c r="B154" s="535"/>
      <c r="C154" s="536"/>
      <c r="D154" s="536"/>
      <c r="E154" s="536"/>
      <c r="F154" s="528" t="n">
        <f aca="false">(IS!H13+IS!H14+IS!H15+7/12*IS!H18-7/12*IS!H35)</f>
        <v>202468.934500303</v>
      </c>
      <c r="G154" s="528" t="n">
        <f aca="false">G97</f>
        <v>190109.102175011</v>
      </c>
      <c r="H154" s="528" t="n">
        <f aca="false">H97</f>
        <v>193591.992963032</v>
      </c>
      <c r="I154" s="528" t="n">
        <f aca="false">I97</f>
        <v>194788.062797385</v>
      </c>
      <c r="J154" s="528" t="n">
        <f aca="false">J97</f>
        <v>199203.15022056</v>
      </c>
      <c r="K154" s="528" t="n">
        <f aca="false">K97</f>
        <v>201177.532601569</v>
      </c>
      <c r="L154" s="528" t="n">
        <f aca="false">L97</f>
        <v>205855.995429301</v>
      </c>
      <c r="M154" s="528" t="n">
        <f aca="false">M97</f>
        <v>206645.906238297</v>
      </c>
      <c r="N154" s="528" t="n">
        <f aca="false">N97</f>
        <v>211414.538031109</v>
      </c>
      <c r="O154" s="528" t="n">
        <f aca="false">O97</f>
        <v>213506.786652741</v>
      </c>
      <c r="P154" s="528" t="n">
        <f aca="false">P97</f>
        <v>214835.547615443</v>
      </c>
      <c r="Q154" s="528" t="n">
        <f aca="false">Q97</f>
        <v>216468.363466035</v>
      </c>
      <c r="R154" s="528" t="n">
        <f aca="false">R97</f>
        <v>218387.20496215</v>
      </c>
      <c r="S154" s="528" t="n">
        <f aca="false">S97</f>
        <v>220305.410284444</v>
      </c>
      <c r="T154" s="528" t="n">
        <f aca="false">T97</f>
        <v>222191.208984475</v>
      </c>
      <c r="U154" s="528" t="n">
        <f aca="false">U97</f>
        <v>223808.309370617</v>
      </c>
      <c r="V154" s="528" t="n">
        <f aca="false">V97</f>
        <v>223087.610196391</v>
      </c>
      <c r="W154" s="0"/>
      <c r="X154" s="0"/>
      <c r="Y154" s="0"/>
      <c r="Z154" s="0"/>
      <c r="AA154" s="0"/>
      <c r="AB154" s="0"/>
      <c r="AC154" s="0"/>
      <c r="AD154" s="0"/>
      <c r="AE154" s="0"/>
    </row>
    <row r="155" customFormat="false" ht="12.75" hidden="false" customHeight="false" outlineLevel="0" collapsed="false">
      <c r="A155" s="537" t="s">
        <v>398</v>
      </c>
      <c r="B155" s="538"/>
      <c r="C155" s="538" t="n">
        <v>1.59680305908817</v>
      </c>
      <c r="D155" s="538" t="n">
        <v>1.28833360001664</v>
      </c>
      <c r="E155" s="538" t="n">
        <v>1.28957855042372</v>
      </c>
      <c r="F155" s="538" t="n">
        <v>1.00388336020741</v>
      </c>
      <c r="G155" s="538"/>
      <c r="H155" s="538"/>
      <c r="I155" s="538"/>
      <c r="J155" s="538"/>
      <c r="K155" s="538"/>
      <c r="L155" s="538"/>
      <c r="M155" s="538"/>
      <c r="N155" s="538"/>
      <c r="O155" s="538"/>
      <c r="P155" s="538"/>
      <c r="Q155" s="538"/>
      <c r="R155" s="538"/>
      <c r="S155" s="538"/>
      <c r="T155" s="538"/>
      <c r="U155" s="538"/>
      <c r="V155" s="538"/>
      <c r="W155" s="0"/>
      <c r="X155" s="0"/>
      <c r="Y155" s="0"/>
      <c r="Z155" s="0"/>
      <c r="AA155" s="0"/>
      <c r="AB155" s="0"/>
      <c r="AC155" s="0"/>
      <c r="AD155" s="0"/>
      <c r="AE155" s="0"/>
    </row>
    <row r="156" customFormat="false" ht="12.75" hidden="false" customHeight="false" outlineLevel="0" collapsed="false">
      <c r="A156" s="537"/>
      <c r="B156" s="538"/>
      <c r="C156" s="538"/>
      <c r="D156" s="538"/>
      <c r="E156" s="538"/>
      <c r="F156" s="538" t="n">
        <v>2.14337372385312</v>
      </c>
      <c r="G156" s="538" t="n">
        <v>2.25716068588655</v>
      </c>
      <c r="H156" s="538" t="n">
        <v>2.25048909957705</v>
      </c>
      <c r="I156" s="538" t="n">
        <v>2.29354452640451</v>
      </c>
      <c r="J156" s="538" t="n">
        <v>2.33099629572985</v>
      </c>
      <c r="K156" s="538" t="n">
        <v>2.35196666928825</v>
      </c>
      <c r="L156" s="538" t="n">
        <v>2.43869116949068</v>
      </c>
      <c r="M156" s="538" t="n">
        <v>2.62809194742895</v>
      </c>
      <c r="N156" s="539" t="n">
        <v>2.81029722712137</v>
      </c>
      <c r="O156" s="538" t="n">
        <v>2.84231375837644</v>
      </c>
      <c r="P156" s="538" t="n">
        <v>2.91774651999971</v>
      </c>
      <c r="Q156" s="538" t="n">
        <v>3.00075329247811</v>
      </c>
      <c r="R156" s="538" t="n">
        <v>3.05534439836326</v>
      </c>
      <c r="S156" s="538" t="n">
        <v>3.26971157046025</v>
      </c>
      <c r="T156" s="538" t="n">
        <v>3.63627660229225</v>
      </c>
      <c r="U156" s="538" t="n">
        <v>4.43876839276973</v>
      </c>
      <c r="V156" s="538" t="n">
        <v>5.57635613964993</v>
      </c>
      <c r="W156" s="0"/>
      <c r="X156" s="0"/>
      <c r="Y156" s="0"/>
      <c r="Z156" s="0"/>
      <c r="AA156" s="0"/>
      <c r="AB156" s="0"/>
      <c r="AC156" s="0"/>
      <c r="AD156" s="0"/>
      <c r="AE156" s="0"/>
    </row>
    <row r="157" customFormat="false" ht="12.75" hidden="false" customHeight="false" outlineLevel="0" collapsed="false">
      <c r="A157" s="540" t="s">
        <v>338</v>
      </c>
      <c r="B157" s="541"/>
      <c r="C157" s="541" t="n">
        <f aca="false">7/12*C140/C155-SUM(C102:C104)</f>
        <v>49641.3565091258</v>
      </c>
      <c r="D157" s="541" t="n">
        <f aca="false">D140/D155</f>
        <v>94984.8051805675</v>
      </c>
      <c r="E157" s="541" t="n">
        <f aca="false">E140/E155</f>
        <v>94496.5101914535</v>
      </c>
      <c r="F157" s="541" t="n">
        <f aca="false">F140/F155</f>
        <v>-14759.9760475253</v>
      </c>
      <c r="G157" s="542"/>
      <c r="H157" s="542"/>
      <c r="I157" s="542"/>
      <c r="J157" s="542"/>
      <c r="K157" s="542"/>
      <c r="L157" s="542"/>
      <c r="M157" s="542"/>
      <c r="N157" s="542"/>
      <c r="O157" s="542"/>
      <c r="P157" s="542"/>
      <c r="Q157" s="542"/>
      <c r="R157" s="542"/>
      <c r="S157" s="542"/>
      <c r="T157" s="542"/>
      <c r="U157" s="542"/>
      <c r="V157" s="542"/>
      <c r="W157" s="0"/>
      <c r="X157" s="0"/>
      <c r="Y157" s="0"/>
      <c r="Z157" s="0"/>
      <c r="AA157" s="0"/>
      <c r="AB157" s="0"/>
      <c r="AC157" s="0"/>
      <c r="AD157" s="0"/>
      <c r="AE157" s="0"/>
    </row>
    <row r="158" customFormat="false" ht="12.75" hidden="false" customHeight="false" outlineLevel="0" collapsed="false">
      <c r="A158" s="540"/>
      <c r="B158" s="541"/>
      <c r="C158" s="541"/>
      <c r="D158" s="541"/>
      <c r="E158" s="541"/>
      <c r="F158" s="541" t="n">
        <f aca="false">F154/F156</f>
        <v>94462.7305294789</v>
      </c>
      <c r="G158" s="541" t="n">
        <f aca="false">G154/G156</f>
        <v>84224.8863201075</v>
      </c>
      <c r="H158" s="541" t="n">
        <f aca="false">H154/H156</f>
        <v>86022.1864657846</v>
      </c>
      <c r="I158" s="541" t="n">
        <f aca="false">I154/I156</f>
        <v>84928.8341930493</v>
      </c>
      <c r="J158" s="541" t="n">
        <f aca="false">J154/J156</f>
        <v>85458.3727076186</v>
      </c>
      <c r="K158" s="541" t="n">
        <f aca="false">K154/K156</f>
        <v>85535.8773695758</v>
      </c>
      <c r="L158" s="541" t="n">
        <f aca="false">L154/L156</f>
        <v>84412.4906034308</v>
      </c>
      <c r="M158" s="541" t="n">
        <f aca="false">M154/M156</f>
        <v>78629.6333507122</v>
      </c>
      <c r="N158" s="541" t="n">
        <f aca="false">N154/N156</f>
        <v>75228.5331212683</v>
      </c>
      <c r="O158" s="541" t="n">
        <f aca="false">O154/O156</f>
        <v>75117.2477083241</v>
      </c>
      <c r="P158" s="541" t="n">
        <f aca="false">P154/P156</f>
        <v>73630.6413675252</v>
      </c>
      <c r="Q158" s="541" t="n">
        <f aca="false">Q154/Q156</f>
        <v>72138.0074825376</v>
      </c>
      <c r="R158" s="541" t="n">
        <f aca="false">R154/R156</f>
        <v>71477.1156662862</v>
      </c>
      <c r="S158" s="541" t="n">
        <f aca="false">S154/S156</f>
        <v>67377.6281292706</v>
      </c>
      <c r="T158" s="541" t="n">
        <f aca="false">T154/T156</f>
        <v>61104.0449575287</v>
      </c>
      <c r="U158" s="541" t="n">
        <f aca="false">U154/U156</f>
        <v>50421.263189847</v>
      </c>
      <c r="V158" s="541" t="n">
        <f aca="false">V154/V156</f>
        <v>40005.9832280361</v>
      </c>
      <c r="W158" s="0"/>
      <c r="X158" s="0"/>
      <c r="Y158" s="0"/>
      <c r="Z158" s="0"/>
      <c r="AA158" s="0"/>
      <c r="AB158" s="0"/>
      <c r="AC158" s="0"/>
      <c r="AD158" s="0"/>
      <c r="AE158" s="0"/>
    </row>
    <row r="159" customFormat="false" ht="13.5" hidden="false" customHeight="false" outlineLevel="0" collapsed="false">
      <c r="A159" s="323"/>
      <c r="B159" s="372"/>
      <c r="C159" s="372"/>
      <c r="D159" s="372"/>
      <c r="E159" s="372"/>
      <c r="F159" s="543"/>
      <c r="G159" s="543"/>
      <c r="H159" s="543"/>
      <c r="I159" s="543"/>
      <c r="J159" s="543"/>
      <c r="K159" s="543"/>
      <c r="L159" s="543"/>
      <c r="M159" s="543"/>
      <c r="N159" s="543"/>
      <c r="O159" s="543"/>
      <c r="P159" s="543"/>
      <c r="Q159" s="543"/>
      <c r="R159" s="543"/>
      <c r="S159" s="543"/>
      <c r="T159" s="543"/>
      <c r="U159" s="543"/>
      <c r="V159" s="543"/>
      <c r="W159" s="0"/>
      <c r="X159" s="0"/>
      <c r="Y159" s="0"/>
      <c r="Z159" s="0"/>
      <c r="AA159" s="0"/>
      <c r="AB159" s="0"/>
      <c r="AC159" s="0"/>
      <c r="AD159" s="0"/>
      <c r="AE159" s="0"/>
    </row>
    <row r="160" customFormat="false" ht="12.75" hidden="false" customHeight="false" outlineLevel="0" collapsed="false">
      <c r="A160" s="323"/>
      <c r="B160" s="372"/>
      <c r="C160" s="544" t="n">
        <v>95000</v>
      </c>
      <c r="D160" s="545" t="n">
        <v>210000</v>
      </c>
      <c r="E160" s="546" t="n">
        <v>425000</v>
      </c>
      <c r="F160" s="372"/>
      <c r="G160" s="543"/>
      <c r="H160" s="543"/>
      <c r="I160" s="543"/>
      <c r="J160" s="543"/>
      <c r="K160" s="543"/>
      <c r="L160" s="543"/>
      <c r="M160" s="543"/>
      <c r="N160" s="543"/>
      <c r="O160" s="543"/>
      <c r="P160" s="543"/>
      <c r="Q160" s="543"/>
      <c r="R160" s="543"/>
      <c r="S160" s="543"/>
      <c r="T160" s="543"/>
      <c r="U160" s="543"/>
      <c r="V160" s="543"/>
      <c r="W160" s="0"/>
      <c r="X160" s="0"/>
      <c r="Y160" s="0"/>
      <c r="Z160" s="0"/>
      <c r="AA160" s="0"/>
      <c r="AB160" s="0"/>
      <c r="AC160" s="0"/>
      <c r="AD160" s="0"/>
      <c r="AE160" s="0"/>
    </row>
    <row r="161" customFormat="false" ht="12.75" hidden="false" customHeight="false" outlineLevel="0" collapsed="false">
      <c r="A161" s="323"/>
      <c r="B161" s="372"/>
      <c r="C161" s="547" t="n">
        <f aca="false">F169</f>
        <v>110154.428496997</v>
      </c>
      <c r="D161" s="548" t="n">
        <f aca="false">L197</f>
        <v>0</v>
      </c>
      <c r="E161" s="549" t="n">
        <f aca="false">V220</f>
        <v>10192.8304573173</v>
      </c>
      <c r="F161" s="372"/>
      <c r="G161" s="543"/>
      <c r="H161" s="543"/>
      <c r="I161" s="543"/>
      <c r="J161" s="543"/>
      <c r="K161" s="543"/>
      <c r="L161" s="543"/>
      <c r="M161" s="543"/>
      <c r="N161" s="543"/>
      <c r="O161" s="543"/>
      <c r="P161" s="543"/>
      <c r="Q161" s="543"/>
      <c r="R161" s="543"/>
      <c r="S161" s="543"/>
      <c r="T161" s="543"/>
      <c r="U161" s="543"/>
      <c r="V161" s="543"/>
      <c r="W161" s="0"/>
      <c r="X161" s="0"/>
      <c r="Y161" s="0"/>
      <c r="Z161" s="0"/>
      <c r="AA161" s="0"/>
      <c r="AB161" s="0"/>
      <c r="AC161" s="0"/>
      <c r="AD161" s="0"/>
      <c r="AE161" s="0"/>
    </row>
    <row r="162" customFormat="false" ht="13.5" hidden="false" customHeight="false" outlineLevel="0" collapsed="false">
      <c r="A162" s="323"/>
      <c r="B162" s="372"/>
      <c r="C162" s="550" t="n">
        <f aca="false">SUM(C114:E114,F113)-SUM(C155:F155)</f>
        <v>-1.25812354377643</v>
      </c>
      <c r="D162" s="551" t="n">
        <f aca="false">SUM(F115:V115)-SUM(F156:V156)</f>
        <v>-0.519850567093549</v>
      </c>
      <c r="E162" s="552"/>
      <c r="F162" s="372"/>
      <c r="G162" s="372"/>
      <c r="H162" s="372"/>
      <c r="I162" s="372"/>
      <c r="J162" s="372"/>
      <c r="K162" s="372"/>
      <c r="L162" s="372"/>
      <c r="M162" s="372"/>
      <c r="N162" s="372"/>
      <c r="O162" s="372"/>
      <c r="P162" s="372"/>
      <c r="Q162" s="372"/>
      <c r="R162" s="372"/>
      <c r="S162" s="372"/>
      <c r="T162" s="372"/>
      <c r="U162" s="372"/>
      <c r="V162" s="372"/>
      <c r="W162" s="0"/>
      <c r="X162" s="0"/>
      <c r="Y162" s="0"/>
      <c r="Z162" s="0"/>
      <c r="AA162" s="0"/>
      <c r="AB162" s="0"/>
      <c r="AC162" s="0"/>
      <c r="AD162" s="0"/>
      <c r="AE162" s="0"/>
    </row>
    <row r="163" customFormat="false" ht="13.5" hidden="false" customHeight="false" outlineLevel="0" collapsed="false">
      <c r="A163" s="0"/>
      <c r="B163" s="0"/>
      <c r="C163" s="553" t="n">
        <f aca="false">SUM(C250:F250)-SUM(C155:F155)</f>
        <v>0</v>
      </c>
      <c r="D163" s="554" t="n">
        <f aca="false">SUM(F251:V251)-SUM(F156:V156)</f>
        <v>-1.41901199305195</v>
      </c>
      <c r="E163" s="555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</row>
    <row r="164" customFormat="false" ht="12.75" hidden="false" customHeight="false" outlineLevel="0" collapsed="false">
      <c r="A164" s="482" t="str">
        <f aca="false">A28</f>
        <v>Tranche 1 @ 8.19%</v>
      </c>
      <c r="W164" s="0"/>
      <c r="X164" s="0"/>
      <c r="Y164" s="0"/>
      <c r="Z164" s="0"/>
      <c r="AB164" s="0"/>
      <c r="AC164" s="0"/>
      <c r="AD164" s="0"/>
      <c r="AE164" s="0"/>
    </row>
    <row r="165" customFormat="false" ht="12.75" hidden="false" customHeight="false" outlineLevel="0" collapsed="false">
      <c r="A165" s="391" t="s">
        <v>362</v>
      </c>
      <c r="B165" s="431"/>
      <c r="W165" s="0"/>
      <c r="X165" s="0"/>
      <c r="Y165" s="0"/>
      <c r="Z165" s="0"/>
      <c r="AB165" s="0"/>
      <c r="AC165" s="0"/>
      <c r="AD165" s="0"/>
      <c r="AE165" s="0"/>
    </row>
    <row r="166" customFormat="false" ht="12.75" hidden="false" customHeight="false" outlineLevel="0" collapsed="false">
      <c r="A166" s="431" t="s">
        <v>363</v>
      </c>
      <c r="B166" s="484" t="n">
        <f aca="false">C160</f>
        <v>95000</v>
      </c>
      <c r="C166" s="431" t="n">
        <f aca="false">B179</f>
        <v>95000</v>
      </c>
      <c r="D166" s="431" t="n">
        <f aca="false">C179</f>
        <v>105846.699519652</v>
      </c>
      <c r="E166" s="431" t="n">
        <f aca="false">D179</f>
        <v>83879.186265352</v>
      </c>
      <c r="F166" s="431" t="n">
        <f aca="false">E179</f>
        <v>60535.1625433223</v>
      </c>
      <c r="G166" s="431" t="n">
        <f aca="false">F179</f>
        <v>110154.428496997</v>
      </c>
      <c r="H166" s="431" t="n">
        <f aca="false">G179</f>
        <v>110154.428496997</v>
      </c>
      <c r="I166" s="431" t="n">
        <f aca="false">H179</f>
        <v>110154.428496997</v>
      </c>
      <c r="J166" s="431" t="n">
        <f aca="false">I179</f>
        <v>110154.428496997</v>
      </c>
      <c r="K166" s="431" t="n">
        <f aca="false">J179</f>
        <v>110154.428496997</v>
      </c>
      <c r="L166" s="431" t="n">
        <f aca="false">K179</f>
        <v>110154.428496997</v>
      </c>
      <c r="M166" s="431" t="n">
        <f aca="false">L179</f>
        <v>110154.428496997</v>
      </c>
      <c r="N166" s="431" t="n">
        <f aca="false">M179</f>
        <v>110154.428496997</v>
      </c>
      <c r="O166" s="431" t="n">
        <f aca="false">N179</f>
        <v>110154.428496997</v>
      </c>
      <c r="P166" s="431" t="n">
        <f aca="false">O179</f>
        <v>110154.428496997</v>
      </c>
      <c r="Q166" s="431" t="n">
        <f aca="false">P179</f>
        <v>110154.428496997</v>
      </c>
      <c r="R166" s="431" t="n">
        <f aca="false">Q179</f>
        <v>110154.428496997</v>
      </c>
      <c r="S166" s="431" t="n">
        <f aca="false">R179</f>
        <v>110154.428496997</v>
      </c>
      <c r="T166" s="431" t="n">
        <f aca="false">S179</f>
        <v>110154.428496997</v>
      </c>
      <c r="U166" s="431" t="n">
        <f aca="false">T179</f>
        <v>110154.428496997</v>
      </c>
      <c r="V166" s="431" t="n">
        <f aca="false">U179</f>
        <v>110154.428496997</v>
      </c>
      <c r="W166" s="0"/>
      <c r="X166" s="0"/>
      <c r="Y166" s="0"/>
      <c r="Z166" s="0"/>
      <c r="AA166" s="485"/>
      <c r="AB166" s="0"/>
      <c r="AC166" s="0"/>
      <c r="AD166" s="0"/>
      <c r="AE166" s="0"/>
    </row>
    <row r="167" customFormat="false" ht="12.75" hidden="false" customHeight="false" outlineLevel="0" collapsed="false">
      <c r="A167" s="431" t="s">
        <v>364</v>
      </c>
      <c r="B167" s="556" t="n">
        <v>0</v>
      </c>
      <c r="C167" s="556" t="n">
        <f aca="false">(C157-C168-C173-C191-C196-C214-C219-B178-B201-B224-B177)*1/12</f>
        <v>-903.891626637639</v>
      </c>
      <c r="D167" s="556" t="n">
        <f aca="false">(D157-D168-D173-D191-D196-D214-D219-C178-C201-C224-C177)*5.5/12</f>
        <v>10068.4435748873</v>
      </c>
      <c r="E167" s="556" t="n">
        <f aca="false">(E157-E168-E173-E191-E196-E214-E219-D178-D201-D224-D177)*6/12</f>
        <v>11672.0118610149</v>
      </c>
      <c r="F167" s="556" t="n">
        <f aca="false">(F157-F168-F191-F214-E178-E201-E224-E177)</f>
        <v>-49619.2659536744</v>
      </c>
      <c r="G167" s="556" t="n">
        <v>0</v>
      </c>
      <c r="H167" s="556" t="n">
        <v>0</v>
      </c>
      <c r="I167" s="556" t="n">
        <v>0</v>
      </c>
      <c r="J167" s="556" t="n">
        <v>0</v>
      </c>
      <c r="K167" s="556" t="n">
        <v>0</v>
      </c>
      <c r="L167" s="556" t="n">
        <v>0</v>
      </c>
      <c r="M167" s="556" t="n">
        <v>0</v>
      </c>
      <c r="N167" s="556" t="n">
        <v>0</v>
      </c>
      <c r="O167" s="556" t="n">
        <v>0</v>
      </c>
      <c r="P167" s="556" t="n">
        <v>0</v>
      </c>
      <c r="Q167" s="556" t="n">
        <v>0</v>
      </c>
      <c r="R167" s="556" t="n">
        <v>0</v>
      </c>
      <c r="S167" s="556" t="n">
        <v>0</v>
      </c>
      <c r="T167" s="556" t="n">
        <v>0</v>
      </c>
      <c r="U167" s="556" t="n">
        <v>0</v>
      </c>
      <c r="V167" s="556" t="n">
        <v>0</v>
      </c>
      <c r="W167" s="0"/>
      <c r="X167" s="0"/>
      <c r="Y167" s="0"/>
      <c r="Z167" s="0"/>
      <c r="AA167" s="485"/>
      <c r="AB167" s="0"/>
      <c r="AC167" s="0"/>
      <c r="AD167" s="0"/>
      <c r="AE167" s="0"/>
    </row>
    <row r="168" customFormat="false" ht="12.75" hidden="false" customHeight="false" outlineLevel="0" collapsed="false">
      <c r="A168" s="431" t="s">
        <v>365</v>
      </c>
      <c r="B168" s="486" t="n">
        <v>0</v>
      </c>
      <c r="C168" s="431" t="n">
        <f aca="false">C166*$F$7*1/12</f>
        <v>648.375</v>
      </c>
      <c r="D168" s="431" t="n">
        <f aca="false">D166*$F$7*1/12</f>
        <v>722.403724221623</v>
      </c>
      <c r="E168" s="431" t="n">
        <f aca="false">E166*$F$7*1/12</f>
        <v>572.475446261028</v>
      </c>
      <c r="F168" s="492" t="n">
        <f aca="false">F166*$F$7*1/12</f>
        <v>413.152484358175</v>
      </c>
      <c r="G168" s="431" t="n">
        <f aca="false">G166*$F$7*1/12</f>
        <v>751.803974492002</v>
      </c>
      <c r="H168" s="431" t="n">
        <f aca="false">H166*$F$7*1/12</f>
        <v>751.803974492002</v>
      </c>
      <c r="I168" s="431" t="n">
        <f aca="false">I166*$F$7*1/12</f>
        <v>751.803974492002</v>
      </c>
      <c r="J168" s="431" t="n">
        <f aca="false">J166*$F$7*1/12</f>
        <v>751.803974492002</v>
      </c>
      <c r="K168" s="431" t="n">
        <f aca="false">K166*$F$7*1/12</f>
        <v>751.803974492002</v>
      </c>
      <c r="L168" s="431" t="n">
        <f aca="false">L166*$F$7*1/12</f>
        <v>751.803974492002</v>
      </c>
      <c r="M168" s="431" t="n">
        <f aca="false">M166*$F$7*1/12</f>
        <v>751.803974492002</v>
      </c>
      <c r="N168" s="431" t="n">
        <f aca="false">N166*$F$7*1/12</f>
        <v>751.803974492002</v>
      </c>
      <c r="O168" s="431" t="n">
        <f aca="false">O166*$F$7*1/12</f>
        <v>751.803974492002</v>
      </c>
      <c r="P168" s="431" t="n">
        <f aca="false">P166*$F$7*1/12</f>
        <v>751.803974492002</v>
      </c>
      <c r="Q168" s="431" t="n">
        <f aca="false">Q166*$F$7*1/12</f>
        <v>751.803974492002</v>
      </c>
      <c r="R168" s="431" t="n">
        <f aca="false">R166*$F$7*1/12</f>
        <v>751.803974492002</v>
      </c>
      <c r="S168" s="431" t="n">
        <f aca="false">S166*$F$7*1/12</f>
        <v>751.803974492002</v>
      </c>
      <c r="T168" s="431" t="n">
        <f aca="false">T166*$F$7*1/12</f>
        <v>751.803974492002</v>
      </c>
      <c r="U168" s="431" t="n">
        <f aca="false">U166*$F$7*1/12</f>
        <v>751.803974492002</v>
      </c>
      <c r="V168" s="431" t="n">
        <f aca="false">V166*$F$7*1/12</f>
        <v>751.803974492002</v>
      </c>
      <c r="W168" s="0"/>
      <c r="X168" s="0"/>
      <c r="Y168" s="0"/>
      <c r="Z168" s="0"/>
      <c r="AA168" s="485"/>
      <c r="AB168" s="0"/>
      <c r="AC168" s="0"/>
      <c r="AD168" s="0"/>
      <c r="AE168" s="0"/>
    </row>
    <row r="169" customFormat="false" ht="12.75" hidden="false" customHeight="false" outlineLevel="0" collapsed="false">
      <c r="A169" s="431" t="s">
        <v>366</v>
      </c>
      <c r="B169" s="486" t="n">
        <f aca="false">B166-B167</f>
        <v>95000</v>
      </c>
      <c r="C169" s="431" t="n">
        <f aca="false">C166-C167-B177</f>
        <v>95903.8916266376</v>
      </c>
      <c r="D169" s="431" t="n">
        <f aca="false">D166-D167</f>
        <v>95778.2559447643</v>
      </c>
      <c r="E169" s="431" t="n">
        <f aca="false">E166-E167</f>
        <v>72207.1744043372</v>
      </c>
      <c r="F169" s="557" t="n">
        <f aca="false">F166-F167</f>
        <v>110154.428496997</v>
      </c>
      <c r="G169" s="431" t="n">
        <f aca="false">G166-G167</f>
        <v>110154.428496997</v>
      </c>
      <c r="H169" s="431" t="n">
        <f aca="false">H166-H167</f>
        <v>110154.428496997</v>
      </c>
      <c r="I169" s="431" t="n">
        <f aca="false">I166-I167</f>
        <v>110154.428496997</v>
      </c>
      <c r="J169" s="431" t="n">
        <f aca="false">J166-J167</f>
        <v>110154.428496997</v>
      </c>
      <c r="K169" s="431" t="n">
        <f aca="false">K166-K167</f>
        <v>110154.428496997</v>
      </c>
      <c r="L169" s="431" t="n">
        <f aca="false">L166-L167</f>
        <v>110154.428496997</v>
      </c>
      <c r="M169" s="431" t="n">
        <f aca="false">M166-M167</f>
        <v>110154.428496997</v>
      </c>
      <c r="N169" s="431" t="n">
        <f aca="false">N166-N167</f>
        <v>110154.428496997</v>
      </c>
      <c r="O169" s="431" t="n">
        <f aca="false">O166-O167</f>
        <v>110154.428496997</v>
      </c>
      <c r="P169" s="431" t="n">
        <f aca="false">P166-P167</f>
        <v>110154.428496997</v>
      </c>
      <c r="Q169" s="431" t="n">
        <f aca="false">Q166-Q167</f>
        <v>110154.428496997</v>
      </c>
      <c r="R169" s="431" t="n">
        <f aca="false">R166-R167</f>
        <v>110154.428496997</v>
      </c>
      <c r="S169" s="431" t="n">
        <f aca="false">S166-S167</f>
        <v>110154.428496997</v>
      </c>
      <c r="T169" s="431" t="n">
        <f aca="false">T166-T167</f>
        <v>110154.428496997</v>
      </c>
      <c r="U169" s="431" t="n">
        <f aca="false">U166-U167</f>
        <v>110154.428496997</v>
      </c>
      <c r="V169" s="431" t="n">
        <f aca="false">V166-V167</f>
        <v>110154.428496997</v>
      </c>
      <c r="W169" s="0"/>
      <c r="X169" s="0"/>
      <c r="Y169" s="0"/>
      <c r="Z169" s="0"/>
      <c r="AA169" s="485"/>
      <c r="AB169" s="0"/>
      <c r="AC169" s="0"/>
      <c r="AD169" s="0"/>
      <c r="AE169" s="0"/>
    </row>
    <row r="170" customFormat="false" ht="12.75" hidden="false" customHeight="false" outlineLevel="0" collapsed="false">
      <c r="A170" s="391" t="s">
        <v>367</v>
      </c>
      <c r="B170" s="486"/>
      <c r="C170" s="431"/>
      <c r="D170" s="431"/>
      <c r="E170" s="431"/>
      <c r="F170" s="431"/>
      <c r="G170" s="431"/>
      <c r="H170" s="431"/>
      <c r="I170" s="431"/>
      <c r="J170" s="431"/>
      <c r="K170" s="431"/>
      <c r="L170" s="431"/>
      <c r="M170" s="431"/>
      <c r="N170" s="431"/>
      <c r="O170" s="431"/>
      <c r="P170" s="431"/>
      <c r="Q170" s="431"/>
      <c r="R170" s="431"/>
      <c r="S170" s="431"/>
      <c r="T170" s="431"/>
      <c r="U170" s="431"/>
      <c r="V170" s="431"/>
      <c r="W170" s="0"/>
      <c r="X170" s="0"/>
      <c r="Y170" s="0"/>
      <c r="Z170" s="0"/>
      <c r="AA170" s="485"/>
      <c r="AB170" s="0"/>
      <c r="AC170" s="0"/>
      <c r="AD170" s="0"/>
      <c r="AE170" s="0"/>
    </row>
    <row r="171" customFormat="false" ht="12.75" hidden="false" customHeight="false" outlineLevel="0" collapsed="false">
      <c r="A171" s="431" t="s">
        <v>363</v>
      </c>
      <c r="B171" s="486" t="n">
        <f aca="false">B169</f>
        <v>95000</v>
      </c>
      <c r="C171" s="431" t="n">
        <f aca="false">C169</f>
        <v>95903.8916266376</v>
      </c>
      <c r="D171" s="431" t="n">
        <f aca="false">D169</f>
        <v>95778.2559447643</v>
      </c>
      <c r="E171" s="431" t="n">
        <f aca="false">E169</f>
        <v>72207.1744043372</v>
      </c>
      <c r="F171" s="431" t="n">
        <f aca="false">F169</f>
        <v>110154.428496997</v>
      </c>
      <c r="G171" s="431" t="n">
        <f aca="false">G169</f>
        <v>110154.428496997</v>
      </c>
      <c r="H171" s="431" t="n">
        <f aca="false">H169</f>
        <v>110154.428496997</v>
      </c>
      <c r="I171" s="431" t="n">
        <f aca="false">I169</f>
        <v>110154.428496997</v>
      </c>
      <c r="J171" s="431" t="n">
        <f aca="false">J169</f>
        <v>110154.428496997</v>
      </c>
      <c r="K171" s="431" t="n">
        <f aca="false">K169</f>
        <v>110154.428496997</v>
      </c>
      <c r="L171" s="431" t="n">
        <f aca="false">L169</f>
        <v>110154.428496997</v>
      </c>
      <c r="M171" s="431" t="n">
        <f aca="false">M169</f>
        <v>110154.428496997</v>
      </c>
      <c r="N171" s="431" t="n">
        <f aca="false">N169</f>
        <v>110154.428496997</v>
      </c>
      <c r="O171" s="431" t="n">
        <f aca="false">O169</f>
        <v>110154.428496997</v>
      </c>
      <c r="P171" s="431" t="n">
        <f aca="false">P169</f>
        <v>110154.428496997</v>
      </c>
      <c r="Q171" s="431" t="n">
        <f aca="false">Q169</f>
        <v>110154.428496997</v>
      </c>
      <c r="R171" s="431" t="n">
        <f aca="false">R169</f>
        <v>110154.428496997</v>
      </c>
      <c r="S171" s="431" t="n">
        <f aca="false">S169</f>
        <v>110154.428496997</v>
      </c>
      <c r="T171" s="431" t="n">
        <f aca="false">T169</f>
        <v>110154.428496997</v>
      </c>
      <c r="U171" s="431" t="n">
        <f aca="false">U169</f>
        <v>110154.428496997</v>
      </c>
      <c r="V171" s="431" t="n">
        <f aca="false">V169</f>
        <v>110154.428496997</v>
      </c>
      <c r="W171" s="0"/>
      <c r="X171" s="0"/>
      <c r="Y171" s="0"/>
      <c r="Z171" s="0"/>
      <c r="AA171" s="485"/>
      <c r="AB171" s="0"/>
      <c r="AC171" s="0"/>
      <c r="AD171" s="0"/>
      <c r="AE171" s="0"/>
    </row>
    <row r="172" customFormat="false" ht="12.75" hidden="false" customHeight="false" outlineLevel="0" collapsed="false">
      <c r="A172" s="431" t="s">
        <v>364</v>
      </c>
      <c r="B172" s="558" t="n">
        <v>0</v>
      </c>
      <c r="C172" s="559" t="n">
        <f aca="false">C157-C168-C173-B178-C191-C196-B201-C214-C219-B224-C167-B177</f>
        <v>-9942.80789301402</v>
      </c>
      <c r="D172" s="559" t="n">
        <f aca="false">D157-D168-D173-C178-D191-D196-C201-D214-D219-C224-D167-C177</f>
        <v>11899.0696794123</v>
      </c>
      <c r="E172" s="559" t="n">
        <f aca="false">E157-E168-E173-D178-E191-E196-D201-E214-E219-D224-E167-D177</f>
        <v>11672.0118610149</v>
      </c>
      <c r="F172" s="556" t="n">
        <v>0</v>
      </c>
      <c r="G172" s="556" t="n">
        <v>0</v>
      </c>
      <c r="H172" s="556" t="n">
        <v>0</v>
      </c>
      <c r="I172" s="556" t="n">
        <v>0</v>
      </c>
      <c r="J172" s="556" t="n">
        <v>0</v>
      </c>
      <c r="K172" s="556" t="n">
        <v>0</v>
      </c>
      <c r="L172" s="556" t="n">
        <v>0</v>
      </c>
      <c r="M172" s="556" t="n">
        <v>0</v>
      </c>
      <c r="N172" s="556" t="n">
        <v>0</v>
      </c>
      <c r="O172" s="556" t="n">
        <v>0</v>
      </c>
      <c r="P172" s="556" t="n">
        <v>0</v>
      </c>
      <c r="Q172" s="556" t="n">
        <v>0</v>
      </c>
      <c r="R172" s="556" t="n">
        <v>0</v>
      </c>
      <c r="S172" s="556" t="n">
        <v>0</v>
      </c>
      <c r="T172" s="556" t="n">
        <v>0</v>
      </c>
      <c r="U172" s="556" t="n">
        <v>0</v>
      </c>
      <c r="V172" s="556" t="n">
        <v>0</v>
      </c>
      <c r="W172" s="0"/>
      <c r="X172" s="0"/>
      <c r="Y172" s="0"/>
      <c r="Z172" s="0"/>
      <c r="AA172" s="485"/>
      <c r="AB172" s="0"/>
      <c r="AC172" s="0"/>
      <c r="AD172" s="0"/>
      <c r="AE172" s="0"/>
    </row>
    <row r="173" customFormat="false" ht="12.75" hidden="false" customHeight="false" outlineLevel="0" collapsed="false">
      <c r="A173" s="431" t="s">
        <v>365</v>
      </c>
      <c r="B173" s="486" t="n">
        <v>0</v>
      </c>
      <c r="C173" s="431" t="n">
        <f aca="false">C171*$F$7*0.5</f>
        <v>3927.26436211081</v>
      </c>
      <c r="D173" s="431" t="n">
        <f aca="false">D171*$F$7*0.5</f>
        <v>3922.1195809381</v>
      </c>
      <c r="E173" s="431" t="n">
        <f aca="false">E171*$F$7*0.5</f>
        <v>2956.88379185761</v>
      </c>
      <c r="F173" s="431" t="n">
        <f aca="false">F171*$F$7*0.5</f>
        <v>4510.82384695201</v>
      </c>
      <c r="G173" s="431" t="n">
        <f aca="false">G171*$F$7*0.5</f>
        <v>4510.82384695201</v>
      </c>
      <c r="H173" s="431" t="n">
        <f aca="false">H171*$F$7*0.5</f>
        <v>4510.82384695201</v>
      </c>
      <c r="I173" s="431" t="n">
        <f aca="false">I171*$F$7*0.5</f>
        <v>4510.82384695201</v>
      </c>
      <c r="J173" s="431" t="n">
        <f aca="false">J171*$F$7*0.5</f>
        <v>4510.82384695201</v>
      </c>
      <c r="K173" s="431" t="n">
        <f aca="false">K171*$F$7*0.5</f>
        <v>4510.82384695201</v>
      </c>
      <c r="L173" s="431" t="n">
        <f aca="false">L171*$F$7*0.5</f>
        <v>4510.82384695201</v>
      </c>
      <c r="M173" s="431" t="n">
        <f aca="false">M171*$F$7*0.5</f>
        <v>4510.82384695201</v>
      </c>
      <c r="N173" s="431" t="n">
        <f aca="false">N171*$F$7*0.5</f>
        <v>4510.82384695201</v>
      </c>
      <c r="O173" s="431" t="n">
        <f aca="false">O171*$F$7*0.5</f>
        <v>4510.82384695201</v>
      </c>
      <c r="P173" s="431" t="n">
        <f aca="false">P171*$F$7*0.5</f>
        <v>4510.82384695201</v>
      </c>
      <c r="Q173" s="431" t="n">
        <f aca="false">Q171*$F$7*0.5</f>
        <v>4510.82384695201</v>
      </c>
      <c r="R173" s="431" t="n">
        <f aca="false">R171*$F$7*0.5</f>
        <v>4510.82384695201</v>
      </c>
      <c r="S173" s="431" t="n">
        <f aca="false">S171*$F$7*0.5</f>
        <v>4510.82384695201</v>
      </c>
      <c r="T173" s="431" t="n">
        <f aca="false">T171*$F$7*0.5</f>
        <v>4510.82384695201</v>
      </c>
      <c r="U173" s="431" t="n">
        <f aca="false">U171*$F$7*0.5</f>
        <v>4510.82384695201</v>
      </c>
      <c r="V173" s="431" t="n">
        <f aca="false">V171*$F$7*0.5</f>
        <v>4510.82384695201</v>
      </c>
      <c r="W173" s="0"/>
      <c r="X173" s="0"/>
      <c r="Y173" s="0"/>
      <c r="Z173" s="0"/>
      <c r="AA173" s="485"/>
      <c r="AB173" s="0"/>
      <c r="AC173" s="0"/>
      <c r="AD173" s="0"/>
      <c r="AE173" s="0"/>
    </row>
    <row r="174" customFormat="false" ht="12.75" hidden="false" customHeight="false" outlineLevel="0" collapsed="false">
      <c r="A174" s="431" t="s">
        <v>366</v>
      </c>
      <c r="B174" s="486" t="n">
        <f aca="false">B171-B172</f>
        <v>95000</v>
      </c>
      <c r="C174" s="431" t="n">
        <f aca="false">C171-C172</f>
        <v>105846.699519652</v>
      </c>
      <c r="D174" s="431" t="n">
        <f aca="false">D171-D172</f>
        <v>83879.186265352</v>
      </c>
      <c r="E174" s="431" t="n">
        <f aca="false">E171-E172</f>
        <v>60535.1625433223</v>
      </c>
      <c r="F174" s="431" t="n">
        <f aca="false">F171-F172</f>
        <v>110154.428496997</v>
      </c>
      <c r="G174" s="431" t="n">
        <f aca="false">G171-G172</f>
        <v>110154.428496997</v>
      </c>
      <c r="H174" s="431" t="n">
        <f aca="false">H171-H172</f>
        <v>110154.428496997</v>
      </c>
      <c r="I174" s="431" t="n">
        <f aca="false">I171-I172</f>
        <v>110154.428496997</v>
      </c>
      <c r="J174" s="431" t="n">
        <f aca="false">J171-J172</f>
        <v>110154.428496997</v>
      </c>
      <c r="K174" s="431" t="n">
        <f aca="false">K171-K172</f>
        <v>110154.428496997</v>
      </c>
      <c r="L174" s="431" t="n">
        <f aca="false">L171-L172</f>
        <v>110154.428496997</v>
      </c>
      <c r="M174" s="431" t="n">
        <f aca="false">M171-M172</f>
        <v>110154.428496997</v>
      </c>
      <c r="N174" s="431" t="n">
        <f aca="false">N171-N172</f>
        <v>110154.428496997</v>
      </c>
      <c r="O174" s="431" t="n">
        <f aca="false">O171-O172</f>
        <v>110154.428496997</v>
      </c>
      <c r="P174" s="431" t="n">
        <f aca="false">P171-P172</f>
        <v>110154.428496997</v>
      </c>
      <c r="Q174" s="431" t="n">
        <f aca="false">Q171-Q172</f>
        <v>110154.428496997</v>
      </c>
      <c r="R174" s="431" t="n">
        <f aca="false">R171-R172</f>
        <v>110154.428496997</v>
      </c>
      <c r="S174" s="431" t="n">
        <f aca="false">S171-S172</f>
        <v>110154.428496997</v>
      </c>
      <c r="T174" s="431" t="n">
        <f aca="false">T171-T172</f>
        <v>110154.428496997</v>
      </c>
      <c r="U174" s="431" t="n">
        <f aca="false">U171-U172</f>
        <v>110154.428496997</v>
      </c>
      <c r="V174" s="431" t="n">
        <f aca="false">V171-V172</f>
        <v>110154.428496997</v>
      </c>
      <c r="W174" s="0"/>
      <c r="X174" s="0"/>
      <c r="Y174" s="0"/>
      <c r="Z174" s="0"/>
      <c r="AA174" s="485"/>
      <c r="AB174" s="0"/>
      <c r="AC174" s="0"/>
      <c r="AD174" s="0"/>
      <c r="AE174" s="0"/>
    </row>
    <row r="175" customFormat="false" ht="12.75" hidden="false" customHeight="false" outlineLevel="0" collapsed="false">
      <c r="A175" s="487" t="s">
        <v>368</v>
      </c>
      <c r="B175" s="486"/>
      <c r="C175" s="431"/>
      <c r="D175" s="431"/>
      <c r="E175" s="431"/>
      <c r="F175" s="431"/>
      <c r="G175" s="431"/>
      <c r="H175" s="431"/>
      <c r="I175" s="431"/>
      <c r="J175" s="431"/>
      <c r="K175" s="431"/>
      <c r="L175" s="431"/>
      <c r="M175" s="431"/>
      <c r="N175" s="431"/>
      <c r="O175" s="431"/>
      <c r="P175" s="431"/>
      <c r="Q175" s="431"/>
      <c r="R175" s="431"/>
      <c r="S175" s="431"/>
      <c r="T175" s="431"/>
      <c r="U175" s="431"/>
      <c r="V175" s="431"/>
      <c r="W175" s="0"/>
      <c r="X175" s="0"/>
      <c r="Y175" s="0"/>
      <c r="Z175" s="0"/>
      <c r="AA175" s="485"/>
      <c r="AB175" s="0"/>
      <c r="AC175" s="0"/>
      <c r="AD175" s="0"/>
      <c r="AE175" s="0"/>
    </row>
    <row r="176" customFormat="false" ht="12.75" hidden="false" customHeight="false" outlineLevel="0" collapsed="false">
      <c r="A176" s="431" t="s">
        <v>363</v>
      </c>
      <c r="B176" s="486" t="n">
        <f aca="false">B174</f>
        <v>95000</v>
      </c>
      <c r="C176" s="431" t="n">
        <f aca="false">C174</f>
        <v>105846.699519652</v>
      </c>
      <c r="D176" s="431" t="n">
        <f aca="false">D174</f>
        <v>83879.186265352</v>
      </c>
      <c r="E176" s="431" t="n">
        <f aca="false">E174</f>
        <v>60535.1625433223</v>
      </c>
      <c r="F176" s="431" t="n">
        <f aca="false">F174</f>
        <v>110154.428496997</v>
      </c>
      <c r="G176" s="431" t="n">
        <f aca="false">G174</f>
        <v>110154.428496997</v>
      </c>
      <c r="H176" s="431" t="n">
        <f aca="false">H174</f>
        <v>110154.428496997</v>
      </c>
      <c r="I176" s="431" t="n">
        <f aca="false">I174</f>
        <v>110154.428496997</v>
      </c>
      <c r="J176" s="431" t="n">
        <f aca="false">J174</f>
        <v>110154.428496997</v>
      </c>
      <c r="K176" s="431" t="n">
        <f aca="false">K174</f>
        <v>110154.428496997</v>
      </c>
      <c r="L176" s="431" t="n">
        <f aca="false">L174</f>
        <v>110154.428496997</v>
      </c>
      <c r="M176" s="431" t="n">
        <f aca="false">M174</f>
        <v>110154.428496997</v>
      </c>
      <c r="N176" s="431" t="n">
        <f aca="false">N174</f>
        <v>110154.428496997</v>
      </c>
      <c r="O176" s="431" t="n">
        <f aca="false">O174</f>
        <v>110154.428496997</v>
      </c>
      <c r="P176" s="431" t="n">
        <f aca="false">P174</f>
        <v>110154.428496997</v>
      </c>
      <c r="Q176" s="431" t="n">
        <f aca="false">Q174</f>
        <v>110154.428496997</v>
      </c>
      <c r="R176" s="431" t="n">
        <f aca="false">R174</f>
        <v>110154.428496997</v>
      </c>
      <c r="S176" s="431" t="n">
        <f aca="false">S174</f>
        <v>110154.428496997</v>
      </c>
      <c r="T176" s="431" t="n">
        <f aca="false">T174</f>
        <v>110154.428496997</v>
      </c>
      <c r="U176" s="431" t="n">
        <f aca="false">U174</f>
        <v>110154.428496997</v>
      </c>
      <c r="V176" s="431" t="n">
        <f aca="false">V174</f>
        <v>110154.428496997</v>
      </c>
      <c r="W176" s="0"/>
      <c r="X176" s="0"/>
      <c r="Y176" s="0"/>
      <c r="Z176" s="0"/>
      <c r="AA176" s="485"/>
      <c r="AB176" s="0"/>
      <c r="AC176" s="0"/>
      <c r="AD176" s="0"/>
      <c r="AE176" s="0"/>
    </row>
    <row r="177" customFormat="false" ht="12.75" hidden="false" customHeight="false" outlineLevel="0" collapsed="false">
      <c r="A177" s="431" t="s">
        <v>369</v>
      </c>
      <c r="B177" s="560" t="n">
        <f aca="false">B111</f>
        <v>0</v>
      </c>
      <c r="C177" s="431" t="n">
        <v>0</v>
      </c>
      <c r="D177" s="431" t="n">
        <v>0</v>
      </c>
      <c r="E177" s="431" t="n">
        <v>0</v>
      </c>
      <c r="F177" s="431" t="n">
        <v>0</v>
      </c>
      <c r="G177" s="431" t="n">
        <v>0</v>
      </c>
      <c r="H177" s="431" t="n">
        <v>0</v>
      </c>
      <c r="I177" s="431" t="n">
        <v>0</v>
      </c>
      <c r="J177" s="431" t="n">
        <v>0</v>
      </c>
      <c r="K177" s="431" t="n">
        <v>0</v>
      </c>
      <c r="L177" s="431" t="n">
        <v>0</v>
      </c>
      <c r="M177" s="431" t="n">
        <v>0</v>
      </c>
      <c r="N177" s="431" t="n">
        <v>0</v>
      </c>
      <c r="O177" s="431" t="n">
        <v>0</v>
      </c>
      <c r="P177" s="431" t="n">
        <v>0</v>
      </c>
      <c r="Q177" s="431" t="n">
        <v>0</v>
      </c>
      <c r="R177" s="431" t="n">
        <v>0</v>
      </c>
      <c r="S177" s="431" t="n">
        <v>0</v>
      </c>
      <c r="T177" s="431" t="n">
        <v>0</v>
      </c>
      <c r="U177" s="431" t="n">
        <v>0</v>
      </c>
      <c r="V177" s="431" t="n">
        <v>0</v>
      </c>
      <c r="W177" s="0"/>
      <c r="X177" s="0"/>
      <c r="Y177" s="0"/>
      <c r="Z177" s="0"/>
      <c r="AA177" s="485"/>
      <c r="AB177" s="0"/>
      <c r="AC177" s="0"/>
      <c r="AD177" s="0"/>
      <c r="AE177" s="0"/>
    </row>
    <row r="178" customFormat="false" ht="12.75" hidden="false" customHeight="false" outlineLevel="0" collapsed="false">
      <c r="A178" s="431" t="s">
        <v>370</v>
      </c>
      <c r="B178" s="486" t="n">
        <f aca="false">B176*$F$7*3/12</f>
        <v>1945.125</v>
      </c>
      <c r="C178" s="431" t="n">
        <f aca="false">C176*$F$7*5/12</f>
        <v>3612.01862110811</v>
      </c>
      <c r="D178" s="431" t="n">
        <f aca="false">D176*$F$7*5/12</f>
        <v>2862.37723130514</v>
      </c>
      <c r="E178" s="431" t="n">
        <f aca="false">E176*$F$7*5/12</f>
        <v>2065.76242179087</v>
      </c>
      <c r="F178" s="431" t="n">
        <f aca="false">F176*$F$7*5/12</f>
        <v>3759.01987246001</v>
      </c>
      <c r="G178" s="431" t="n">
        <f aca="false">G176*$F$7*5/12</f>
        <v>3759.01987246001</v>
      </c>
      <c r="H178" s="431" t="n">
        <f aca="false">H176*$F$7*5/12</f>
        <v>3759.01987246001</v>
      </c>
      <c r="I178" s="431" t="n">
        <f aca="false">I176*$F$7*5/12</f>
        <v>3759.01987246001</v>
      </c>
      <c r="J178" s="431" t="n">
        <f aca="false">J176*$F$7*5/12</f>
        <v>3759.01987246001</v>
      </c>
      <c r="K178" s="431" t="n">
        <f aca="false">K176*$F$7*5/12</f>
        <v>3759.01987246001</v>
      </c>
      <c r="L178" s="431" t="n">
        <f aca="false">L176*$F$7*5/12</f>
        <v>3759.01987246001</v>
      </c>
      <c r="M178" s="431" t="n">
        <f aca="false">M176*$F$7*5/12</f>
        <v>3759.01987246001</v>
      </c>
      <c r="N178" s="431" t="n">
        <f aca="false">N176*$F$7*5/12</f>
        <v>3759.01987246001</v>
      </c>
      <c r="O178" s="431" t="n">
        <f aca="false">O176*$F$7*5/12</f>
        <v>3759.01987246001</v>
      </c>
      <c r="P178" s="431" t="n">
        <f aca="false">P176*$F$7*5/12</f>
        <v>3759.01987246001</v>
      </c>
      <c r="Q178" s="431" t="n">
        <f aca="false">Q176*$F$7*5/12</f>
        <v>3759.01987246001</v>
      </c>
      <c r="R178" s="431" t="n">
        <f aca="false">R176*$F$7*5/12</f>
        <v>3759.01987246001</v>
      </c>
      <c r="S178" s="431" t="n">
        <f aca="false">S176*$F$7*5/12</f>
        <v>3759.01987246001</v>
      </c>
      <c r="T178" s="431" t="n">
        <f aca="false">T176*$F$7*5/12</f>
        <v>3759.01987246001</v>
      </c>
      <c r="U178" s="431" t="n">
        <f aca="false">U176*$F$7*5/12</f>
        <v>3759.01987246001</v>
      </c>
      <c r="V178" s="431" t="n">
        <f aca="false">V176*$F$7*5/12</f>
        <v>3759.01987246001</v>
      </c>
      <c r="W178" s="0"/>
      <c r="X178" s="0"/>
      <c r="Y178" s="0"/>
      <c r="Z178" s="0"/>
      <c r="AA178" s="485"/>
      <c r="AB178" s="0"/>
      <c r="AC178" s="0"/>
      <c r="AD178" s="0"/>
      <c r="AE178" s="0"/>
    </row>
    <row r="179" customFormat="false" ht="12.75" hidden="false" customHeight="false" outlineLevel="0" collapsed="false">
      <c r="A179" s="431" t="s">
        <v>366</v>
      </c>
      <c r="B179" s="486" t="n">
        <f aca="false">B176</f>
        <v>95000</v>
      </c>
      <c r="C179" s="431" t="n">
        <f aca="false">C176-C177</f>
        <v>105846.699519652</v>
      </c>
      <c r="D179" s="431" t="n">
        <f aca="false">D176-D177</f>
        <v>83879.186265352</v>
      </c>
      <c r="E179" s="431" t="n">
        <f aca="false">E176-E177</f>
        <v>60535.1625433223</v>
      </c>
      <c r="F179" s="431" t="n">
        <f aca="false">F176-F177</f>
        <v>110154.428496997</v>
      </c>
      <c r="G179" s="431" t="n">
        <f aca="false">G176-G177</f>
        <v>110154.428496997</v>
      </c>
      <c r="H179" s="431" t="n">
        <f aca="false">H176-H177</f>
        <v>110154.428496997</v>
      </c>
      <c r="I179" s="431" t="n">
        <f aca="false">I176-I177</f>
        <v>110154.428496997</v>
      </c>
      <c r="J179" s="431" t="n">
        <f aca="false">J176-J177</f>
        <v>110154.428496997</v>
      </c>
      <c r="K179" s="431" t="n">
        <f aca="false">K176-K177</f>
        <v>110154.428496997</v>
      </c>
      <c r="L179" s="431" t="n">
        <f aca="false">L176-L177</f>
        <v>110154.428496997</v>
      </c>
      <c r="M179" s="431" t="n">
        <f aca="false">M176-M177</f>
        <v>110154.428496997</v>
      </c>
      <c r="N179" s="431" t="n">
        <f aca="false">N176-N177</f>
        <v>110154.428496997</v>
      </c>
      <c r="O179" s="431" t="n">
        <f aca="false">O176-O177</f>
        <v>110154.428496997</v>
      </c>
      <c r="P179" s="431" t="n">
        <f aca="false">P176-P177</f>
        <v>110154.428496997</v>
      </c>
      <c r="Q179" s="431" t="n">
        <f aca="false">Q176-Q177</f>
        <v>110154.428496997</v>
      </c>
      <c r="R179" s="431" t="n">
        <f aca="false">R176-R177</f>
        <v>110154.428496997</v>
      </c>
      <c r="S179" s="431" t="n">
        <f aca="false">S176-S177</f>
        <v>110154.428496997</v>
      </c>
      <c r="T179" s="431" t="n">
        <f aca="false">T176-T177</f>
        <v>110154.428496997</v>
      </c>
      <c r="U179" s="431" t="n">
        <f aca="false">U176-U177</f>
        <v>110154.428496997</v>
      </c>
      <c r="V179" s="431" t="n">
        <f aca="false">V176-V177</f>
        <v>110154.428496997</v>
      </c>
      <c r="W179" s="0"/>
      <c r="X179" s="0"/>
      <c r="Y179" s="0"/>
      <c r="Z179" s="0"/>
      <c r="AA179" s="485"/>
      <c r="AB179" s="0"/>
      <c r="AC179" s="0"/>
      <c r="AD179" s="0"/>
      <c r="AE179" s="0"/>
    </row>
    <row r="180" customFormat="false" ht="12.75" hidden="false" customHeight="false" outlineLevel="0" collapsed="false">
      <c r="A180" s="431"/>
      <c r="B180" s="486"/>
      <c r="C180" s="431"/>
      <c r="D180" s="431"/>
      <c r="E180" s="431"/>
      <c r="F180" s="431"/>
      <c r="G180" s="431"/>
      <c r="H180" s="431"/>
      <c r="I180" s="431"/>
      <c r="J180" s="431"/>
      <c r="K180" s="431"/>
      <c r="L180" s="431"/>
      <c r="M180" s="431"/>
      <c r="N180" s="431"/>
      <c r="O180" s="431"/>
      <c r="P180" s="431"/>
      <c r="Q180" s="431"/>
      <c r="R180" s="431"/>
      <c r="S180" s="431"/>
      <c r="T180" s="431"/>
      <c r="U180" s="431"/>
      <c r="V180" s="431"/>
      <c r="W180" s="0"/>
      <c r="X180" s="0"/>
      <c r="Y180" s="0"/>
      <c r="Z180" s="0"/>
      <c r="AA180" s="485"/>
      <c r="AB180" s="0"/>
      <c r="AC180" s="0"/>
      <c r="AD180" s="0"/>
      <c r="AE180" s="0"/>
    </row>
    <row r="181" customFormat="false" ht="12.75" hidden="false" customHeight="false" outlineLevel="0" collapsed="false">
      <c r="A181" s="488" t="s">
        <v>371</v>
      </c>
      <c r="B181" s="486" t="n">
        <v>0</v>
      </c>
      <c r="C181" s="431" t="n">
        <f aca="false">C168+C173+B178</f>
        <v>6520.76436211081</v>
      </c>
      <c r="D181" s="431" t="n">
        <f aca="false">D168+D173+C178</f>
        <v>8256.54192626783</v>
      </c>
      <c r="E181" s="431" t="n">
        <f aca="false">E168+E173+D178</f>
        <v>6391.73646942377</v>
      </c>
      <c r="F181" s="431" t="n">
        <f aca="false">F168+F173+E178</f>
        <v>6989.73875310106</v>
      </c>
      <c r="G181" s="431" t="n">
        <f aca="false">G168+G173+F178</f>
        <v>9021.64769390403</v>
      </c>
      <c r="H181" s="431" t="n">
        <f aca="false">H168+H173+G178</f>
        <v>9021.64769390403</v>
      </c>
      <c r="I181" s="431" t="n">
        <f aca="false">I168+I173+H178</f>
        <v>9021.64769390403</v>
      </c>
      <c r="J181" s="431" t="n">
        <f aca="false">J168+J173+I178</f>
        <v>9021.64769390403</v>
      </c>
      <c r="K181" s="431" t="n">
        <f aca="false">K168+K173+J178</f>
        <v>9021.64769390403</v>
      </c>
      <c r="L181" s="431" t="n">
        <f aca="false">L168+L173+K178</f>
        <v>9021.64769390403</v>
      </c>
      <c r="M181" s="431" t="n">
        <f aca="false">M168+M173+L178</f>
        <v>9021.64769390403</v>
      </c>
      <c r="N181" s="431" t="n">
        <f aca="false">N168+N173+M178</f>
        <v>9021.64769390403</v>
      </c>
      <c r="O181" s="431" t="n">
        <f aca="false">O168+O173+N178</f>
        <v>9021.64769390403</v>
      </c>
      <c r="P181" s="431" t="n">
        <f aca="false">P168+P173+O178</f>
        <v>9021.64769390403</v>
      </c>
      <c r="Q181" s="431" t="n">
        <f aca="false">Q168+Q173+P178</f>
        <v>9021.64769390403</v>
      </c>
      <c r="R181" s="431" t="n">
        <f aca="false">R168+R173+Q178</f>
        <v>9021.64769390403</v>
      </c>
      <c r="S181" s="431" t="n">
        <f aca="false">S168+S173+R178</f>
        <v>9021.64769390403</v>
      </c>
      <c r="T181" s="431" t="n">
        <f aca="false">T168+T173+S178</f>
        <v>9021.64769390403</v>
      </c>
      <c r="U181" s="431" t="n">
        <f aca="false">U168+U173+T178</f>
        <v>9021.64769390403</v>
      </c>
      <c r="V181" s="431" t="n">
        <f aca="false">V168+V173+U178</f>
        <v>9021.64769390403</v>
      </c>
      <c r="W181" s="0"/>
      <c r="X181" s="0"/>
      <c r="Y181" s="0"/>
      <c r="Z181" s="0"/>
      <c r="AA181" s="485"/>
      <c r="AB181" s="0"/>
      <c r="AC181" s="0"/>
      <c r="AD181" s="0"/>
      <c r="AE181" s="0"/>
    </row>
    <row r="182" customFormat="false" ht="12.75" hidden="false" customHeight="false" outlineLevel="0" collapsed="false">
      <c r="A182" s="385" t="s">
        <v>372</v>
      </c>
      <c r="B182" s="486" t="n">
        <f aca="false">B168+B173+B178</f>
        <v>1945.125</v>
      </c>
      <c r="C182" s="431" t="n">
        <f aca="false">C168+C173+C178</f>
        <v>8187.65798321892</v>
      </c>
      <c r="D182" s="431" t="n">
        <f aca="false">D168+D173+D178</f>
        <v>7506.90053646486</v>
      </c>
      <c r="E182" s="431" t="n">
        <f aca="false">E168+E173+E178</f>
        <v>5595.12165990951</v>
      </c>
      <c r="F182" s="431" t="n">
        <f aca="false">F168+F173+F178</f>
        <v>8682.9962037702</v>
      </c>
      <c r="G182" s="431" t="n">
        <f aca="false">G168+G173+G178</f>
        <v>9021.64769390403</v>
      </c>
      <c r="H182" s="431" t="n">
        <f aca="false">H168+H173+H178</f>
        <v>9021.64769390403</v>
      </c>
      <c r="I182" s="431" t="n">
        <f aca="false">I168+I173+I178</f>
        <v>9021.64769390403</v>
      </c>
      <c r="J182" s="431" t="n">
        <f aca="false">J168+J173+J178</f>
        <v>9021.64769390403</v>
      </c>
      <c r="K182" s="431" t="n">
        <f aca="false">K168+K173+K178</f>
        <v>9021.64769390403</v>
      </c>
      <c r="L182" s="431" t="n">
        <f aca="false">L168+L173+L178</f>
        <v>9021.64769390403</v>
      </c>
      <c r="M182" s="431" t="n">
        <f aca="false">M168+M173+M178</f>
        <v>9021.64769390403</v>
      </c>
      <c r="N182" s="431" t="n">
        <f aca="false">N168+N173+N178</f>
        <v>9021.64769390403</v>
      </c>
      <c r="O182" s="431" t="n">
        <f aca="false">O168+O173+O178</f>
        <v>9021.64769390403</v>
      </c>
      <c r="P182" s="431" t="n">
        <f aca="false">P168+P173+P178</f>
        <v>9021.64769390403</v>
      </c>
      <c r="Q182" s="431" t="n">
        <f aca="false">Q168+Q173+Q178</f>
        <v>9021.64769390403</v>
      </c>
      <c r="R182" s="431" t="n">
        <f aca="false">R168+R173+R178</f>
        <v>9021.64769390403</v>
      </c>
      <c r="S182" s="431" t="n">
        <f aca="false">S168+S173+S178</f>
        <v>9021.64769390403</v>
      </c>
      <c r="T182" s="431" t="n">
        <f aca="false">T168+T173+T178</f>
        <v>9021.64769390403</v>
      </c>
      <c r="U182" s="431" t="n">
        <f aca="false">U168+U173+U178</f>
        <v>9021.64769390403</v>
      </c>
      <c r="V182" s="431" t="n">
        <f aca="false">V168+V173+V178</f>
        <v>9021.64769390403</v>
      </c>
      <c r="W182" s="0"/>
      <c r="X182" s="0"/>
      <c r="Y182" s="0"/>
      <c r="Z182" s="0"/>
      <c r="AA182" s="1"/>
      <c r="AB182" s="0"/>
      <c r="AC182" s="0"/>
      <c r="AD182" s="0"/>
      <c r="AE182" s="0"/>
    </row>
    <row r="183" customFormat="false" ht="12.75" hidden="false" customHeight="false" outlineLevel="0" collapsed="false">
      <c r="A183" s="488" t="s">
        <v>373</v>
      </c>
      <c r="B183" s="486" t="n">
        <f aca="false">B167+B172</f>
        <v>0</v>
      </c>
      <c r="C183" s="486" t="n">
        <f aca="false">C167+C172+B177</f>
        <v>-10846.6995196517</v>
      </c>
      <c r="D183" s="486" t="n">
        <f aca="false">D167+D172+C177</f>
        <v>21967.5132542996</v>
      </c>
      <c r="E183" s="486" t="n">
        <f aca="false">E167+E172+D177</f>
        <v>23344.0237220297</v>
      </c>
      <c r="F183" s="486" t="n">
        <f aca="false">F167+F172+E177</f>
        <v>-49619.2659536744</v>
      </c>
      <c r="G183" s="486" t="n">
        <f aca="false">G167+G172+F177</f>
        <v>0</v>
      </c>
      <c r="H183" s="486" t="n">
        <f aca="false">H167+H172+G177</f>
        <v>0</v>
      </c>
      <c r="I183" s="486" t="n">
        <f aca="false">I167+I172+H177</f>
        <v>0</v>
      </c>
      <c r="J183" s="486" t="n">
        <f aca="false">J167+J172+I177</f>
        <v>0</v>
      </c>
      <c r="K183" s="486" t="n">
        <f aca="false">K167+K172+J177</f>
        <v>0</v>
      </c>
      <c r="L183" s="486" t="n">
        <f aca="false">L167+L172+K177</f>
        <v>0</v>
      </c>
      <c r="M183" s="486" t="n">
        <f aca="false">M167+M172+L177</f>
        <v>0</v>
      </c>
      <c r="N183" s="486" t="n">
        <f aca="false">N167+N172+M177</f>
        <v>0</v>
      </c>
      <c r="O183" s="486" t="n">
        <f aca="false">O167+O172+N177</f>
        <v>0</v>
      </c>
      <c r="P183" s="486" t="n">
        <f aca="false">P167+P172+O177</f>
        <v>0</v>
      </c>
      <c r="Q183" s="486" t="n">
        <f aca="false">Q167+Q172+P177</f>
        <v>0</v>
      </c>
      <c r="R183" s="486" t="n">
        <f aca="false">R167+R172+Q177</f>
        <v>0</v>
      </c>
      <c r="S183" s="486" t="n">
        <f aca="false">S167+S172+R177</f>
        <v>0</v>
      </c>
      <c r="T183" s="486" t="n">
        <f aca="false">T167+T172+S177</f>
        <v>0</v>
      </c>
      <c r="U183" s="486" t="n">
        <f aca="false">U167+U172+T177</f>
        <v>0</v>
      </c>
      <c r="V183" s="486" t="n">
        <f aca="false">V167+V172+U177</f>
        <v>0</v>
      </c>
      <c r="W183" s="0"/>
      <c r="X183" s="0"/>
      <c r="Y183" s="0"/>
      <c r="Z183" s="0"/>
      <c r="AA183" s="1"/>
      <c r="AB183" s="0"/>
      <c r="AC183" s="0"/>
      <c r="AD183" s="0"/>
      <c r="AE183" s="0"/>
    </row>
    <row r="184" customFormat="false" ht="12.75" hidden="false" customHeight="false" outlineLevel="0" collapsed="false">
      <c r="A184" s="488" t="s">
        <v>374</v>
      </c>
      <c r="B184" s="486" t="n">
        <f aca="false">B177</f>
        <v>0</v>
      </c>
      <c r="C184" s="486" t="n">
        <f aca="false">C177</f>
        <v>0</v>
      </c>
      <c r="D184" s="486" t="n">
        <f aca="false">D177</f>
        <v>0</v>
      </c>
      <c r="E184" s="486" t="n">
        <f aca="false">E177</f>
        <v>0</v>
      </c>
      <c r="F184" s="486" t="n">
        <f aca="false">F177</f>
        <v>0</v>
      </c>
      <c r="G184" s="486" t="n">
        <f aca="false">G177</f>
        <v>0</v>
      </c>
      <c r="H184" s="486" t="n">
        <f aca="false">H177</f>
        <v>0</v>
      </c>
      <c r="I184" s="486" t="n">
        <f aca="false">I177</f>
        <v>0</v>
      </c>
      <c r="J184" s="486" t="n">
        <f aca="false">J177</f>
        <v>0</v>
      </c>
      <c r="K184" s="486" t="n">
        <f aca="false">K177</f>
        <v>0</v>
      </c>
      <c r="L184" s="486" t="n">
        <f aca="false">L177</f>
        <v>0</v>
      </c>
      <c r="M184" s="486" t="n">
        <f aca="false">M177</f>
        <v>0</v>
      </c>
      <c r="N184" s="486" t="n">
        <f aca="false">N177</f>
        <v>0</v>
      </c>
      <c r="O184" s="486" t="n">
        <f aca="false">O177</f>
        <v>0</v>
      </c>
      <c r="P184" s="486" t="n">
        <f aca="false">P177</f>
        <v>0</v>
      </c>
      <c r="Q184" s="486" t="n">
        <f aca="false">Q177</f>
        <v>0</v>
      </c>
      <c r="R184" s="486" t="n">
        <f aca="false">R177</f>
        <v>0</v>
      </c>
      <c r="S184" s="486" t="n">
        <f aca="false">S177</f>
        <v>0</v>
      </c>
      <c r="T184" s="486" t="n">
        <f aca="false">T177</f>
        <v>0</v>
      </c>
      <c r="U184" s="486" t="n">
        <f aca="false">U177</f>
        <v>0</v>
      </c>
      <c r="V184" s="486" t="n">
        <f aca="false">V177</f>
        <v>0</v>
      </c>
      <c r="W184" s="0"/>
      <c r="X184" s="0"/>
      <c r="Y184" s="0"/>
      <c r="Z184" s="0"/>
      <c r="AA184" s="1"/>
      <c r="AB184" s="0"/>
      <c r="AC184" s="0"/>
      <c r="AD184" s="0"/>
      <c r="AE184" s="0"/>
    </row>
    <row r="185" customFormat="false" ht="12.75" hidden="false" customHeight="false" outlineLevel="0" collapsed="false">
      <c r="B185" s="94"/>
      <c r="W185" s="0"/>
      <c r="X185" s="0"/>
      <c r="Y185" s="0"/>
      <c r="Z185" s="0"/>
      <c r="AA185" s="1"/>
      <c r="AB185" s="0"/>
      <c r="AC185" s="0"/>
      <c r="AD185" s="0"/>
      <c r="AE185" s="0"/>
    </row>
    <row r="186" customFormat="false" ht="12.75" hidden="false" customHeight="false" outlineLevel="0" collapsed="false">
      <c r="B186" s="94"/>
      <c r="W186" s="0"/>
      <c r="X186" s="0"/>
      <c r="Y186" s="0"/>
      <c r="Z186" s="0"/>
      <c r="AA186" s="1"/>
      <c r="AB186" s="0"/>
      <c r="AC186" s="0"/>
      <c r="AD186" s="0"/>
      <c r="AE186" s="0"/>
    </row>
    <row r="187" customFormat="false" ht="12.75" hidden="false" customHeight="false" outlineLevel="0" collapsed="false">
      <c r="A187" s="482" t="str">
        <f aca="false">A51</f>
        <v>Tranche 2 @ 9.72%</v>
      </c>
      <c r="B187" s="94"/>
      <c r="C187" s="483"/>
      <c r="AA187" s="1"/>
      <c r="AB187" s="0"/>
      <c r="AC187" s="0"/>
      <c r="AD187" s="0"/>
      <c r="AE187" s="0"/>
    </row>
    <row r="188" customFormat="false" ht="12.75" hidden="false" customHeight="false" outlineLevel="0" collapsed="false">
      <c r="A188" s="391" t="s">
        <v>362</v>
      </c>
      <c r="B188" s="486"/>
      <c r="AA188" s="1"/>
      <c r="AB188" s="0"/>
      <c r="AC188" s="0"/>
      <c r="AD188" s="0"/>
      <c r="AE188" s="0"/>
    </row>
    <row r="189" customFormat="false" ht="12.75" hidden="false" customHeight="false" outlineLevel="0" collapsed="false">
      <c r="A189" s="431" t="s">
        <v>363</v>
      </c>
      <c r="B189" s="489" t="n">
        <f aca="false">D160</f>
        <v>210000</v>
      </c>
      <c r="C189" s="431" t="n">
        <f aca="false">B202</f>
        <v>210000</v>
      </c>
      <c r="D189" s="431" t="n">
        <f aca="false">C202</f>
        <v>210000</v>
      </c>
      <c r="E189" s="431" t="n">
        <f aca="false">D202</f>
        <v>210000</v>
      </c>
      <c r="F189" s="431" t="n">
        <f aca="false">E202</f>
        <v>210000</v>
      </c>
      <c r="G189" s="431" t="n">
        <f aca="false">F202</f>
        <v>147917.644470521</v>
      </c>
      <c r="H189" s="431" t="n">
        <f aca="false">G202</f>
        <v>121892.085626354</v>
      </c>
      <c r="I189" s="431" t="n">
        <f aca="false">H202</f>
        <v>91323.7493109874</v>
      </c>
      <c r="J189" s="431" t="n">
        <f aca="false">I202</f>
        <v>58830.7537590541</v>
      </c>
      <c r="K189" s="431" t="n">
        <f aca="false">J202</f>
        <v>22558.0537055145</v>
      </c>
      <c r="L189" s="431" t="n">
        <f aca="false">K202</f>
        <v>-17407.59613501</v>
      </c>
      <c r="M189" s="431" t="n">
        <f aca="false">L202</f>
        <v>0</v>
      </c>
      <c r="N189" s="431" t="n">
        <f aca="false">M202</f>
        <v>0</v>
      </c>
      <c r="O189" s="431" t="n">
        <f aca="false">N202</f>
        <v>0</v>
      </c>
      <c r="P189" s="431" t="n">
        <f aca="false">O202</f>
        <v>0</v>
      </c>
      <c r="Q189" s="431" t="n">
        <f aca="false">P202</f>
        <v>0</v>
      </c>
      <c r="R189" s="431" t="n">
        <f aca="false">Q202</f>
        <v>0</v>
      </c>
      <c r="S189" s="431" t="n">
        <f aca="false">R202</f>
        <v>0</v>
      </c>
      <c r="T189" s="431" t="n">
        <f aca="false">S202</f>
        <v>0</v>
      </c>
      <c r="U189" s="431" t="n">
        <f aca="false">T202</f>
        <v>0</v>
      </c>
      <c r="V189" s="431" t="n">
        <f aca="false">U202</f>
        <v>0</v>
      </c>
      <c r="W189" s="431"/>
      <c r="X189" s="431"/>
      <c r="Y189" s="431"/>
      <c r="Z189" s="431"/>
      <c r="AA189" s="485"/>
      <c r="AB189" s="0"/>
      <c r="AC189" s="0"/>
      <c r="AD189" s="0"/>
      <c r="AE189" s="0"/>
    </row>
    <row r="190" customFormat="false" ht="12.75" hidden="false" customHeight="false" outlineLevel="0" collapsed="false">
      <c r="A190" s="431" t="s">
        <v>364</v>
      </c>
      <c r="B190" s="485" t="n">
        <v>0</v>
      </c>
      <c r="C190" s="492" t="n">
        <v>0</v>
      </c>
      <c r="D190" s="492" t="n">
        <v>0</v>
      </c>
      <c r="E190" s="492" t="n">
        <v>0</v>
      </c>
      <c r="F190" s="492" t="n">
        <v>0</v>
      </c>
      <c r="G190" s="556" t="n">
        <f aca="false">5/12*(G158-G191-F201-G214-F224-G196-G219)</f>
        <v>10843.9828517364</v>
      </c>
      <c r="H190" s="556" t="n">
        <f aca="false">6/12*(H158-H191-G201-H214-G224-H196-H219)</f>
        <v>15284.1681576832</v>
      </c>
      <c r="I190" s="556" t="n">
        <f aca="false">6/12*(I158-I191-H201-I214-H224-I196-I219)</f>
        <v>16246.4977759667</v>
      </c>
      <c r="J190" s="556" t="n">
        <f aca="false">6/12*(J158-J191-I201-J214-I224-J196-J219)</f>
        <v>18136.3500267698</v>
      </c>
      <c r="K190" s="556" t="n">
        <f aca="false">6/12*(K158-K191-J201-K214-J224-K196-K219)</f>
        <v>19982.8249202622</v>
      </c>
      <c r="L190" s="561" t="n">
        <f aca="false">L189/2</f>
        <v>-8703.79806750498</v>
      </c>
      <c r="M190" s="492" t="n">
        <v>0</v>
      </c>
      <c r="N190" s="492" t="n">
        <v>0</v>
      </c>
      <c r="O190" s="492" t="n">
        <v>0</v>
      </c>
      <c r="P190" s="492" t="n">
        <v>0</v>
      </c>
      <c r="Q190" s="492" t="n">
        <v>0</v>
      </c>
      <c r="R190" s="492" t="n">
        <v>0</v>
      </c>
      <c r="S190" s="492" t="n">
        <v>0</v>
      </c>
      <c r="T190" s="492" t="n">
        <v>0</v>
      </c>
      <c r="U190" s="492" t="n">
        <v>0</v>
      </c>
      <c r="V190" s="492" t="n">
        <v>0</v>
      </c>
      <c r="W190" s="431"/>
      <c r="X190" s="431"/>
      <c r="Y190" s="431"/>
      <c r="Z190" s="431"/>
      <c r="AA190" s="485"/>
      <c r="AB190" s="0"/>
      <c r="AC190" s="0"/>
      <c r="AD190" s="0"/>
      <c r="AE190" s="0"/>
    </row>
    <row r="191" customFormat="false" ht="12.75" hidden="false" customHeight="false" outlineLevel="0" collapsed="false">
      <c r="A191" s="431" t="s">
        <v>365</v>
      </c>
      <c r="B191" s="486" t="n">
        <v>0</v>
      </c>
      <c r="C191" s="431" t="n">
        <f aca="false">C189*$L$7*1/12</f>
        <v>1701</v>
      </c>
      <c r="D191" s="431" t="n">
        <f aca="false">D189*$L$7*1/12</f>
        <v>1701</v>
      </c>
      <c r="E191" s="431" t="n">
        <f aca="false">E189*$L$7*1/12</f>
        <v>1701</v>
      </c>
      <c r="F191" s="431" t="n">
        <f aca="false">F189*$L$7*1/12</f>
        <v>1701</v>
      </c>
      <c r="G191" s="431" t="n">
        <f aca="false">G189*$L$7*1/12</f>
        <v>1198.13292021122</v>
      </c>
      <c r="H191" s="431" t="n">
        <f aca="false">H189*$L$7*1/12</f>
        <v>987.325893573466</v>
      </c>
      <c r="I191" s="431" t="n">
        <f aca="false">I189*$L$7*1/12</f>
        <v>739.722369418998</v>
      </c>
      <c r="J191" s="431" t="n">
        <f aca="false">J189*$L$7*1/12</f>
        <v>476.529105448339</v>
      </c>
      <c r="K191" s="431" t="n">
        <f aca="false">K189*$L$7*1/12</f>
        <v>182.720235014668</v>
      </c>
      <c r="L191" s="431" t="n">
        <f aca="false">L189*$L$7*1/12</f>
        <v>-141.001528693581</v>
      </c>
      <c r="M191" s="431" t="n">
        <v>0</v>
      </c>
      <c r="N191" s="431" t="n">
        <f aca="false">N189*$L$7*1/12</f>
        <v>0</v>
      </c>
      <c r="O191" s="431" t="n">
        <f aca="false">O189*$L$7*1/12</f>
        <v>0</v>
      </c>
      <c r="P191" s="431" t="n">
        <f aca="false">P189*$L$7*1/12</f>
        <v>0</v>
      </c>
      <c r="Q191" s="431" t="n">
        <f aca="false">Q189*$L$7*1/12</f>
        <v>0</v>
      </c>
      <c r="R191" s="431" t="n">
        <f aca="false">R189*$L$7*1/12</f>
        <v>0</v>
      </c>
      <c r="S191" s="431" t="n">
        <f aca="false">S189*$L$7*1/12</f>
        <v>0</v>
      </c>
      <c r="T191" s="431" t="n">
        <f aca="false">T189*$L$7*1/12</f>
        <v>0</v>
      </c>
      <c r="U191" s="431" t="n">
        <f aca="false">U189*$L$7*1/12</f>
        <v>0</v>
      </c>
      <c r="V191" s="431" t="n">
        <f aca="false">V189*$L$7*1/12</f>
        <v>0</v>
      </c>
      <c r="W191" s="431"/>
      <c r="X191" s="431"/>
      <c r="Y191" s="431"/>
      <c r="Z191" s="431"/>
      <c r="AA191" s="485"/>
      <c r="AB191" s="0"/>
      <c r="AC191" s="0"/>
      <c r="AD191" s="0"/>
      <c r="AE191" s="0"/>
    </row>
    <row r="192" customFormat="false" ht="12.75" hidden="false" customHeight="false" outlineLevel="0" collapsed="false">
      <c r="A192" s="431" t="s">
        <v>366</v>
      </c>
      <c r="B192" s="486" t="n">
        <f aca="false">B189-B190</f>
        <v>210000</v>
      </c>
      <c r="C192" s="431" t="n">
        <f aca="false">C189-C190</f>
        <v>210000</v>
      </c>
      <c r="D192" s="431" t="n">
        <f aca="false">D189-D190</f>
        <v>210000</v>
      </c>
      <c r="E192" s="431" t="n">
        <f aca="false">E189-E190</f>
        <v>210000</v>
      </c>
      <c r="F192" s="431" t="n">
        <f aca="false">F189-F190</f>
        <v>210000</v>
      </c>
      <c r="G192" s="431" t="n">
        <f aca="false">G189-G190</f>
        <v>137073.661618785</v>
      </c>
      <c r="H192" s="431" t="n">
        <f aca="false">H189-H190</f>
        <v>106607.917468671</v>
      </c>
      <c r="I192" s="431" t="n">
        <f aca="false">I189-I190</f>
        <v>75077.2515350208</v>
      </c>
      <c r="J192" s="431" t="n">
        <f aca="false">J189-J190</f>
        <v>40694.4037322843</v>
      </c>
      <c r="K192" s="431" t="n">
        <f aca="false">K189-K190</f>
        <v>2575.2287852523</v>
      </c>
      <c r="L192" s="431" t="n">
        <f aca="false">L189-L190</f>
        <v>-8703.79806750498</v>
      </c>
      <c r="M192" s="431" t="n">
        <f aca="false">M189-M190</f>
        <v>0</v>
      </c>
      <c r="N192" s="431" t="n">
        <f aca="false">N189-N190</f>
        <v>0</v>
      </c>
      <c r="O192" s="431" t="n">
        <f aca="false">O189-O190</f>
        <v>0</v>
      </c>
      <c r="P192" s="431" t="n">
        <f aca="false">P189-P190</f>
        <v>0</v>
      </c>
      <c r="Q192" s="431" t="n">
        <f aca="false">Q189-Q190</f>
        <v>0</v>
      </c>
      <c r="R192" s="431" t="n">
        <f aca="false">R189-R190</f>
        <v>0</v>
      </c>
      <c r="S192" s="431" t="n">
        <f aca="false">S189-S190</f>
        <v>0</v>
      </c>
      <c r="T192" s="431" t="n">
        <f aca="false">T189-T190</f>
        <v>0</v>
      </c>
      <c r="U192" s="431" t="n">
        <f aca="false">U189-U190</f>
        <v>0</v>
      </c>
      <c r="V192" s="431" t="n">
        <f aca="false">V189-V190</f>
        <v>0</v>
      </c>
      <c r="W192" s="431"/>
      <c r="X192" s="431"/>
      <c r="Y192" s="431"/>
      <c r="Z192" s="431"/>
      <c r="AA192" s="485"/>
      <c r="AB192" s="0"/>
      <c r="AC192" s="0"/>
      <c r="AD192" s="0"/>
      <c r="AE192" s="0"/>
    </row>
    <row r="193" customFormat="false" ht="12.75" hidden="false" customHeight="false" outlineLevel="0" collapsed="false">
      <c r="A193" s="391" t="s">
        <v>367</v>
      </c>
      <c r="B193" s="486"/>
      <c r="C193" s="431"/>
      <c r="D193" s="431"/>
      <c r="E193" s="431"/>
      <c r="F193" s="431"/>
      <c r="G193" s="431"/>
      <c r="H193" s="431"/>
      <c r="I193" s="431"/>
      <c r="J193" s="431"/>
      <c r="K193" s="431"/>
      <c r="L193" s="431"/>
      <c r="M193" s="431"/>
      <c r="N193" s="431"/>
      <c r="O193" s="431"/>
      <c r="P193" s="431"/>
      <c r="Q193" s="431"/>
      <c r="R193" s="431"/>
      <c r="S193" s="431"/>
      <c r="T193" s="431"/>
      <c r="U193" s="431"/>
      <c r="V193" s="431"/>
      <c r="W193" s="431"/>
      <c r="X193" s="431"/>
      <c r="Y193" s="431"/>
      <c r="Z193" s="431"/>
      <c r="AA193" s="485"/>
      <c r="AB193" s="0"/>
      <c r="AC193" s="0"/>
      <c r="AD193" s="0"/>
      <c r="AE193" s="0"/>
    </row>
    <row r="194" customFormat="false" ht="12.75" hidden="false" customHeight="false" outlineLevel="0" collapsed="false">
      <c r="A194" s="431" t="s">
        <v>363</v>
      </c>
      <c r="B194" s="486" t="n">
        <f aca="false">B192</f>
        <v>210000</v>
      </c>
      <c r="C194" s="431" t="n">
        <f aca="false">C192</f>
        <v>210000</v>
      </c>
      <c r="D194" s="431" t="n">
        <f aca="false">D192</f>
        <v>210000</v>
      </c>
      <c r="E194" s="431" t="n">
        <f aca="false">E192</f>
        <v>210000</v>
      </c>
      <c r="F194" s="431" t="n">
        <f aca="false">F192</f>
        <v>210000</v>
      </c>
      <c r="G194" s="431" t="n">
        <f aca="false">G192</f>
        <v>137073.661618785</v>
      </c>
      <c r="H194" s="431" t="n">
        <f aca="false">H192</f>
        <v>106607.917468671</v>
      </c>
      <c r="I194" s="431" t="n">
        <f aca="false">I192</f>
        <v>75077.2515350208</v>
      </c>
      <c r="J194" s="431" t="n">
        <f aca="false">J192</f>
        <v>40694.4037322843</v>
      </c>
      <c r="K194" s="431" t="n">
        <f aca="false">K192</f>
        <v>2575.2287852523</v>
      </c>
      <c r="L194" s="431" t="n">
        <f aca="false">L192</f>
        <v>-8703.79806750498</v>
      </c>
      <c r="M194" s="431" t="n">
        <f aca="false">M192</f>
        <v>0</v>
      </c>
      <c r="N194" s="431" t="n">
        <f aca="false">N192</f>
        <v>0</v>
      </c>
      <c r="O194" s="431" t="n">
        <f aca="false">O192</f>
        <v>0</v>
      </c>
      <c r="P194" s="431" t="n">
        <f aca="false">P192</f>
        <v>0</v>
      </c>
      <c r="Q194" s="431" t="n">
        <f aca="false">Q192</f>
        <v>0</v>
      </c>
      <c r="R194" s="431" t="n">
        <f aca="false">R192</f>
        <v>0</v>
      </c>
      <c r="S194" s="431" t="n">
        <f aca="false">S192</f>
        <v>0</v>
      </c>
      <c r="T194" s="431" t="n">
        <f aca="false">T192</f>
        <v>0</v>
      </c>
      <c r="U194" s="431" t="n">
        <f aca="false">U192</f>
        <v>0</v>
      </c>
      <c r="V194" s="431" t="n">
        <f aca="false">V192</f>
        <v>0</v>
      </c>
      <c r="W194" s="431"/>
      <c r="X194" s="431"/>
      <c r="Y194" s="431"/>
      <c r="Z194" s="431"/>
      <c r="AA194" s="485"/>
      <c r="AB194" s="0"/>
      <c r="AC194" s="0"/>
      <c r="AD194" s="0"/>
      <c r="AE194" s="0"/>
    </row>
    <row r="195" customFormat="false" ht="12.75" hidden="false" customHeight="false" outlineLevel="0" collapsed="false">
      <c r="A195" s="431" t="s">
        <v>364</v>
      </c>
      <c r="B195" s="485" t="n">
        <v>0</v>
      </c>
      <c r="C195" s="492" t="n">
        <v>0</v>
      </c>
      <c r="D195" s="492" t="n">
        <v>0</v>
      </c>
      <c r="E195" s="492" t="n">
        <v>0</v>
      </c>
      <c r="F195" s="556" t="n">
        <f aca="false">F158-F196-F219</f>
        <v>62082.3555294789</v>
      </c>
      <c r="G195" s="556" t="n">
        <f aca="false">G158-G191-F201-G214-F224-G196-G219-G190</f>
        <v>15181.5759924309</v>
      </c>
      <c r="H195" s="556" t="n">
        <f aca="false">H158-H191-G201-H214-G224-H196-H219-H190</f>
        <v>15284.1681576832</v>
      </c>
      <c r="I195" s="556" t="n">
        <f aca="false">I158-I191-H201-I214-H224-I196-I219-I190</f>
        <v>16246.4977759667</v>
      </c>
      <c r="J195" s="556" t="n">
        <f aca="false">J158-J191-I201-J214-I224-J196-J219-J190</f>
        <v>18136.3500267698</v>
      </c>
      <c r="K195" s="556" t="n">
        <f aca="false">K158-K191-J201-K214-J224-K196-K219-K190</f>
        <v>19982.8249202622</v>
      </c>
      <c r="L195" s="561" t="n">
        <f aca="false">L190</f>
        <v>-8703.79806750498</v>
      </c>
      <c r="M195" s="492" t="n">
        <v>0</v>
      </c>
      <c r="N195" s="492" t="n">
        <v>0</v>
      </c>
      <c r="O195" s="492" t="n">
        <v>0</v>
      </c>
      <c r="P195" s="492" t="n">
        <v>0</v>
      </c>
      <c r="Q195" s="492" t="n">
        <v>0</v>
      </c>
      <c r="R195" s="492" t="n">
        <v>0</v>
      </c>
      <c r="S195" s="492" t="n">
        <v>0</v>
      </c>
      <c r="T195" s="492" t="n">
        <v>0</v>
      </c>
      <c r="U195" s="492" t="n">
        <v>0</v>
      </c>
      <c r="V195" s="492" t="n">
        <v>0</v>
      </c>
      <c r="W195" s="431"/>
      <c r="X195" s="431"/>
      <c r="Y195" s="431"/>
      <c r="Z195" s="431"/>
      <c r="AA195" s="485"/>
      <c r="AB195" s="0"/>
      <c r="AC195" s="0"/>
      <c r="AD195" s="0"/>
      <c r="AE195" s="0"/>
    </row>
    <row r="196" customFormat="false" ht="12.75" hidden="false" customHeight="false" outlineLevel="0" collapsed="false">
      <c r="A196" s="431" t="s">
        <v>365</v>
      </c>
      <c r="B196" s="486" t="n">
        <v>0</v>
      </c>
      <c r="C196" s="431" t="n">
        <f aca="false">C194*$L$7*0.5</f>
        <v>10206</v>
      </c>
      <c r="D196" s="431" t="n">
        <f aca="false">D194*$L$7*0.5</f>
        <v>10206</v>
      </c>
      <c r="E196" s="431" t="n">
        <f aca="false">E194*$L$7*0.5</f>
        <v>10206</v>
      </c>
      <c r="F196" s="431" t="n">
        <f aca="false">F194*$L$7*0.5</f>
        <v>10206</v>
      </c>
      <c r="G196" s="431" t="n">
        <f aca="false">G194*$L$7*0.5</f>
        <v>6661.77995467294</v>
      </c>
      <c r="H196" s="431" t="n">
        <f aca="false">H194*$L$7*0.5</f>
        <v>5181.14478897739</v>
      </c>
      <c r="I196" s="431" t="n">
        <f aca="false">I194*$L$7*0.5</f>
        <v>3648.75442460201</v>
      </c>
      <c r="J196" s="431" t="n">
        <f aca="false">J194*$L$7*0.5</f>
        <v>1977.74802138902</v>
      </c>
      <c r="K196" s="431" t="n">
        <f aca="false">K194*$L$7*0.5</f>
        <v>125.156118963262</v>
      </c>
      <c r="L196" s="431" t="n">
        <f aca="false">L194*$L$7*0.5</f>
        <v>-423.004586080742</v>
      </c>
      <c r="M196" s="431" t="n">
        <v>0</v>
      </c>
      <c r="N196" s="431" t="n">
        <f aca="false">N194*$L$7*0.5</f>
        <v>0</v>
      </c>
      <c r="O196" s="431" t="n">
        <f aca="false">O194*$L$7*0.5</f>
        <v>0</v>
      </c>
      <c r="P196" s="431" t="n">
        <f aca="false">P194*$L$7*0.5</f>
        <v>0</v>
      </c>
      <c r="Q196" s="431" t="n">
        <f aca="false">Q194*$L$7*0.5</f>
        <v>0</v>
      </c>
      <c r="R196" s="431" t="n">
        <f aca="false">R194*$L$7*0.5</f>
        <v>0</v>
      </c>
      <c r="S196" s="431" t="n">
        <f aca="false">S194*$L$7*0.5</f>
        <v>0</v>
      </c>
      <c r="T196" s="431" t="n">
        <f aca="false">T194*$L$7*0.5</f>
        <v>0</v>
      </c>
      <c r="U196" s="431" t="n">
        <f aca="false">U194*$L$7*0.5</f>
        <v>0</v>
      </c>
      <c r="V196" s="431" t="n">
        <f aca="false">V194*$L$7*0.5</f>
        <v>0</v>
      </c>
      <c r="W196" s="431"/>
      <c r="X196" s="431"/>
      <c r="Y196" s="431"/>
      <c r="Z196" s="431"/>
      <c r="AA196" s="485"/>
      <c r="AB196" s="0"/>
      <c r="AC196" s="0"/>
      <c r="AD196" s="0"/>
      <c r="AE196" s="0"/>
    </row>
    <row r="197" customFormat="false" ht="12.75" hidden="false" customHeight="false" outlineLevel="0" collapsed="false">
      <c r="A197" s="431" t="s">
        <v>366</v>
      </c>
      <c r="B197" s="486" t="n">
        <f aca="false">B194-B195</f>
        <v>210000</v>
      </c>
      <c r="C197" s="431" t="n">
        <f aca="false">C194-C195</f>
        <v>210000</v>
      </c>
      <c r="D197" s="431" t="n">
        <f aca="false">D194-D195</f>
        <v>210000</v>
      </c>
      <c r="E197" s="431" t="n">
        <f aca="false">E194-E195</f>
        <v>210000</v>
      </c>
      <c r="F197" s="431" t="n">
        <f aca="false">F194-F195</f>
        <v>147917.644470521</v>
      </c>
      <c r="G197" s="431" t="n">
        <f aca="false">G194-G195</f>
        <v>121892.085626354</v>
      </c>
      <c r="H197" s="431" t="n">
        <f aca="false">H194-H195</f>
        <v>91323.7493109874</v>
      </c>
      <c r="I197" s="431" t="n">
        <f aca="false">I194-I195</f>
        <v>58830.7537590541</v>
      </c>
      <c r="J197" s="431" t="n">
        <f aca="false">J194-J195</f>
        <v>22558.0537055145</v>
      </c>
      <c r="K197" s="431" t="n">
        <f aca="false">K194-K195</f>
        <v>-17407.59613501</v>
      </c>
      <c r="L197" s="557" t="n">
        <f aca="false">L194-L195</f>
        <v>0</v>
      </c>
      <c r="M197" s="431" t="n">
        <f aca="false">M194-M195</f>
        <v>0</v>
      </c>
      <c r="N197" s="431" t="n">
        <f aca="false">N194-N195</f>
        <v>0</v>
      </c>
      <c r="O197" s="431" t="n">
        <f aca="false">O194-O195</f>
        <v>0</v>
      </c>
      <c r="P197" s="431" t="n">
        <f aca="false">P194-P195</f>
        <v>0</v>
      </c>
      <c r="Q197" s="431" t="n">
        <f aca="false">Q194-Q195</f>
        <v>0</v>
      </c>
      <c r="R197" s="431" t="n">
        <f aca="false">R194-R195</f>
        <v>0</v>
      </c>
      <c r="S197" s="431" t="n">
        <f aca="false">S194-S195</f>
        <v>0</v>
      </c>
      <c r="T197" s="431" t="n">
        <f aca="false">T194-T195</f>
        <v>0</v>
      </c>
      <c r="U197" s="431" t="n">
        <f aca="false">U194-U195</f>
        <v>0</v>
      </c>
      <c r="V197" s="431" t="n">
        <f aca="false">V194-V195</f>
        <v>0</v>
      </c>
      <c r="W197" s="431"/>
      <c r="X197" s="431"/>
      <c r="Y197" s="431"/>
      <c r="Z197" s="431"/>
      <c r="AA197" s="485"/>
      <c r="AB197" s="0"/>
      <c r="AC197" s="0"/>
      <c r="AD197" s="0"/>
      <c r="AE197" s="0"/>
    </row>
    <row r="198" customFormat="false" ht="12.75" hidden="false" customHeight="false" outlineLevel="0" collapsed="false">
      <c r="A198" s="487" t="s">
        <v>368</v>
      </c>
      <c r="B198" s="486"/>
      <c r="C198" s="431"/>
      <c r="D198" s="431"/>
      <c r="E198" s="431"/>
      <c r="F198" s="431"/>
      <c r="G198" s="431"/>
      <c r="H198" s="431"/>
      <c r="I198" s="431"/>
      <c r="J198" s="431"/>
      <c r="K198" s="431"/>
      <c r="L198" s="431"/>
      <c r="M198" s="431"/>
      <c r="N198" s="431"/>
      <c r="O198" s="431"/>
      <c r="P198" s="431"/>
      <c r="Q198" s="431"/>
      <c r="R198" s="431"/>
      <c r="S198" s="431"/>
      <c r="T198" s="431"/>
      <c r="U198" s="431"/>
      <c r="V198" s="431"/>
      <c r="W198" s="431"/>
      <c r="X198" s="431"/>
      <c r="Y198" s="431"/>
      <c r="Z198" s="431"/>
      <c r="AA198" s="485"/>
      <c r="AB198" s="0"/>
      <c r="AC198" s="0"/>
      <c r="AD198" s="0"/>
      <c r="AE198" s="0"/>
    </row>
    <row r="199" customFormat="false" ht="12.75" hidden="false" customHeight="false" outlineLevel="0" collapsed="false">
      <c r="A199" s="431" t="s">
        <v>363</v>
      </c>
      <c r="B199" s="486" t="n">
        <f aca="false">B197</f>
        <v>210000</v>
      </c>
      <c r="C199" s="431" t="n">
        <f aca="false">C197</f>
        <v>210000</v>
      </c>
      <c r="D199" s="431" t="n">
        <f aca="false">D197</f>
        <v>210000</v>
      </c>
      <c r="E199" s="431" t="n">
        <f aca="false">E197</f>
        <v>210000</v>
      </c>
      <c r="F199" s="431" t="n">
        <f aca="false">F197</f>
        <v>147917.644470521</v>
      </c>
      <c r="G199" s="431" t="n">
        <f aca="false">G197</f>
        <v>121892.085626354</v>
      </c>
      <c r="H199" s="431" t="n">
        <f aca="false">H197</f>
        <v>91323.7493109874</v>
      </c>
      <c r="I199" s="431" t="n">
        <f aca="false">I197</f>
        <v>58830.7537590541</v>
      </c>
      <c r="J199" s="431" t="n">
        <f aca="false">J197</f>
        <v>22558.0537055145</v>
      </c>
      <c r="K199" s="431" t="n">
        <f aca="false">K197</f>
        <v>-17407.59613501</v>
      </c>
      <c r="L199" s="431" t="n">
        <f aca="false">L197</f>
        <v>0</v>
      </c>
      <c r="M199" s="431" t="n">
        <f aca="false">M197</f>
        <v>0</v>
      </c>
      <c r="N199" s="431" t="n">
        <f aca="false">N197</f>
        <v>0</v>
      </c>
      <c r="O199" s="431" t="n">
        <f aca="false">O197</f>
        <v>0</v>
      </c>
      <c r="P199" s="431" t="n">
        <f aca="false">P197</f>
        <v>0</v>
      </c>
      <c r="Q199" s="431" t="n">
        <f aca="false">Q197</f>
        <v>0</v>
      </c>
      <c r="R199" s="431" t="n">
        <f aca="false">R197</f>
        <v>0</v>
      </c>
      <c r="S199" s="431" t="n">
        <f aca="false">S197</f>
        <v>0</v>
      </c>
      <c r="T199" s="431" t="n">
        <f aca="false">T197</f>
        <v>0</v>
      </c>
      <c r="U199" s="431" t="n">
        <f aca="false">U197</f>
        <v>0</v>
      </c>
      <c r="V199" s="431" t="n">
        <f aca="false">V197</f>
        <v>0</v>
      </c>
      <c r="W199" s="431"/>
      <c r="X199" s="431"/>
      <c r="Y199" s="431"/>
      <c r="Z199" s="431"/>
      <c r="AA199" s="485"/>
      <c r="AB199" s="0"/>
      <c r="AC199" s="0"/>
      <c r="AD199" s="0"/>
      <c r="AE199" s="0"/>
    </row>
    <row r="200" customFormat="false" ht="12.75" hidden="false" customHeight="false" outlineLevel="0" collapsed="false">
      <c r="A200" s="431" t="s">
        <v>374</v>
      </c>
      <c r="B200" s="486" t="n">
        <f aca="false">B189*5/12*C156</f>
        <v>0</v>
      </c>
      <c r="C200" s="431" t="n">
        <v>0</v>
      </c>
      <c r="D200" s="431" t="n">
        <v>0</v>
      </c>
      <c r="E200" s="431" t="n">
        <v>0</v>
      </c>
      <c r="F200" s="431" t="n">
        <v>0</v>
      </c>
      <c r="G200" s="431" t="n">
        <v>0</v>
      </c>
      <c r="H200" s="431" t="n">
        <v>0</v>
      </c>
      <c r="I200" s="431" t="n">
        <v>0</v>
      </c>
      <c r="J200" s="431" t="n">
        <v>0</v>
      </c>
      <c r="K200" s="431" t="n">
        <v>0</v>
      </c>
      <c r="L200" s="431" t="n">
        <v>0</v>
      </c>
      <c r="M200" s="431" t="n">
        <v>0</v>
      </c>
      <c r="N200" s="431" t="n">
        <v>0</v>
      </c>
      <c r="O200" s="431" t="n">
        <v>0</v>
      </c>
      <c r="P200" s="431" t="n">
        <v>0</v>
      </c>
      <c r="Q200" s="431" t="n">
        <v>0</v>
      </c>
      <c r="R200" s="431" t="n">
        <v>0</v>
      </c>
      <c r="S200" s="431" t="n">
        <v>0</v>
      </c>
      <c r="T200" s="431" t="n">
        <v>0</v>
      </c>
      <c r="U200" s="431" t="n">
        <v>0</v>
      </c>
      <c r="V200" s="431" t="n">
        <v>0</v>
      </c>
      <c r="W200" s="431"/>
      <c r="X200" s="431"/>
      <c r="Y200" s="431"/>
      <c r="Z200" s="431"/>
      <c r="AA200" s="485"/>
      <c r="AB200" s="0"/>
      <c r="AC200" s="0"/>
      <c r="AD200" s="0"/>
      <c r="AE200" s="0"/>
    </row>
    <row r="201" customFormat="false" ht="12.75" hidden="false" customHeight="false" outlineLevel="0" collapsed="false">
      <c r="A201" s="431" t="s">
        <v>370</v>
      </c>
      <c r="B201" s="486" t="n">
        <f aca="false">B199*$L$7*3/12</f>
        <v>5103</v>
      </c>
      <c r="C201" s="431" t="n">
        <f aca="false">C199*$L$7*5/12</f>
        <v>8505</v>
      </c>
      <c r="D201" s="431" t="n">
        <f aca="false">D199*$L$7*5/12</f>
        <v>8505</v>
      </c>
      <c r="E201" s="431" t="n">
        <f aca="false">E199*$L$7*5/12</f>
        <v>8505</v>
      </c>
      <c r="F201" s="431" t="n">
        <f aca="false">F199*$L$7*5/12</f>
        <v>5990.6646010561</v>
      </c>
      <c r="G201" s="431" t="n">
        <f aca="false">G199*$L$7*5/12</f>
        <v>4936.62946786733</v>
      </c>
      <c r="H201" s="431" t="n">
        <f aca="false">H199*$L$7*5/12</f>
        <v>3698.61184709499</v>
      </c>
      <c r="I201" s="431" t="n">
        <f aca="false">I199*$L$7*5/12</f>
        <v>2382.64552724169</v>
      </c>
      <c r="J201" s="431" t="n">
        <f aca="false">J199*$L$7*5/12</f>
        <v>913.601175073339</v>
      </c>
      <c r="K201" s="431" t="n">
        <f aca="false">K199*$L$7*5/12</f>
        <v>-705.007643467903</v>
      </c>
      <c r="L201" s="431" t="n">
        <f aca="false">L199*$L$7*5/12</f>
        <v>0</v>
      </c>
      <c r="M201" s="431" t="n">
        <f aca="false">L199*$L$7*5/12</f>
        <v>0</v>
      </c>
      <c r="N201" s="431" t="n">
        <f aca="false">N199*$L$7*5/12</f>
        <v>0</v>
      </c>
      <c r="O201" s="431" t="n">
        <f aca="false">O199*$L$7*5/12</f>
        <v>0</v>
      </c>
      <c r="P201" s="431" t="n">
        <f aca="false">P199*$L$7*5/12</f>
        <v>0</v>
      </c>
      <c r="Q201" s="431" t="n">
        <f aca="false">Q199*$L$7*5/12</f>
        <v>0</v>
      </c>
      <c r="R201" s="431" t="n">
        <f aca="false">R199*$L$7*5/12</f>
        <v>0</v>
      </c>
      <c r="S201" s="431" t="n">
        <f aca="false">S199*$L$7*5/12</f>
        <v>0</v>
      </c>
      <c r="T201" s="431" t="n">
        <f aca="false">T199*$L$7*5/12</f>
        <v>0</v>
      </c>
      <c r="U201" s="431" t="n">
        <f aca="false">U199*$L$7*5/12</f>
        <v>0</v>
      </c>
      <c r="V201" s="431" t="n">
        <f aca="false">V199*$L$7*5/12</f>
        <v>0</v>
      </c>
      <c r="W201" s="431"/>
      <c r="X201" s="431"/>
      <c r="Y201" s="431"/>
      <c r="Z201" s="431"/>
      <c r="AA201" s="485"/>
      <c r="AB201" s="0"/>
      <c r="AC201" s="0"/>
      <c r="AD201" s="0"/>
      <c r="AE201" s="0"/>
    </row>
    <row r="202" customFormat="false" ht="12.75" hidden="false" customHeight="false" outlineLevel="0" collapsed="false">
      <c r="A202" s="431" t="s">
        <v>366</v>
      </c>
      <c r="B202" s="486" t="n">
        <f aca="false">B199-B200</f>
        <v>210000</v>
      </c>
      <c r="C202" s="431" t="n">
        <f aca="false">C199-C200</f>
        <v>210000</v>
      </c>
      <c r="D202" s="431" t="n">
        <f aca="false">D199-D200</f>
        <v>210000</v>
      </c>
      <c r="E202" s="431" t="n">
        <f aca="false">E199-E200</f>
        <v>210000</v>
      </c>
      <c r="F202" s="431" t="n">
        <f aca="false">F199-F200</f>
        <v>147917.644470521</v>
      </c>
      <c r="G202" s="431" t="n">
        <f aca="false">G199-G200</f>
        <v>121892.085626354</v>
      </c>
      <c r="H202" s="431" t="n">
        <f aca="false">H199-H200</f>
        <v>91323.7493109874</v>
      </c>
      <c r="I202" s="431" t="n">
        <f aca="false">I199-I200</f>
        <v>58830.7537590541</v>
      </c>
      <c r="J202" s="431" t="n">
        <f aca="false">J199-J200</f>
        <v>22558.0537055145</v>
      </c>
      <c r="K202" s="431" t="n">
        <f aca="false">K199-K200</f>
        <v>-17407.59613501</v>
      </c>
      <c r="L202" s="431" t="n">
        <f aca="false">L199-L200</f>
        <v>0</v>
      </c>
      <c r="M202" s="431" t="n">
        <f aca="false">M199-M200</f>
        <v>0</v>
      </c>
      <c r="N202" s="431" t="n">
        <f aca="false">N199-N200</f>
        <v>0</v>
      </c>
      <c r="O202" s="431" t="n">
        <f aca="false">O199-O200</f>
        <v>0</v>
      </c>
      <c r="P202" s="431" t="n">
        <f aca="false">P199-P200</f>
        <v>0</v>
      </c>
      <c r="Q202" s="431" t="n">
        <f aca="false">Q199-Q200</f>
        <v>0</v>
      </c>
      <c r="R202" s="431" t="n">
        <f aca="false">R199-R200</f>
        <v>0</v>
      </c>
      <c r="S202" s="431" t="n">
        <f aca="false">S199-S200</f>
        <v>0</v>
      </c>
      <c r="T202" s="431" t="n">
        <f aca="false">T199-T200</f>
        <v>0</v>
      </c>
      <c r="U202" s="431" t="n">
        <f aca="false">U199-U200</f>
        <v>0</v>
      </c>
      <c r="V202" s="431" t="n">
        <f aca="false">V199-V200</f>
        <v>0</v>
      </c>
      <c r="W202" s="431"/>
      <c r="X202" s="431"/>
      <c r="Y202" s="431"/>
      <c r="Z202" s="431"/>
      <c r="AA202" s="485"/>
      <c r="AB202" s="0"/>
      <c r="AC202" s="0"/>
      <c r="AD202" s="0"/>
      <c r="AE202" s="0"/>
    </row>
    <row r="203" customFormat="false" ht="12.75" hidden="false" customHeight="false" outlineLevel="0" collapsed="false">
      <c r="A203" s="431"/>
      <c r="B203" s="486"/>
      <c r="C203" s="431"/>
      <c r="D203" s="431"/>
      <c r="E203" s="431"/>
      <c r="F203" s="431"/>
      <c r="G203" s="431"/>
      <c r="H203" s="431"/>
      <c r="I203" s="431"/>
      <c r="J203" s="431"/>
      <c r="K203" s="431"/>
      <c r="L203" s="431"/>
      <c r="M203" s="431"/>
      <c r="N203" s="431"/>
      <c r="O203" s="431"/>
      <c r="P203" s="431"/>
      <c r="Q203" s="431"/>
      <c r="R203" s="431"/>
      <c r="S203" s="431"/>
      <c r="T203" s="431"/>
      <c r="U203" s="431"/>
      <c r="V203" s="431"/>
      <c r="W203" s="431"/>
      <c r="X203" s="431"/>
      <c r="Y203" s="431"/>
      <c r="Z203" s="431"/>
      <c r="AA203" s="485"/>
      <c r="AB203" s="0"/>
      <c r="AC203" s="0"/>
      <c r="AD203" s="0"/>
      <c r="AE203" s="0"/>
    </row>
    <row r="204" customFormat="false" ht="12.75" hidden="false" customHeight="false" outlineLevel="0" collapsed="false">
      <c r="A204" s="488" t="s">
        <v>371</v>
      </c>
      <c r="B204" s="486" t="n">
        <v>0</v>
      </c>
      <c r="C204" s="431" t="n">
        <f aca="false">C191+C196+B201</f>
        <v>17010</v>
      </c>
      <c r="D204" s="431" t="n">
        <f aca="false">D191+D196+C201</f>
        <v>20412</v>
      </c>
      <c r="E204" s="431" t="n">
        <f aca="false">E191+E196+D201</f>
        <v>20412</v>
      </c>
      <c r="F204" s="431" t="n">
        <f aca="false">F191+F196+E201</f>
        <v>20412</v>
      </c>
      <c r="G204" s="431" t="n">
        <f aca="false">G191+G196+F201</f>
        <v>13850.5774759403</v>
      </c>
      <c r="H204" s="431" t="n">
        <f aca="false">H191+H196+G201</f>
        <v>11105.1001504182</v>
      </c>
      <c r="I204" s="431" t="n">
        <f aca="false">I191+I196+H201</f>
        <v>8087.088641116</v>
      </c>
      <c r="J204" s="431" t="n">
        <f aca="false">J191+J196+I201</f>
        <v>4836.92265407905</v>
      </c>
      <c r="K204" s="431" t="n">
        <f aca="false">K191+K196+J201</f>
        <v>1221.47752905127</v>
      </c>
      <c r="L204" s="431" t="n">
        <f aca="false">L191+L196+K201</f>
        <v>-1269.01375824223</v>
      </c>
      <c r="M204" s="431" t="n">
        <f aca="false">M191+M196+L201</f>
        <v>0</v>
      </c>
      <c r="N204" s="431" t="n">
        <f aca="false">N191+N196+M201</f>
        <v>0</v>
      </c>
      <c r="O204" s="431" t="n">
        <f aca="false">O191+O196+N201</f>
        <v>0</v>
      </c>
      <c r="P204" s="431" t="n">
        <f aca="false">P191+P196+O201</f>
        <v>0</v>
      </c>
      <c r="Q204" s="431" t="n">
        <f aca="false">Q191+Q196+P201</f>
        <v>0</v>
      </c>
      <c r="R204" s="431" t="n">
        <f aca="false">R191+R196+Q201</f>
        <v>0</v>
      </c>
      <c r="S204" s="431" t="n">
        <f aca="false">S191+S196+R201</f>
        <v>0</v>
      </c>
      <c r="T204" s="431" t="n">
        <f aca="false">T191+T196+S201</f>
        <v>0</v>
      </c>
      <c r="U204" s="431" t="n">
        <f aca="false">U191+U196+T201</f>
        <v>0</v>
      </c>
      <c r="V204" s="431" t="n">
        <f aca="false">V191+V196+U201</f>
        <v>0</v>
      </c>
      <c r="W204" s="431"/>
      <c r="X204" s="431"/>
      <c r="Y204" s="431"/>
      <c r="Z204" s="431"/>
      <c r="AA204" s="485"/>
      <c r="AB204" s="0"/>
      <c r="AC204" s="0"/>
      <c r="AD204" s="0"/>
      <c r="AE204" s="0"/>
    </row>
    <row r="205" customFormat="false" ht="12.75" hidden="false" customHeight="false" outlineLevel="0" collapsed="false">
      <c r="A205" s="385" t="s">
        <v>372</v>
      </c>
      <c r="B205" s="486" t="n">
        <f aca="false">B191+B196+B201</f>
        <v>5103</v>
      </c>
      <c r="C205" s="431" t="n">
        <f aca="false">C191+C196+C201</f>
        <v>20412</v>
      </c>
      <c r="D205" s="431" t="n">
        <f aca="false">D191+D196+D201</f>
        <v>20412</v>
      </c>
      <c r="E205" s="431" t="n">
        <f aca="false">E191+E196+E201</f>
        <v>20412</v>
      </c>
      <c r="F205" s="431" t="n">
        <f aca="false">F191+F196+F201</f>
        <v>17897.6646010561</v>
      </c>
      <c r="G205" s="431" t="n">
        <f aca="false">G191+G196+G201</f>
        <v>12796.5423427515</v>
      </c>
      <c r="H205" s="431" t="n">
        <f aca="false">H191+H196+H201</f>
        <v>9867.08252964585</v>
      </c>
      <c r="I205" s="431" t="n">
        <f aca="false">I191+I196+I201</f>
        <v>6771.1223212627</v>
      </c>
      <c r="J205" s="431" t="n">
        <f aca="false">J191+J196+J201</f>
        <v>3367.8783019107</v>
      </c>
      <c r="K205" s="431" t="n">
        <f aca="false">K191+K196+K201</f>
        <v>-397.131289489974</v>
      </c>
      <c r="L205" s="431" t="n">
        <f aca="false">L191+L196+L201</f>
        <v>-564.006114774323</v>
      </c>
      <c r="M205" s="431" t="n">
        <f aca="false">M191+M196+M201</f>
        <v>0</v>
      </c>
      <c r="N205" s="431" t="n">
        <f aca="false">N191+N196+N201</f>
        <v>0</v>
      </c>
      <c r="O205" s="431" t="n">
        <f aca="false">O191+O196+O201</f>
        <v>0</v>
      </c>
      <c r="P205" s="431" t="n">
        <f aca="false">P191+P196+P201</f>
        <v>0</v>
      </c>
      <c r="Q205" s="431" t="n">
        <f aca="false">Q191+Q196+Q201</f>
        <v>0</v>
      </c>
      <c r="R205" s="431" t="n">
        <f aca="false">R191+R196+R201</f>
        <v>0</v>
      </c>
      <c r="S205" s="431" t="n">
        <f aca="false">S191+S196+S201</f>
        <v>0</v>
      </c>
      <c r="T205" s="431" t="n">
        <f aca="false">T191+T196+T201</f>
        <v>0</v>
      </c>
      <c r="U205" s="431" t="n">
        <f aca="false">U191+U196+U201</f>
        <v>0</v>
      </c>
      <c r="V205" s="431" t="n">
        <f aca="false">V191+V196+V201</f>
        <v>0</v>
      </c>
      <c r="AA205" s="1"/>
      <c r="AB205" s="0"/>
      <c r="AC205" s="0"/>
      <c r="AD205" s="0"/>
      <c r="AE205" s="0"/>
    </row>
    <row r="206" customFormat="false" ht="12.75" hidden="false" customHeight="false" outlineLevel="0" collapsed="false">
      <c r="A206" s="488" t="s">
        <v>373</v>
      </c>
      <c r="B206" s="486" t="n">
        <f aca="false">B190+B195</f>
        <v>0</v>
      </c>
      <c r="C206" s="486" t="n">
        <f aca="false">C190+C195+B200</f>
        <v>0</v>
      </c>
      <c r="D206" s="486" t="n">
        <f aca="false">D190+D195+C200</f>
        <v>0</v>
      </c>
      <c r="E206" s="486" t="n">
        <f aca="false">E190+E195+D200</f>
        <v>0</v>
      </c>
      <c r="F206" s="486" t="n">
        <f aca="false">F190+F195+E200</f>
        <v>62082.3555294789</v>
      </c>
      <c r="G206" s="486" t="n">
        <f aca="false">G190+G195+F200</f>
        <v>26025.5588441672</v>
      </c>
      <c r="H206" s="486" t="n">
        <f aca="false">H190+H195+G200</f>
        <v>30568.3363153664</v>
      </c>
      <c r="I206" s="486" t="n">
        <f aca="false">I190+I195+H200</f>
        <v>32492.9955519333</v>
      </c>
      <c r="J206" s="486" t="n">
        <f aca="false">J190+J195+I200</f>
        <v>36272.7000535396</v>
      </c>
      <c r="K206" s="486" t="n">
        <f aca="false">K190+K195+J200</f>
        <v>39965.6498405245</v>
      </c>
      <c r="L206" s="486" t="n">
        <f aca="false">L190+L195+K200</f>
        <v>-17407.59613501</v>
      </c>
      <c r="M206" s="486" t="n">
        <f aca="false">M190+M195+L200</f>
        <v>0</v>
      </c>
      <c r="N206" s="486" t="n">
        <f aca="false">N190+N195+M200</f>
        <v>0</v>
      </c>
      <c r="O206" s="486" t="n">
        <f aca="false">O190+O195+N200</f>
        <v>0</v>
      </c>
      <c r="P206" s="486" t="n">
        <f aca="false">P190+P195+O200</f>
        <v>0</v>
      </c>
      <c r="Q206" s="486" t="n">
        <f aca="false">Q190+Q195+P200</f>
        <v>0</v>
      </c>
      <c r="R206" s="486" t="n">
        <f aca="false">R190+R195+Q200</f>
        <v>0</v>
      </c>
      <c r="S206" s="486" t="n">
        <f aca="false">S190+S195+R200</f>
        <v>0</v>
      </c>
      <c r="T206" s="486" t="n">
        <f aca="false">T190+T195+S200</f>
        <v>0</v>
      </c>
      <c r="U206" s="486" t="n">
        <f aca="false">U190+U195+T200</f>
        <v>0</v>
      </c>
      <c r="V206" s="486" t="n">
        <f aca="false">V190+V195+U200</f>
        <v>0</v>
      </c>
      <c r="AA206" s="1"/>
      <c r="AB206" s="0"/>
      <c r="AC206" s="0"/>
      <c r="AD206" s="0"/>
      <c r="AE206" s="0"/>
    </row>
    <row r="207" customFormat="false" ht="12.75" hidden="false" customHeight="false" outlineLevel="0" collapsed="false">
      <c r="A207" s="385" t="s">
        <v>369</v>
      </c>
      <c r="B207" s="486" t="n">
        <f aca="false">B200</f>
        <v>0</v>
      </c>
      <c r="C207" s="486" t="n">
        <f aca="false">C200</f>
        <v>0</v>
      </c>
      <c r="D207" s="486" t="n">
        <f aca="false">D200</f>
        <v>0</v>
      </c>
      <c r="E207" s="486" t="n">
        <f aca="false">E200</f>
        <v>0</v>
      </c>
      <c r="F207" s="486" t="n">
        <f aca="false">F200</f>
        <v>0</v>
      </c>
      <c r="G207" s="486" t="n">
        <f aca="false">G200</f>
        <v>0</v>
      </c>
      <c r="H207" s="486" t="n">
        <f aca="false">H200</f>
        <v>0</v>
      </c>
      <c r="I207" s="486" t="n">
        <f aca="false">I200</f>
        <v>0</v>
      </c>
      <c r="J207" s="486" t="n">
        <f aca="false">J200</f>
        <v>0</v>
      </c>
      <c r="K207" s="486" t="n">
        <f aca="false">K200</f>
        <v>0</v>
      </c>
      <c r="L207" s="486" t="n">
        <f aca="false">L200</f>
        <v>0</v>
      </c>
      <c r="M207" s="486" t="n">
        <f aca="false">M200</f>
        <v>0</v>
      </c>
      <c r="N207" s="486" t="n">
        <f aca="false">N200</f>
        <v>0</v>
      </c>
      <c r="O207" s="486" t="n">
        <f aca="false">O200</f>
        <v>0</v>
      </c>
      <c r="P207" s="486" t="n">
        <f aca="false">P200</f>
        <v>0</v>
      </c>
      <c r="Q207" s="486" t="n">
        <f aca="false">Q200</f>
        <v>0</v>
      </c>
      <c r="R207" s="486" t="n">
        <f aca="false">R200</f>
        <v>0</v>
      </c>
      <c r="S207" s="486" t="n">
        <f aca="false">S200</f>
        <v>0</v>
      </c>
      <c r="T207" s="486" t="n">
        <f aca="false">T200</f>
        <v>0</v>
      </c>
      <c r="U207" s="486" t="n">
        <f aca="false">U200</f>
        <v>0</v>
      </c>
      <c r="V207" s="486" t="n">
        <f aca="false">V200</f>
        <v>0</v>
      </c>
      <c r="AA207" s="1"/>
      <c r="AB207" s="0"/>
      <c r="AC207" s="0"/>
      <c r="AD207" s="0"/>
      <c r="AE207" s="0"/>
    </row>
    <row r="208" customFormat="false" ht="12.75" hidden="false" customHeight="false" outlineLevel="0" collapsed="false">
      <c r="B208" s="493"/>
      <c r="C208" s="431"/>
      <c r="D208" s="431"/>
      <c r="E208" s="431"/>
      <c r="F208" s="431"/>
      <c r="G208" s="431"/>
      <c r="H208" s="431"/>
      <c r="I208" s="431"/>
      <c r="J208" s="431"/>
      <c r="K208" s="431"/>
      <c r="L208" s="431"/>
      <c r="M208" s="431"/>
      <c r="N208" s="431"/>
      <c r="O208" s="431"/>
      <c r="P208" s="431"/>
      <c r="Q208" s="431"/>
      <c r="R208" s="431"/>
      <c r="S208" s="431"/>
      <c r="T208" s="431"/>
      <c r="U208" s="431"/>
      <c r="V208" s="431"/>
      <c r="W208" s="431"/>
      <c r="X208" s="431"/>
      <c r="Y208" s="431"/>
      <c r="Z208" s="431"/>
      <c r="AA208" s="485"/>
      <c r="AB208" s="0"/>
      <c r="AC208" s="0"/>
      <c r="AD208" s="0"/>
      <c r="AE208" s="0"/>
    </row>
    <row r="209" customFormat="false" ht="12.75" hidden="false" customHeight="false" outlineLevel="0" collapsed="false">
      <c r="B209" s="486"/>
      <c r="C209" s="431"/>
      <c r="D209" s="431"/>
      <c r="E209" s="431"/>
      <c r="F209" s="431"/>
      <c r="G209" s="431"/>
      <c r="H209" s="431"/>
      <c r="I209" s="431"/>
      <c r="J209" s="431"/>
      <c r="K209" s="431"/>
      <c r="L209" s="431"/>
      <c r="M209" s="431"/>
      <c r="N209" s="431"/>
      <c r="O209" s="431"/>
      <c r="P209" s="431"/>
      <c r="Q209" s="431"/>
      <c r="R209" s="431"/>
      <c r="S209" s="431"/>
      <c r="T209" s="431"/>
      <c r="U209" s="431"/>
      <c r="V209" s="431"/>
      <c r="W209" s="431"/>
      <c r="X209" s="431"/>
      <c r="Y209" s="431"/>
      <c r="Z209" s="431"/>
      <c r="AA209" s="485"/>
      <c r="AB209" s="0"/>
      <c r="AC209" s="0"/>
      <c r="AD209" s="0"/>
      <c r="AE209" s="0"/>
    </row>
    <row r="210" customFormat="false" ht="12.75" hidden="false" customHeight="false" outlineLevel="0" collapsed="false">
      <c r="A210" s="482" t="str">
        <f aca="false">A74</f>
        <v>Tranche 3 @ 10.435%</v>
      </c>
      <c r="B210" s="94"/>
      <c r="C210" s="483"/>
      <c r="AA210" s="1"/>
      <c r="AB210" s="0"/>
      <c r="AC210" s="0"/>
      <c r="AD210" s="0"/>
      <c r="AE210" s="0"/>
    </row>
    <row r="211" customFormat="false" ht="12.75" hidden="false" customHeight="false" outlineLevel="0" collapsed="false">
      <c r="A211" s="391" t="s">
        <v>362</v>
      </c>
      <c r="B211" s="486"/>
      <c r="AA211" s="1"/>
      <c r="AB211" s="0"/>
      <c r="AC211" s="0"/>
      <c r="AD211" s="0"/>
      <c r="AE211" s="0"/>
    </row>
    <row r="212" customFormat="false" ht="12.75" hidden="false" customHeight="false" outlineLevel="0" collapsed="false">
      <c r="A212" s="431" t="s">
        <v>363</v>
      </c>
      <c r="B212" s="489" t="n">
        <f aca="false">E160</f>
        <v>425000</v>
      </c>
      <c r="C212" s="431" t="n">
        <f aca="false">B225</f>
        <v>425000</v>
      </c>
      <c r="D212" s="431" t="n">
        <f aca="false">C225</f>
        <v>425000</v>
      </c>
      <c r="E212" s="431" t="n">
        <f aca="false">D225</f>
        <v>425000</v>
      </c>
      <c r="F212" s="431" t="n">
        <f aca="false">E225</f>
        <v>425000</v>
      </c>
      <c r="G212" s="431" t="n">
        <f aca="false">F225</f>
        <v>425000</v>
      </c>
      <c r="H212" s="431" t="n">
        <f aca="false">G225</f>
        <v>425000</v>
      </c>
      <c r="I212" s="431" t="n">
        <f aca="false">H225</f>
        <v>425000</v>
      </c>
      <c r="J212" s="431" t="n">
        <f aca="false">I225</f>
        <v>425000</v>
      </c>
      <c r="K212" s="431" t="n">
        <f aca="false">J225</f>
        <v>425000</v>
      </c>
      <c r="L212" s="431" t="n">
        <f aca="false">K225</f>
        <v>425000</v>
      </c>
      <c r="M212" s="431" t="n">
        <f aca="false">L225</f>
        <v>425000</v>
      </c>
      <c r="N212" s="431" t="n">
        <f aca="false">M225</f>
        <v>393595.58308981</v>
      </c>
      <c r="O212" s="431" t="n">
        <f aca="false">N225</f>
        <v>358523.814295543</v>
      </c>
      <c r="P212" s="431" t="n">
        <f aca="false">O225</f>
        <v>319808.541941421</v>
      </c>
      <c r="Q212" s="431" t="n">
        <f aca="false">P225</f>
        <v>278471.542964677</v>
      </c>
      <c r="R212" s="431" t="n">
        <f aca="false">Q225</f>
        <v>234238.101075212</v>
      </c>
      <c r="S212" s="431" t="n">
        <f aca="false">R225</f>
        <v>185943.855114627</v>
      </c>
      <c r="T212" s="431" t="n">
        <f aca="false">S225</f>
        <v>136684.412558895</v>
      </c>
      <c r="U212" s="431" t="n">
        <f aca="false">T225</f>
        <v>88588.6888598896</v>
      </c>
      <c r="V212" s="431" t="n">
        <f aca="false">U225</f>
        <v>46308.6755041542</v>
      </c>
      <c r="W212" s="431"/>
      <c r="X212" s="431"/>
      <c r="Y212" s="431"/>
      <c r="Z212" s="431"/>
      <c r="AA212" s="485"/>
      <c r="AB212" s="0"/>
      <c r="AC212" s="0"/>
      <c r="AD212" s="0"/>
      <c r="AE212" s="0"/>
    </row>
    <row r="213" customFormat="false" ht="12.75" hidden="false" customHeight="false" outlineLevel="0" collapsed="false">
      <c r="A213" s="431" t="s">
        <v>364</v>
      </c>
      <c r="B213" s="485" t="n">
        <v>0</v>
      </c>
      <c r="C213" s="492" t="n">
        <v>0</v>
      </c>
      <c r="D213" s="492" t="n">
        <v>0</v>
      </c>
      <c r="E213" s="492" t="n">
        <v>0</v>
      </c>
      <c r="F213" s="492" t="n">
        <v>0</v>
      </c>
      <c r="G213" s="492" t="n">
        <v>0</v>
      </c>
      <c r="H213" s="492" t="n">
        <v>0</v>
      </c>
      <c r="I213" s="492" t="n">
        <v>0</v>
      </c>
      <c r="J213" s="492" t="n">
        <v>0</v>
      </c>
      <c r="K213" s="492" t="n">
        <v>0</v>
      </c>
      <c r="L213" s="492" t="n">
        <v>0</v>
      </c>
      <c r="M213" s="559" t="n">
        <f aca="false">6/12*(M158-M214-L224-M219)</f>
        <v>15702.208455095</v>
      </c>
      <c r="N213" s="559" t="n">
        <f aca="false">6/12*(N158-N214-M224-N219)</f>
        <v>17535.8843971335</v>
      </c>
      <c r="O213" s="559" t="n">
        <f aca="false">6/12*(O158-O214-N224-O219)</f>
        <v>19357.6361770612</v>
      </c>
      <c r="P213" s="559" t="n">
        <f aca="false">6/12*(P158-P214-O224-P219)</f>
        <v>20668.4994883719</v>
      </c>
      <c r="Q213" s="559" t="n">
        <f aca="false">6/12*(Q158-Q214-P224-Q219)</f>
        <v>22116.7209447325</v>
      </c>
      <c r="R213" s="559" t="n">
        <f aca="false">6/12*(R158-R214-Q224-R219)</f>
        <v>24147.1229802923</v>
      </c>
      <c r="S213" s="559" t="n">
        <f aca="false">6/12*(S158-S214-R224-S219)</f>
        <v>24629.7212778659</v>
      </c>
      <c r="T213" s="559" t="n">
        <f aca="false">6/12*(T158-T214-S224-T219)</f>
        <v>24047.8618495029</v>
      </c>
      <c r="U213" s="559" t="n">
        <f aca="false">6/12*(U158-U214-T224-U219)</f>
        <v>21140.0066778677</v>
      </c>
      <c r="V213" s="559" t="n">
        <f aca="false">6/12*(V158-V214-U224-V219)</f>
        <v>18057.9225234185</v>
      </c>
      <c r="W213" s="492"/>
      <c r="X213" s="492"/>
      <c r="Y213" s="492"/>
      <c r="Z213" s="492"/>
      <c r="AA213" s="485"/>
      <c r="AB213" s="0"/>
      <c r="AC213" s="0"/>
      <c r="AD213" s="0"/>
      <c r="AE213" s="0"/>
    </row>
    <row r="214" customFormat="false" ht="12.75" hidden="false" customHeight="false" outlineLevel="0" collapsed="false">
      <c r="A214" s="431" t="s">
        <v>365</v>
      </c>
      <c r="B214" s="486" t="n">
        <v>0</v>
      </c>
      <c r="C214" s="431" t="n">
        <f aca="false">C212*$R$7*1/12</f>
        <v>3695.72916666667</v>
      </c>
      <c r="D214" s="431" t="n">
        <f aca="false">D212*$R$7*1/12</f>
        <v>3695.72916666667</v>
      </c>
      <c r="E214" s="431" t="n">
        <f aca="false">E212*$R$7*1/12</f>
        <v>3695.72916666667</v>
      </c>
      <c r="F214" s="431" t="n">
        <f aca="false">F212*$R$7*1/12</f>
        <v>3695.72916666667</v>
      </c>
      <c r="G214" s="431" t="n">
        <f aca="false">G212*$R$7*1/12</f>
        <v>3695.72916666667</v>
      </c>
      <c r="H214" s="431" t="n">
        <f aca="false">H212*$R$7*1/12</f>
        <v>3695.72916666667</v>
      </c>
      <c r="I214" s="431" t="n">
        <f aca="false">I212*$R$7*1/12</f>
        <v>3695.72916666667</v>
      </c>
      <c r="J214" s="431" t="n">
        <f aca="false">J212*$R$7*1/12</f>
        <v>3695.72916666667</v>
      </c>
      <c r="K214" s="431" t="n">
        <f aca="false">K212*$R$7*1/12</f>
        <v>3695.72916666667</v>
      </c>
      <c r="L214" s="431" t="n">
        <f aca="false">L212*$R$7*1/12</f>
        <v>3695.72916666667</v>
      </c>
      <c r="M214" s="492" t="n">
        <f aca="false">M212*$R$7*1/12</f>
        <v>3695.72916666667</v>
      </c>
      <c r="N214" s="492" t="n">
        <f aca="false">N212*$R$7*1/12</f>
        <v>3422.64159128514</v>
      </c>
      <c r="O214" s="492" t="n">
        <f aca="false">O212*$R$7*1/12</f>
        <v>3117.66333514499</v>
      </c>
      <c r="P214" s="492" t="n">
        <f aca="false">P212*$R$7*1/12</f>
        <v>2781.00177929894</v>
      </c>
      <c r="Q214" s="492" t="n">
        <f aca="false">Q212*$R$7*1/12</f>
        <v>2421.542125697</v>
      </c>
      <c r="R214" s="492" t="n">
        <f aca="false">R212*$R$7*1/12</f>
        <v>2036.89548726653</v>
      </c>
      <c r="S214" s="492" t="n">
        <f aca="false">S212*$R$7*1/12</f>
        <v>1616.93677343428</v>
      </c>
      <c r="T214" s="562" t="n">
        <f aca="false">T212*$R$7*1/12</f>
        <v>1188.58487087673</v>
      </c>
      <c r="U214" s="492" t="n">
        <f aca="false">U212*$R$7*1/12</f>
        <v>770.352473544123</v>
      </c>
      <c r="V214" s="492" t="n">
        <f aca="false">V212*$R$7*1/12</f>
        <v>402.692524071541</v>
      </c>
      <c r="W214" s="492"/>
      <c r="X214" s="492"/>
      <c r="Y214" s="492"/>
      <c r="Z214" s="492"/>
      <c r="AA214" s="485"/>
      <c r="AB214" s="0"/>
      <c r="AC214" s="0"/>
      <c r="AD214" s="0"/>
      <c r="AE214" s="0"/>
    </row>
    <row r="215" customFormat="false" ht="12.75" hidden="false" customHeight="false" outlineLevel="0" collapsed="false">
      <c r="A215" s="431" t="s">
        <v>366</v>
      </c>
      <c r="B215" s="486" t="n">
        <f aca="false">B212-B213</f>
        <v>425000</v>
      </c>
      <c r="C215" s="431" t="n">
        <f aca="false">C212-C213</f>
        <v>425000</v>
      </c>
      <c r="D215" s="431" t="n">
        <f aca="false">D212-D213</f>
        <v>425000</v>
      </c>
      <c r="E215" s="431" t="n">
        <f aca="false">E212-E213</f>
        <v>425000</v>
      </c>
      <c r="F215" s="431" t="n">
        <f aca="false">F212-F213</f>
        <v>425000</v>
      </c>
      <c r="G215" s="431" t="n">
        <f aca="false">G212-G213</f>
        <v>425000</v>
      </c>
      <c r="H215" s="431" t="n">
        <f aca="false">H212-H213</f>
        <v>425000</v>
      </c>
      <c r="I215" s="431" t="n">
        <f aca="false">I212-I213</f>
        <v>425000</v>
      </c>
      <c r="J215" s="431" t="n">
        <f aca="false">J212-J213</f>
        <v>425000</v>
      </c>
      <c r="K215" s="431" t="n">
        <f aca="false">K212-K213</f>
        <v>425000</v>
      </c>
      <c r="L215" s="431" t="n">
        <f aca="false">L212-L213</f>
        <v>425000</v>
      </c>
      <c r="M215" s="492" t="n">
        <f aca="false">M212-M213</f>
        <v>409297.791544905</v>
      </c>
      <c r="N215" s="492" t="n">
        <f aca="false">N212-N213</f>
        <v>376059.698692676</v>
      </c>
      <c r="O215" s="492" t="n">
        <f aca="false">O212-O213</f>
        <v>339166.178118482</v>
      </c>
      <c r="P215" s="492" t="n">
        <f aca="false">P212-P213</f>
        <v>299140.042453049</v>
      </c>
      <c r="Q215" s="492" t="n">
        <f aca="false">Q212-Q213</f>
        <v>256354.822019944</v>
      </c>
      <c r="R215" s="492" t="n">
        <f aca="false">R212-R213</f>
        <v>210090.978094919</v>
      </c>
      <c r="S215" s="492" t="n">
        <f aca="false">S212-S213</f>
        <v>161314.133836761</v>
      </c>
      <c r="T215" s="492" t="n">
        <f aca="false">T212-T213</f>
        <v>112636.550709392</v>
      </c>
      <c r="U215" s="492" t="n">
        <f aca="false">U212-U213</f>
        <v>67448.6821820219</v>
      </c>
      <c r="V215" s="492" t="n">
        <f aca="false">V212-V213</f>
        <v>28250.7529807358</v>
      </c>
      <c r="W215" s="492"/>
      <c r="X215" s="492"/>
      <c r="Y215" s="492"/>
      <c r="Z215" s="492"/>
      <c r="AA215" s="485"/>
      <c r="AB215" s="0"/>
      <c r="AC215" s="0"/>
      <c r="AD215" s="0"/>
      <c r="AE215" s="0"/>
    </row>
    <row r="216" customFormat="false" ht="12.75" hidden="false" customHeight="false" outlineLevel="0" collapsed="false">
      <c r="A216" s="391" t="s">
        <v>367</v>
      </c>
      <c r="B216" s="486"/>
      <c r="C216" s="431"/>
      <c r="D216" s="431"/>
      <c r="E216" s="431"/>
      <c r="F216" s="431"/>
      <c r="G216" s="431"/>
      <c r="H216" s="431"/>
      <c r="I216" s="431"/>
      <c r="J216" s="431"/>
      <c r="K216" s="431"/>
      <c r="L216" s="431"/>
      <c r="M216" s="492"/>
      <c r="N216" s="492"/>
      <c r="O216" s="492"/>
      <c r="P216" s="492"/>
      <c r="Q216" s="492"/>
      <c r="R216" s="492"/>
      <c r="S216" s="492"/>
      <c r="T216" s="492"/>
      <c r="U216" s="492"/>
      <c r="V216" s="492"/>
      <c r="W216" s="492"/>
      <c r="X216" s="492"/>
      <c r="Y216" s="492"/>
      <c r="Z216" s="492"/>
      <c r="AA216" s="485"/>
      <c r="AB216" s="0"/>
      <c r="AC216" s="0"/>
      <c r="AD216" s="0"/>
      <c r="AE216" s="0"/>
    </row>
    <row r="217" customFormat="false" ht="12.75" hidden="false" customHeight="false" outlineLevel="0" collapsed="false">
      <c r="A217" s="431" t="s">
        <v>363</v>
      </c>
      <c r="B217" s="486" t="n">
        <f aca="false">B215</f>
        <v>425000</v>
      </c>
      <c r="C217" s="431" t="n">
        <f aca="false">C215</f>
        <v>425000</v>
      </c>
      <c r="D217" s="431" t="n">
        <f aca="false">D215</f>
        <v>425000</v>
      </c>
      <c r="E217" s="431" t="n">
        <f aca="false">E215</f>
        <v>425000</v>
      </c>
      <c r="F217" s="431" t="n">
        <f aca="false">F215</f>
        <v>425000</v>
      </c>
      <c r="G217" s="431" t="n">
        <f aca="false">G215</f>
        <v>425000</v>
      </c>
      <c r="H217" s="431" t="n">
        <f aca="false">H215</f>
        <v>425000</v>
      </c>
      <c r="I217" s="431" t="n">
        <f aca="false">I215</f>
        <v>425000</v>
      </c>
      <c r="J217" s="431" t="n">
        <f aca="false">J215</f>
        <v>425000</v>
      </c>
      <c r="K217" s="431" t="n">
        <f aca="false">K215</f>
        <v>425000</v>
      </c>
      <c r="L217" s="431" t="n">
        <f aca="false">L215</f>
        <v>425000</v>
      </c>
      <c r="M217" s="492" t="n">
        <f aca="false">M215</f>
        <v>409297.791544905</v>
      </c>
      <c r="N217" s="492" t="n">
        <f aca="false">N215</f>
        <v>376059.698692676</v>
      </c>
      <c r="O217" s="492" t="n">
        <f aca="false">O215</f>
        <v>339166.178118482</v>
      </c>
      <c r="P217" s="492" t="n">
        <f aca="false">P215</f>
        <v>299140.042453049</v>
      </c>
      <c r="Q217" s="492" t="n">
        <f aca="false">Q215</f>
        <v>256354.822019944</v>
      </c>
      <c r="R217" s="492" t="n">
        <f aca="false">R215</f>
        <v>210090.978094919</v>
      </c>
      <c r="S217" s="492" t="n">
        <f aca="false">S215</f>
        <v>161314.133836761</v>
      </c>
      <c r="T217" s="492" t="n">
        <f aca="false">T215</f>
        <v>112636.550709392</v>
      </c>
      <c r="U217" s="492" t="n">
        <f aca="false">U215</f>
        <v>67448.6821820219</v>
      </c>
      <c r="V217" s="492" t="n">
        <f aca="false">V215</f>
        <v>28250.7529807358</v>
      </c>
      <c r="W217" s="492"/>
      <c r="X217" s="492"/>
      <c r="Y217" s="492"/>
      <c r="Z217" s="492"/>
      <c r="AA217" s="485"/>
      <c r="AB217" s="0"/>
      <c r="AC217" s="0"/>
      <c r="AD217" s="0"/>
      <c r="AE217" s="0"/>
    </row>
    <row r="218" customFormat="false" ht="12.75" hidden="false" customHeight="false" outlineLevel="0" collapsed="false">
      <c r="A218" s="431" t="s">
        <v>364</v>
      </c>
      <c r="B218" s="485" t="n">
        <v>0</v>
      </c>
      <c r="C218" s="492" t="n">
        <v>0</v>
      </c>
      <c r="D218" s="492" t="n">
        <v>0</v>
      </c>
      <c r="E218" s="492" t="n">
        <v>0</v>
      </c>
      <c r="F218" s="492" t="n">
        <v>0</v>
      </c>
      <c r="G218" s="492" t="n">
        <v>0</v>
      </c>
      <c r="H218" s="492" t="n">
        <v>0</v>
      </c>
      <c r="I218" s="492" t="n">
        <v>0</v>
      </c>
      <c r="J218" s="492" t="n">
        <v>0</v>
      </c>
      <c r="K218" s="492" t="n">
        <v>0</v>
      </c>
      <c r="L218" s="559" t="n">
        <v>0</v>
      </c>
      <c r="M218" s="556" t="n">
        <f aca="false">M158-M214-M219-L224-M213</f>
        <v>15702.208455095</v>
      </c>
      <c r="N218" s="556" t="n">
        <f aca="false">N158-N214-N219-M224-N213</f>
        <v>17535.8843971335</v>
      </c>
      <c r="O218" s="556" t="n">
        <f aca="false">O158-O214-O219-N224-O213</f>
        <v>19357.6361770612</v>
      </c>
      <c r="P218" s="556" t="n">
        <f aca="false">P158-P214-P219-O224-P213</f>
        <v>20668.4994883719</v>
      </c>
      <c r="Q218" s="556" t="n">
        <f aca="false">Q158-Q214-Q219-P224-Q213</f>
        <v>22116.7209447325</v>
      </c>
      <c r="R218" s="556" t="n">
        <f aca="false">R158-R214-R219-Q224-R213</f>
        <v>24147.1229802923</v>
      </c>
      <c r="S218" s="556" t="n">
        <f aca="false">S158-S214-S219-R224-S213</f>
        <v>24629.7212778659</v>
      </c>
      <c r="T218" s="556" t="n">
        <f aca="false">T158-T214-T219-S224-T213</f>
        <v>24047.8618495029</v>
      </c>
      <c r="U218" s="556" t="n">
        <f aca="false">U158-U214-U219-T224-U213</f>
        <v>21140.0066778677</v>
      </c>
      <c r="V218" s="556" t="n">
        <f aca="false">V158-V214-V219-U224-V213</f>
        <v>18057.9225234185</v>
      </c>
      <c r="W218" s="492"/>
      <c r="X218" s="492"/>
      <c r="Y218" s="492"/>
      <c r="Z218" s="492"/>
      <c r="AA218" s="485"/>
      <c r="AB218" s="0"/>
      <c r="AC218" s="0"/>
      <c r="AD218" s="0"/>
      <c r="AE218" s="0"/>
    </row>
    <row r="219" customFormat="false" ht="12.75" hidden="false" customHeight="false" outlineLevel="0" collapsed="false">
      <c r="A219" s="431" t="s">
        <v>365</v>
      </c>
      <c r="B219" s="486" t="n">
        <v>0</v>
      </c>
      <c r="C219" s="431" t="n">
        <f aca="false">C217*$R$7*0.5</f>
        <v>22174.375</v>
      </c>
      <c r="D219" s="431" t="n">
        <f aca="false">D217*$R$7*0.5</f>
        <v>22174.375</v>
      </c>
      <c r="E219" s="431" t="n">
        <f aca="false">E217*$R$7*0.5</f>
        <v>22174.375</v>
      </c>
      <c r="F219" s="431" t="n">
        <f aca="false">F217*$R$7*0.5</f>
        <v>22174.375</v>
      </c>
      <c r="G219" s="431" t="n">
        <f aca="false">G217*$R$7*0.5</f>
        <v>22174.375</v>
      </c>
      <c r="H219" s="431" t="n">
        <f aca="false">H217*$R$7*0.5</f>
        <v>22174.375</v>
      </c>
      <c r="I219" s="431" t="n">
        <f aca="false">I217*$R$7*0.5</f>
        <v>22174.375</v>
      </c>
      <c r="J219" s="431" t="n">
        <f aca="false">J217*$R$7*0.5</f>
        <v>22174.375</v>
      </c>
      <c r="K219" s="431" t="n">
        <f aca="false">K217*$R$7*0.5</f>
        <v>22174.375</v>
      </c>
      <c r="L219" s="431" t="n">
        <f aca="false">L217*$R$7*5/12</f>
        <v>18478.6458333333</v>
      </c>
      <c r="M219" s="431" t="n">
        <f aca="false">M217*$R$7*0.5</f>
        <v>21355.1122738554</v>
      </c>
      <c r="N219" s="431" t="n">
        <f aca="false">N217*$R$7*0.5</f>
        <v>19620.9147792904</v>
      </c>
      <c r="O219" s="431" t="n">
        <f aca="false">O217*$R$7*0.5</f>
        <v>17695.9953433318</v>
      </c>
      <c r="P219" s="431" t="n">
        <f aca="false">P217*$R$7*0.5</f>
        <v>15607.6317149878</v>
      </c>
      <c r="Q219" s="431" t="n">
        <f aca="false">Q217*$R$7*0.5</f>
        <v>13375.3128388906</v>
      </c>
      <c r="R219" s="431" t="n">
        <f aca="false">R217*$R$7*0.5</f>
        <v>10961.4967821024</v>
      </c>
      <c r="S219" s="431" t="n">
        <f aca="false">S217*$R$7*0.5</f>
        <v>8416.56493293302</v>
      </c>
      <c r="T219" s="431" t="n">
        <f aca="false">T217*$R$7*0.5</f>
        <v>5876.81203326255</v>
      </c>
      <c r="U219" s="431" t="n">
        <f aca="false">U217*$R$7*0.5</f>
        <v>3519.13499284699</v>
      </c>
      <c r="V219" s="431" t="n">
        <f aca="false">V217*$R$7*0.5</f>
        <v>1473.98303676989</v>
      </c>
      <c r="W219" s="431"/>
      <c r="X219" s="431"/>
      <c r="Y219" s="431"/>
      <c r="Z219" s="431"/>
      <c r="AA219" s="485"/>
      <c r="AB219" s="0"/>
      <c r="AC219" s="0"/>
      <c r="AD219" s="0"/>
      <c r="AE219" s="0"/>
    </row>
    <row r="220" customFormat="false" ht="12.75" hidden="false" customHeight="false" outlineLevel="0" collapsed="false">
      <c r="A220" s="431" t="s">
        <v>366</v>
      </c>
      <c r="B220" s="486" t="n">
        <f aca="false">B217-B218</f>
        <v>425000</v>
      </c>
      <c r="C220" s="431" t="n">
        <f aca="false">C217-C218</f>
        <v>425000</v>
      </c>
      <c r="D220" s="431" t="n">
        <f aca="false">D217-D218</f>
        <v>425000</v>
      </c>
      <c r="E220" s="431" t="n">
        <f aca="false">E217-E218</f>
        <v>425000</v>
      </c>
      <c r="F220" s="431" t="n">
        <f aca="false">F217-F218</f>
        <v>425000</v>
      </c>
      <c r="G220" s="431" t="n">
        <f aca="false">G217-G218</f>
        <v>425000</v>
      </c>
      <c r="H220" s="431" t="n">
        <f aca="false">H217-H218</f>
        <v>425000</v>
      </c>
      <c r="I220" s="431" t="n">
        <f aca="false">I217-I218</f>
        <v>425000</v>
      </c>
      <c r="J220" s="431" t="n">
        <f aca="false">J217-J218</f>
        <v>425000</v>
      </c>
      <c r="K220" s="431" t="n">
        <f aca="false">K217-K218</f>
        <v>425000</v>
      </c>
      <c r="L220" s="431" t="n">
        <f aca="false">L217-L218</f>
        <v>425000</v>
      </c>
      <c r="M220" s="431" t="n">
        <f aca="false">M217-M218</f>
        <v>393595.58308981</v>
      </c>
      <c r="N220" s="431" t="n">
        <f aca="false">N217-N218</f>
        <v>358523.814295543</v>
      </c>
      <c r="O220" s="431" t="n">
        <f aca="false">O217-O218</f>
        <v>319808.541941421</v>
      </c>
      <c r="P220" s="431" t="n">
        <f aca="false">P217-P218</f>
        <v>278471.542964677</v>
      </c>
      <c r="Q220" s="431" t="n">
        <f aca="false">Q217-Q218</f>
        <v>234238.101075212</v>
      </c>
      <c r="R220" s="431" t="n">
        <f aca="false">R217-R218</f>
        <v>185943.855114627</v>
      </c>
      <c r="S220" s="431" t="n">
        <f aca="false">S217-S218</f>
        <v>136684.412558895</v>
      </c>
      <c r="T220" s="431" t="n">
        <f aca="false">T217-T218</f>
        <v>88588.6888598896</v>
      </c>
      <c r="U220" s="431" t="n">
        <f aca="false">U217-U218</f>
        <v>46308.6755041542</v>
      </c>
      <c r="V220" s="557" t="n">
        <f aca="false">V217-V218</f>
        <v>10192.8304573173</v>
      </c>
      <c r="W220" s="431"/>
      <c r="X220" s="431"/>
      <c r="Y220" s="431"/>
      <c r="Z220" s="431"/>
      <c r="AA220" s="485"/>
      <c r="AB220" s="0"/>
      <c r="AC220" s="0"/>
      <c r="AD220" s="0"/>
      <c r="AE220" s="0"/>
    </row>
    <row r="221" customFormat="false" ht="12.75" hidden="false" customHeight="false" outlineLevel="0" collapsed="false">
      <c r="A221" s="487" t="s">
        <v>368</v>
      </c>
      <c r="B221" s="486"/>
      <c r="C221" s="431"/>
      <c r="D221" s="431"/>
      <c r="E221" s="431"/>
      <c r="F221" s="431"/>
      <c r="G221" s="431"/>
      <c r="H221" s="431"/>
      <c r="I221" s="431"/>
      <c r="J221" s="431"/>
      <c r="K221" s="431"/>
      <c r="L221" s="431"/>
      <c r="M221" s="431"/>
      <c r="N221" s="431"/>
      <c r="O221" s="431"/>
      <c r="P221" s="431"/>
      <c r="Q221" s="431"/>
      <c r="R221" s="431"/>
      <c r="S221" s="431"/>
      <c r="T221" s="431"/>
      <c r="U221" s="431"/>
      <c r="V221" s="431"/>
      <c r="W221" s="431"/>
      <c r="X221" s="431"/>
      <c r="Y221" s="431"/>
      <c r="Z221" s="431"/>
      <c r="AA221" s="485"/>
      <c r="AB221" s="0"/>
      <c r="AC221" s="0"/>
      <c r="AD221" s="0"/>
      <c r="AE221" s="0"/>
    </row>
    <row r="222" customFormat="false" ht="12.75" hidden="false" customHeight="false" outlineLevel="0" collapsed="false">
      <c r="A222" s="431" t="s">
        <v>363</v>
      </c>
      <c r="B222" s="486" t="n">
        <f aca="false">B220</f>
        <v>425000</v>
      </c>
      <c r="C222" s="431" t="n">
        <f aca="false">C220</f>
        <v>425000</v>
      </c>
      <c r="D222" s="431" t="n">
        <f aca="false">D220</f>
        <v>425000</v>
      </c>
      <c r="E222" s="431" t="n">
        <f aca="false">E220</f>
        <v>425000</v>
      </c>
      <c r="F222" s="431" t="n">
        <f aca="false">F220</f>
        <v>425000</v>
      </c>
      <c r="G222" s="431" t="n">
        <f aca="false">G220</f>
        <v>425000</v>
      </c>
      <c r="H222" s="431" t="n">
        <f aca="false">H220</f>
        <v>425000</v>
      </c>
      <c r="I222" s="431" t="n">
        <f aca="false">I220</f>
        <v>425000</v>
      </c>
      <c r="J222" s="431" t="n">
        <f aca="false">J220</f>
        <v>425000</v>
      </c>
      <c r="K222" s="431" t="n">
        <f aca="false">K220</f>
        <v>425000</v>
      </c>
      <c r="L222" s="431" t="n">
        <f aca="false">L220</f>
        <v>425000</v>
      </c>
      <c r="M222" s="431" t="n">
        <f aca="false">M220</f>
        <v>393595.58308981</v>
      </c>
      <c r="N222" s="431" t="n">
        <f aca="false">N220</f>
        <v>358523.814295543</v>
      </c>
      <c r="O222" s="431" t="n">
        <f aca="false">O220</f>
        <v>319808.541941421</v>
      </c>
      <c r="P222" s="431" t="n">
        <f aca="false">P220</f>
        <v>278471.542964677</v>
      </c>
      <c r="Q222" s="431" t="n">
        <f aca="false">Q220</f>
        <v>234238.101075212</v>
      </c>
      <c r="R222" s="431" t="n">
        <f aca="false">R220</f>
        <v>185943.855114627</v>
      </c>
      <c r="S222" s="431" t="n">
        <f aca="false">S220</f>
        <v>136684.412558895</v>
      </c>
      <c r="T222" s="431" t="n">
        <f aca="false">T220</f>
        <v>88588.6888598896</v>
      </c>
      <c r="U222" s="431" t="n">
        <f aca="false">U220</f>
        <v>46308.6755041542</v>
      </c>
      <c r="V222" s="431" t="n">
        <f aca="false">V220</f>
        <v>10192.8304573173</v>
      </c>
      <c r="W222" s="431"/>
      <c r="X222" s="431"/>
      <c r="Y222" s="431"/>
      <c r="Z222" s="431"/>
      <c r="AA222" s="485"/>
      <c r="AB222" s="0"/>
      <c r="AC222" s="0"/>
      <c r="AD222" s="0"/>
      <c r="AE222" s="0"/>
    </row>
    <row r="223" customFormat="false" ht="12.75" hidden="false" customHeight="false" outlineLevel="0" collapsed="false">
      <c r="A223" s="431" t="s">
        <v>374</v>
      </c>
      <c r="B223" s="486" t="n">
        <f aca="false">B212*5/12*C158</f>
        <v>0</v>
      </c>
      <c r="C223" s="431" t="n">
        <v>0</v>
      </c>
      <c r="D223" s="431" t="n">
        <v>0</v>
      </c>
      <c r="E223" s="431" t="n">
        <v>0</v>
      </c>
      <c r="F223" s="431" t="n">
        <v>0</v>
      </c>
      <c r="G223" s="431" t="n">
        <v>0</v>
      </c>
      <c r="H223" s="431" t="n">
        <v>0</v>
      </c>
      <c r="I223" s="431" t="n">
        <v>0</v>
      </c>
      <c r="J223" s="431" t="n">
        <v>0</v>
      </c>
      <c r="K223" s="431" t="n">
        <v>0</v>
      </c>
      <c r="L223" s="431" t="n">
        <v>0</v>
      </c>
      <c r="M223" s="431" t="n">
        <v>0</v>
      </c>
      <c r="N223" s="431" t="n">
        <v>0</v>
      </c>
      <c r="O223" s="431" t="n">
        <v>0</v>
      </c>
      <c r="P223" s="431" t="n">
        <v>0</v>
      </c>
      <c r="Q223" s="431" t="n">
        <v>0</v>
      </c>
      <c r="R223" s="431" t="n">
        <v>0</v>
      </c>
      <c r="S223" s="431" t="n">
        <v>0</v>
      </c>
      <c r="T223" s="431" t="n">
        <v>0</v>
      </c>
      <c r="U223" s="431" t="n">
        <v>0</v>
      </c>
      <c r="V223" s="431" t="n">
        <v>0</v>
      </c>
      <c r="W223" s="431"/>
      <c r="X223" s="431"/>
      <c r="Y223" s="431"/>
      <c r="Z223" s="431"/>
      <c r="AA223" s="485"/>
      <c r="AB223" s="0"/>
      <c r="AC223" s="0"/>
      <c r="AD223" s="0"/>
      <c r="AE223" s="0"/>
    </row>
    <row r="224" customFormat="false" ht="12.75" hidden="false" customHeight="false" outlineLevel="0" collapsed="false">
      <c r="A224" s="431" t="s">
        <v>370</v>
      </c>
      <c r="B224" s="486" t="n">
        <f aca="false">B222*$R$7*3/12</f>
        <v>11087.1875</v>
      </c>
      <c r="C224" s="431" t="n">
        <f aca="false">C222*$R$7*5/12</f>
        <v>18478.6458333333</v>
      </c>
      <c r="D224" s="431" t="n">
        <f aca="false">D222*$R$7*5/12</f>
        <v>18478.6458333333</v>
      </c>
      <c r="E224" s="431" t="n">
        <f aca="false">E222*$R$7*5/12</f>
        <v>18478.6458333333</v>
      </c>
      <c r="F224" s="431" t="n">
        <f aca="false">F222*$R$7*5/12</f>
        <v>18478.6458333333</v>
      </c>
      <c r="G224" s="431" t="n">
        <f aca="false">G222*$R$7*5/12</f>
        <v>18478.6458333333</v>
      </c>
      <c r="H224" s="431" t="n">
        <f aca="false">H222*$R$7*5/12</f>
        <v>18478.6458333333</v>
      </c>
      <c r="I224" s="431" t="n">
        <f aca="false">I222*$R$7*5/12</f>
        <v>18478.6458333333</v>
      </c>
      <c r="J224" s="431" t="n">
        <f aca="false">J222*$R$7*5/12</f>
        <v>18478.6458333333</v>
      </c>
      <c r="K224" s="431" t="n">
        <f aca="false">K222*$R$7*5/12</f>
        <v>18478.6458333333</v>
      </c>
      <c r="L224" s="431" t="n">
        <f aca="false">L222*$R$7*6/12</f>
        <v>22174.375</v>
      </c>
      <c r="M224" s="431" t="n">
        <f aca="false">M222*$R$7*5/12</f>
        <v>17113.2079564257</v>
      </c>
      <c r="N224" s="431" t="n">
        <f aca="false">N222*$R$7*5/12</f>
        <v>15588.316675725</v>
      </c>
      <c r="O224" s="431" t="n">
        <f aca="false">O222*$R$7*5/12</f>
        <v>13905.0088964947</v>
      </c>
      <c r="P224" s="431" t="n">
        <f aca="false">P222*$R$7*5/12</f>
        <v>12107.710628485</v>
      </c>
      <c r="Q224" s="431" t="n">
        <f aca="false">Q222*$R$7*5/12</f>
        <v>10184.4774363326</v>
      </c>
      <c r="R224" s="431" t="n">
        <f aca="false">R222*$R$7*5/12</f>
        <v>8084.6838671714</v>
      </c>
      <c r="S224" s="431" t="n">
        <f aca="false">S222*$R$7*5/12</f>
        <v>5942.92435438364</v>
      </c>
      <c r="T224" s="492" t="n">
        <f aca="false">T222*$R$7*5/12</f>
        <v>3851.76236772061</v>
      </c>
      <c r="U224" s="431" t="n">
        <f aca="false">U222*$R$7*5/12</f>
        <v>2013.46262035771</v>
      </c>
      <c r="V224" s="431" t="n">
        <f aca="false">V222*$R$7*5/12</f>
        <v>443.175774258776</v>
      </c>
      <c r="W224" s="431"/>
      <c r="X224" s="431"/>
      <c r="Y224" s="431"/>
      <c r="Z224" s="431"/>
      <c r="AA224" s="485"/>
      <c r="AB224" s="0"/>
      <c r="AC224" s="0"/>
      <c r="AD224" s="0"/>
      <c r="AE224" s="0"/>
    </row>
    <row r="225" customFormat="false" ht="12.75" hidden="false" customHeight="false" outlineLevel="0" collapsed="false">
      <c r="A225" s="431" t="s">
        <v>366</v>
      </c>
      <c r="B225" s="431" t="n">
        <f aca="false">B222-B223</f>
        <v>425000</v>
      </c>
      <c r="C225" s="431" t="n">
        <f aca="false">C222-C223</f>
        <v>425000</v>
      </c>
      <c r="D225" s="431" t="n">
        <f aca="false">D222-D223</f>
        <v>425000</v>
      </c>
      <c r="E225" s="431" t="n">
        <f aca="false">E222-E223</f>
        <v>425000</v>
      </c>
      <c r="F225" s="431" t="n">
        <f aca="false">F222-F223</f>
        <v>425000</v>
      </c>
      <c r="G225" s="431" t="n">
        <f aca="false">G222-G223</f>
        <v>425000</v>
      </c>
      <c r="H225" s="431" t="n">
        <f aca="false">H222-H223</f>
        <v>425000</v>
      </c>
      <c r="I225" s="431" t="n">
        <f aca="false">I222-I223</f>
        <v>425000</v>
      </c>
      <c r="J225" s="431" t="n">
        <f aca="false">J222-J223</f>
        <v>425000</v>
      </c>
      <c r="K225" s="431" t="n">
        <f aca="false">K222-K223</f>
        <v>425000</v>
      </c>
      <c r="L225" s="431" t="n">
        <f aca="false">L222-L223</f>
        <v>425000</v>
      </c>
      <c r="M225" s="431" t="n">
        <f aca="false">M222-M223</f>
        <v>393595.58308981</v>
      </c>
      <c r="N225" s="431" t="n">
        <f aca="false">N222-N223</f>
        <v>358523.814295543</v>
      </c>
      <c r="O225" s="431" t="n">
        <f aca="false">O222-O223</f>
        <v>319808.541941421</v>
      </c>
      <c r="P225" s="431" t="n">
        <f aca="false">P222-P223</f>
        <v>278471.542964677</v>
      </c>
      <c r="Q225" s="431" t="n">
        <f aca="false">Q222-Q223</f>
        <v>234238.101075212</v>
      </c>
      <c r="R225" s="431" t="n">
        <f aca="false">R222-R223</f>
        <v>185943.855114627</v>
      </c>
      <c r="S225" s="431" t="n">
        <f aca="false">S222-S223</f>
        <v>136684.412558895</v>
      </c>
      <c r="T225" s="431" t="n">
        <f aca="false">T222-T223</f>
        <v>88588.6888598896</v>
      </c>
      <c r="U225" s="431" t="n">
        <f aca="false">U222-U223</f>
        <v>46308.6755041542</v>
      </c>
      <c r="V225" s="431" t="n">
        <f aca="false">V222-V223</f>
        <v>10192.8304573173</v>
      </c>
      <c r="W225" s="431"/>
      <c r="X225" s="431"/>
      <c r="Y225" s="431"/>
      <c r="Z225" s="431"/>
      <c r="AA225" s="485"/>
      <c r="AB225" s="0"/>
      <c r="AC225" s="0"/>
      <c r="AD225" s="0"/>
      <c r="AE225" s="0"/>
    </row>
    <row r="226" customFormat="false" ht="12.75" hidden="false" customHeight="false" outlineLevel="0" collapsed="false">
      <c r="A226" s="431"/>
      <c r="B226" s="431"/>
      <c r="C226" s="431"/>
      <c r="D226" s="431"/>
      <c r="E226" s="431"/>
      <c r="F226" s="431"/>
      <c r="G226" s="431"/>
      <c r="H226" s="431"/>
      <c r="I226" s="431"/>
      <c r="J226" s="431"/>
      <c r="K226" s="431"/>
      <c r="L226" s="431"/>
      <c r="M226" s="431"/>
      <c r="N226" s="431"/>
      <c r="O226" s="431"/>
      <c r="P226" s="431"/>
      <c r="Q226" s="431"/>
      <c r="R226" s="431"/>
      <c r="S226" s="431"/>
      <c r="T226" s="431"/>
      <c r="U226" s="431"/>
      <c r="V226" s="431"/>
      <c r="W226" s="431"/>
      <c r="X226" s="431"/>
      <c r="Y226" s="431"/>
      <c r="Z226" s="431"/>
      <c r="AA226" s="485"/>
      <c r="AB226" s="0"/>
      <c r="AC226" s="0"/>
      <c r="AD226" s="0"/>
      <c r="AE226" s="0"/>
    </row>
    <row r="227" customFormat="false" ht="12.75" hidden="false" customHeight="false" outlineLevel="0" collapsed="false">
      <c r="A227" s="488" t="s">
        <v>371</v>
      </c>
      <c r="B227" s="431" t="n">
        <v>0</v>
      </c>
      <c r="C227" s="431" t="n">
        <f aca="false">C214+C219+B224</f>
        <v>36957.2916666667</v>
      </c>
      <c r="D227" s="431" t="n">
        <f aca="false">D214+D219+C224</f>
        <v>44348.75</v>
      </c>
      <c r="E227" s="431" t="n">
        <f aca="false">E214+E219+D224</f>
        <v>44348.75</v>
      </c>
      <c r="F227" s="431" t="n">
        <f aca="false">F214+F219+E224</f>
        <v>44348.75</v>
      </c>
      <c r="G227" s="431" t="n">
        <f aca="false">G214+G219+F224</f>
        <v>44348.75</v>
      </c>
      <c r="H227" s="431" t="n">
        <f aca="false">H214+H219+G224</f>
        <v>44348.75</v>
      </c>
      <c r="I227" s="431" t="n">
        <f aca="false">I214+I219+H224</f>
        <v>44348.75</v>
      </c>
      <c r="J227" s="431" t="n">
        <f aca="false">J214+J219+I224</f>
        <v>44348.75</v>
      </c>
      <c r="K227" s="431" t="n">
        <f aca="false">K214+K219+J224</f>
        <v>44348.75</v>
      </c>
      <c r="L227" s="431" t="n">
        <f aca="false">L214+L219+K224</f>
        <v>40653.0208333333</v>
      </c>
      <c r="M227" s="431" t="n">
        <f aca="false">M214+M219+L224</f>
        <v>47225.2164405221</v>
      </c>
      <c r="N227" s="431" t="n">
        <f aca="false">N214+N219+M224</f>
        <v>40156.7643270012</v>
      </c>
      <c r="O227" s="431" t="n">
        <f aca="false">O214+O219+N224</f>
        <v>36401.9753542017</v>
      </c>
      <c r="P227" s="431" t="n">
        <f aca="false">P214+P219+O224</f>
        <v>32293.6423907814</v>
      </c>
      <c r="Q227" s="431" t="n">
        <f aca="false">Q214+Q219+P224</f>
        <v>27904.5655930726</v>
      </c>
      <c r="R227" s="431" t="n">
        <f aca="false">R214+R219+Q224</f>
        <v>23182.8697057016</v>
      </c>
      <c r="S227" s="431" t="n">
        <f aca="false">S214+S219+R224</f>
        <v>18118.1855735387</v>
      </c>
      <c r="T227" s="431" t="n">
        <f aca="false">T214+T219+S224</f>
        <v>13008.3212585229</v>
      </c>
      <c r="U227" s="431" t="n">
        <f aca="false">U214+U219+T224</f>
        <v>8141.24983411173</v>
      </c>
      <c r="V227" s="431" t="n">
        <f aca="false">V214+V219+U224</f>
        <v>3890.13818119914</v>
      </c>
      <c r="W227" s="431"/>
      <c r="X227" s="431"/>
      <c r="Y227" s="431"/>
      <c r="Z227" s="431"/>
      <c r="AA227" s="485"/>
      <c r="AB227" s="0"/>
      <c r="AC227" s="0"/>
      <c r="AD227" s="0"/>
      <c r="AE227" s="0"/>
    </row>
    <row r="228" customFormat="false" ht="12.75" hidden="false" customHeight="false" outlineLevel="0" collapsed="false">
      <c r="A228" s="385" t="s">
        <v>372</v>
      </c>
      <c r="B228" s="431" t="n">
        <f aca="false">B214+B219+B224</f>
        <v>11087.1875</v>
      </c>
      <c r="C228" s="431" t="n">
        <f aca="false">C214+C219+C224</f>
        <v>44348.75</v>
      </c>
      <c r="D228" s="431" t="n">
        <f aca="false">D214+D219+D224</f>
        <v>44348.75</v>
      </c>
      <c r="E228" s="431" t="n">
        <f aca="false">E214+E219+E224</f>
        <v>44348.75</v>
      </c>
      <c r="F228" s="431" t="n">
        <f aca="false">F214+F219+F224</f>
        <v>44348.75</v>
      </c>
      <c r="G228" s="431" t="n">
        <f aca="false">G214+G219+G224</f>
        <v>44348.75</v>
      </c>
      <c r="H228" s="431" t="n">
        <f aca="false">H214+H219+H224</f>
        <v>44348.75</v>
      </c>
      <c r="I228" s="431" t="n">
        <f aca="false">I214+I219+I224</f>
        <v>44348.75</v>
      </c>
      <c r="J228" s="431" t="n">
        <f aca="false">J214+J219+J224</f>
        <v>44348.75</v>
      </c>
      <c r="K228" s="431" t="n">
        <f aca="false">K214+K219+K224</f>
        <v>44348.75</v>
      </c>
      <c r="L228" s="431" t="n">
        <f aca="false">L214+L219+L224</f>
        <v>44348.75</v>
      </c>
      <c r="M228" s="431" t="n">
        <f aca="false">M214+M219+M224</f>
        <v>42164.0493969478</v>
      </c>
      <c r="N228" s="431" t="n">
        <f aca="false">N214+N219+N224</f>
        <v>38631.8730463005</v>
      </c>
      <c r="O228" s="431" t="n">
        <f aca="false">O214+O219+O224</f>
        <v>34718.6675749715</v>
      </c>
      <c r="P228" s="431" t="n">
        <f aca="false">P214+P219+P224</f>
        <v>30496.3441227718</v>
      </c>
      <c r="Q228" s="431" t="n">
        <f aca="false">Q214+Q219+Q224</f>
        <v>25981.3324009202</v>
      </c>
      <c r="R228" s="431" t="n">
        <f aca="false">R214+R219+R224</f>
        <v>21083.0761365404</v>
      </c>
      <c r="S228" s="431" t="n">
        <f aca="false">S214+S219+S224</f>
        <v>15976.4260607509</v>
      </c>
      <c r="T228" s="431" t="n">
        <f aca="false">T214+T219+T224</f>
        <v>10917.1592718599</v>
      </c>
      <c r="U228" s="431" t="n">
        <f aca="false">U214+U219+U224</f>
        <v>6302.95008674882</v>
      </c>
      <c r="V228" s="431" t="n">
        <f aca="false">V214+V219+V224</f>
        <v>2319.85133510021</v>
      </c>
      <c r="AA228" s="1"/>
      <c r="AB228" s="0"/>
      <c r="AC228" s="0"/>
      <c r="AD228" s="0"/>
      <c r="AE228" s="0"/>
    </row>
    <row r="229" customFormat="false" ht="12.75" hidden="false" customHeight="false" outlineLevel="0" collapsed="false">
      <c r="A229" s="488" t="s">
        <v>373</v>
      </c>
      <c r="B229" s="486" t="n">
        <f aca="false">B213+B218</f>
        <v>0</v>
      </c>
      <c r="C229" s="486" t="n">
        <f aca="false">C213+C218+B223</f>
        <v>0</v>
      </c>
      <c r="D229" s="486" t="n">
        <f aca="false">D213+D218+C223</f>
        <v>0</v>
      </c>
      <c r="E229" s="486" t="n">
        <f aca="false">E213+E218+D223</f>
        <v>0</v>
      </c>
      <c r="F229" s="486" t="n">
        <f aca="false">F213+F218+E223</f>
        <v>0</v>
      </c>
      <c r="G229" s="486" t="n">
        <f aca="false">G213+G218+F223</f>
        <v>0</v>
      </c>
      <c r="H229" s="486" t="n">
        <f aca="false">H213+H218+G223</f>
        <v>0</v>
      </c>
      <c r="I229" s="486" t="n">
        <f aca="false">I213+I218+H223</f>
        <v>0</v>
      </c>
      <c r="J229" s="486" t="n">
        <f aca="false">J213+J218+I223</f>
        <v>0</v>
      </c>
      <c r="K229" s="486" t="n">
        <f aca="false">K213+K218+J223</f>
        <v>0</v>
      </c>
      <c r="L229" s="486" t="n">
        <f aca="false">L213+L218+K223</f>
        <v>0</v>
      </c>
      <c r="M229" s="486" t="n">
        <f aca="false">M213+M218+L223</f>
        <v>31404.4169101901</v>
      </c>
      <c r="N229" s="486" t="n">
        <f aca="false">N213+N218+M223</f>
        <v>35071.7687942671</v>
      </c>
      <c r="O229" s="486" t="n">
        <f aca="false">O213+O218+N223</f>
        <v>38715.2723541224</v>
      </c>
      <c r="P229" s="486" t="n">
        <f aca="false">P213+P218+O223</f>
        <v>41336.9989767438</v>
      </c>
      <c r="Q229" s="486" t="n">
        <f aca="false">Q213+Q218+P223</f>
        <v>44233.441889465</v>
      </c>
      <c r="R229" s="486" t="n">
        <f aca="false">R213+R218+Q223</f>
        <v>48294.2459605846</v>
      </c>
      <c r="S229" s="486" t="n">
        <f aca="false">S213+S218+R223</f>
        <v>49259.4425557319</v>
      </c>
      <c r="T229" s="486" t="n">
        <f aca="false">T213+T218+S223</f>
        <v>48095.7236990058</v>
      </c>
      <c r="U229" s="486" t="n">
        <f aca="false">U213+U218+T223</f>
        <v>42280.0133557353</v>
      </c>
      <c r="V229" s="486" t="n">
        <f aca="false">V213+V218+U223</f>
        <v>36115.8450468369</v>
      </c>
      <c r="AA229" s="1"/>
      <c r="AB229" s="0"/>
      <c r="AC229" s="0"/>
      <c r="AD229" s="0"/>
      <c r="AE229" s="0"/>
    </row>
    <row r="230" customFormat="false" ht="12.75" hidden="false" customHeight="false" outlineLevel="0" collapsed="false">
      <c r="A230" s="385" t="s">
        <v>369</v>
      </c>
      <c r="B230" s="431" t="n">
        <f aca="false">B223</f>
        <v>0</v>
      </c>
      <c r="C230" s="431" t="n">
        <f aca="false">C223</f>
        <v>0</v>
      </c>
      <c r="D230" s="431" t="n">
        <f aca="false">D223</f>
        <v>0</v>
      </c>
      <c r="E230" s="431" t="n">
        <f aca="false">E223</f>
        <v>0</v>
      </c>
      <c r="F230" s="431" t="n">
        <f aca="false">F223</f>
        <v>0</v>
      </c>
      <c r="G230" s="431" t="n">
        <f aca="false">G223</f>
        <v>0</v>
      </c>
      <c r="H230" s="431" t="n">
        <f aca="false">H223</f>
        <v>0</v>
      </c>
      <c r="I230" s="431" t="n">
        <f aca="false">I223</f>
        <v>0</v>
      </c>
      <c r="J230" s="431" t="n">
        <f aca="false">J223</f>
        <v>0</v>
      </c>
      <c r="K230" s="431" t="n">
        <f aca="false">K223</f>
        <v>0</v>
      </c>
      <c r="L230" s="431" t="n">
        <f aca="false">L223</f>
        <v>0</v>
      </c>
      <c r="M230" s="431" t="n">
        <f aca="false">M223</f>
        <v>0</v>
      </c>
      <c r="N230" s="431" t="n">
        <f aca="false">N223</f>
        <v>0</v>
      </c>
      <c r="O230" s="431" t="n">
        <f aca="false">O223</f>
        <v>0</v>
      </c>
      <c r="P230" s="431" t="n">
        <f aca="false">P223</f>
        <v>0</v>
      </c>
      <c r="Q230" s="431" t="n">
        <f aca="false">Q223</f>
        <v>0</v>
      </c>
      <c r="R230" s="431" t="n">
        <f aca="false">R223</f>
        <v>0</v>
      </c>
      <c r="S230" s="431" t="n">
        <f aca="false">S223</f>
        <v>0</v>
      </c>
      <c r="T230" s="431" t="n">
        <f aca="false">T223</f>
        <v>0</v>
      </c>
      <c r="U230" s="431" t="n">
        <f aca="false">U223</f>
        <v>0</v>
      </c>
      <c r="V230" s="431" t="n">
        <f aca="false">V223</f>
        <v>0</v>
      </c>
      <c r="AA230" s="1"/>
      <c r="AB230" s="0"/>
      <c r="AC230" s="0"/>
      <c r="AD230" s="0"/>
      <c r="AE230" s="0"/>
    </row>
    <row r="231" customFormat="false" ht="12.75" hidden="false" customHeight="false" outlineLevel="0" collapsed="false">
      <c r="A231" s="0"/>
      <c r="B231" s="0"/>
      <c r="C231" s="0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</row>
    <row r="232" customFormat="false" ht="12.75" hidden="false" customHeight="false" outlineLevel="0" collapsed="false">
      <c r="A232" s="0"/>
      <c r="B232" s="0"/>
      <c r="C232" s="0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</row>
    <row r="233" customFormat="false" ht="12.75" hidden="false" customHeight="false" outlineLevel="0" collapsed="false">
      <c r="A233" s="495" t="s">
        <v>289</v>
      </c>
      <c r="B233" s="496" t="n">
        <v>0</v>
      </c>
      <c r="C233" s="496" t="n">
        <f aca="false">C140+C154</f>
        <v>89715.843466456</v>
      </c>
      <c r="D233" s="496" t="n">
        <f aca="false">D140+D154</f>
        <v>122372.11600516</v>
      </c>
      <c r="E233" s="496" t="n">
        <f aca="false">E140+E154</f>
        <v>121860.672632795</v>
      </c>
      <c r="F233" s="496" t="n">
        <f aca="false">F140+F154</f>
        <v>187651.640149133</v>
      </c>
      <c r="G233" s="496" t="n">
        <f aca="false">G140+G154</f>
        <v>190109.102175011</v>
      </c>
      <c r="H233" s="496" t="n">
        <f aca="false">H140+H154</f>
        <v>193591.992963032</v>
      </c>
      <c r="I233" s="496" t="n">
        <f aca="false">I140+I154</f>
        <v>194788.062797385</v>
      </c>
      <c r="J233" s="496" t="n">
        <f aca="false">J140+J154</f>
        <v>199203.15022056</v>
      </c>
      <c r="K233" s="496" t="n">
        <f aca="false">K140+K154</f>
        <v>201177.532601569</v>
      </c>
      <c r="L233" s="496" t="n">
        <f aca="false">L140+L154</f>
        <v>205855.995429301</v>
      </c>
      <c r="M233" s="496" t="n">
        <f aca="false">M140+M154</f>
        <v>206645.906238297</v>
      </c>
      <c r="N233" s="496" t="n">
        <f aca="false">N140+N154</f>
        <v>211414.538031109</v>
      </c>
      <c r="O233" s="496" t="n">
        <f aca="false">O140+O154</f>
        <v>213506.786652741</v>
      </c>
      <c r="P233" s="496" t="n">
        <f aca="false">P140+P154</f>
        <v>214835.547615443</v>
      </c>
      <c r="Q233" s="496" t="n">
        <f aca="false">Q140+Q154</f>
        <v>216468.363466035</v>
      </c>
      <c r="R233" s="496" t="n">
        <f aca="false">R140+R154</f>
        <v>218387.20496215</v>
      </c>
      <c r="S233" s="496" t="n">
        <f aca="false">S140+S154</f>
        <v>220305.410284444</v>
      </c>
      <c r="T233" s="496" t="n">
        <f aca="false">T140+T154</f>
        <v>222191.208984475</v>
      </c>
      <c r="U233" s="496" t="n">
        <f aca="false">U140+U154</f>
        <v>223808.309370617</v>
      </c>
      <c r="V233" s="496" t="n">
        <f aca="false">V140+V154</f>
        <v>223087.610196391</v>
      </c>
      <c r="W233" s="0"/>
      <c r="X233" s="0"/>
      <c r="Y233" s="0"/>
      <c r="Z233" s="0"/>
      <c r="AA233" s="0"/>
      <c r="AB233" s="0"/>
      <c r="AC233" s="0"/>
      <c r="AD233" s="0"/>
      <c r="AE233" s="0"/>
    </row>
    <row r="234" customFormat="false" ht="12.75" hidden="false" customHeight="false" outlineLevel="0" collapsed="false">
      <c r="A234" s="401"/>
      <c r="B234" s="497"/>
      <c r="C234" s="497"/>
      <c r="D234" s="497"/>
      <c r="E234" s="497"/>
      <c r="F234" s="497"/>
      <c r="G234" s="497"/>
      <c r="H234" s="497"/>
      <c r="I234" s="497"/>
      <c r="J234" s="497"/>
      <c r="K234" s="497"/>
      <c r="L234" s="497"/>
      <c r="M234" s="497"/>
      <c r="N234" s="497"/>
      <c r="O234" s="497"/>
      <c r="P234" s="497"/>
      <c r="Q234" s="497"/>
      <c r="R234" s="497"/>
      <c r="S234" s="497"/>
      <c r="T234" s="497"/>
      <c r="U234" s="497"/>
      <c r="V234" s="497"/>
      <c r="W234" s="0"/>
      <c r="X234" s="0"/>
      <c r="Y234" s="0"/>
      <c r="Z234" s="0"/>
      <c r="AA234" s="0"/>
      <c r="AB234" s="0"/>
      <c r="AC234" s="0"/>
      <c r="AD234" s="0"/>
      <c r="AE234" s="0"/>
    </row>
    <row r="235" customFormat="false" ht="12.75" hidden="false" customHeight="false" outlineLevel="0" collapsed="false">
      <c r="A235" s="497" t="s">
        <v>375</v>
      </c>
      <c r="B235" s="497" t="n">
        <f aca="false">B181+B167+B172</f>
        <v>0</v>
      </c>
      <c r="C235" s="497" t="n">
        <f aca="false">C181+C183</f>
        <v>-4325.93515754085</v>
      </c>
      <c r="D235" s="497" t="n">
        <f aca="false">D181+D183</f>
        <v>30224.0551805675</v>
      </c>
      <c r="E235" s="497" t="n">
        <f aca="false">E181+E183</f>
        <v>29735.7601914535</v>
      </c>
      <c r="F235" s="497" t="n">
        <f aca="false">F181+F183</f>
        <v>-42629.5272005733</v>
      </c>
      <c r="G235" s="497" t="n">
        <f aca="false">G181+G183</f>
        <v>9021.64769390403</v>
      </c>
      <c r="H235" s="497" t="n">
        <f aca="false">H181+H183</f>
        <v>9021.64769390403</v>
      </c>
      <c r="I235" s="497" t="n">
        <f aca="false">I181+I183</f>
        <v>9021.64769390403</v>
      </c>
      <c r="J235" s="497" t="n">
        <f aca="false">J181+J183</f>
        <v>9021.64769390403</v>
      </c>
      <c r="K235" s="497" t="n">
        <f aca="false">K181+K183</f>
        <v>9021.64769390403</v>
      </c>
      <c r="L235" s="497" t="n">
        <f aca="false">L181+L183</f>
        <v>9021.64769390403</v>
      </c>
      <c r="M235" s="497" t="n">
        <f aca="false">M181+M183</f>
        <v>9021.64769390403</v>
      </c>
      <c r="N235" s="497" t="n">
        <f aca="false">N181+N183</f>
        <v>9021.64769390403</v>
      </c>
      <c r="O235" s="497" t="n">
        <f aca="false">O181+O183</f>
        <v>9021.64769390403</v>
      </c>
      <c r="P235" s="497" t="n">
        <f aca="false">P181+P183</f>
        <v>9021.64769390403</v>
      </c>
      <c r="Q235" s="497" t="n">
        <f aca="false">Q181+Q183</f>
        <v>9021.64769390403</v>
      </c>
      <c r="R235" s="497" t="n">
        <f aca="false">R181+R183</f>
        <v>9021.64769390403</v>
      </c>
      <c r="S235" s="497" t="n">
        <f aca="false">S181+S183</f>
        <v>9021.64769390403</v>
      </c>
      <c r="T235" s="497" t="n">
        <f aca="false">T181+T183</f>
        <v>9021.64769390403</v>
      </c>
      <c r="U235" s="497" t="n">
        <f aca="false">U181+U183</f>
        <v>9021.64769390403</v>
      </c>
      <c r="V235" s="497" t="n">
        <f aca="false">V181+V183</f>
        <v>9021.64769390403</v>
      </c>
      <c r="W235" s="0"/>
      <c r="X235" s="0"/>
      <c r="Y235" s="0"/>
      <c r="Z235" s="0"/>
      <c r="AA235" s="0"/>
      <c r="AB235" s="0"/>
      <c r="AC235" s="0"/>
      <c r="AD235" s="0"/>
      <c r="AE235" s="0"/>
    </row>
    <row r="236" customFormat="false" ht="12.75" hidden="false" customHeight="false" outlineLevel="0" collapsed="false">
      <c r="A236" s="497" t="s">
        <v>376</v>
      </c>
      <c r="B236" s="497" t="n">
        <f aca="false">B204+B190+B195</f>
        <v>0</v>
      </c>
      <c r="C236" s="497" t="n">
        <f aca="false">C204+C206</f>
        <v>17010</v>
      </c>
      <c r="D236" s="497" t="n">
        <f aca="false">D204+D206</f>
        <v>20412</v>
      </c>
      <c r="E236" s="497" t="n">
        <f aca="false">E204+E206</f>
        <v>20412</v>
      </c>
      <c r="F236" s="497" t="n">
        <f aca="false">F204+F206</f>
        <v>82494.3555294789</v>
      </c>
      <c r="G236" s="497" t="n">
        <f aca="false">G204+G206</f>
        <v>39876.1363201075</v>
      </c>
      <c r="H236" s="497" t="n">
        <f aca="false">H204+H206</f>
        <v>41673.4364657846</v>
      </c>
      <c r="I236" s="497" t="n">
        <f aca="false">I204+I206</f>
        <v>40580.0841930493</v>
      </c>
      <c r="J236" s="497" t="n">
        <f aca="false">J204+J206</f>
        <v>41109.6227076186</v>
      </c>
      <c r="K236" s="497" t="n">
        <f aca="false">K204+K206</f>
        <v>41187.1273695758</v>
      </c>
      <c r="L236" s="497" t="n">
        <f aca="false">L204+L206</f>
        <v>-18676.6098932522</v>
      </c>
      <c r="M236" s="497" t="n">
        <f aca="false">M204+M206</f>
        <v>0</v>
      </c>
      <c r="N236" s="497" t="n">
        <f aca="false">N204+N206</f>
        <v>0</v>
      </c>
      <c r="O236" s="497" t="n">
        <f aca="false">O204+O206</f>
        <v>0</v>
      </c>
      <c r="P236" s="497" t="n">
        <f aca="false">P204+P206</f>
        <v>0</v>
      </c>
      <c r="Q236" s="497" t="n">
        <f aca="false">Q204+Q206</f>
        <v>0</v>
      </c>
      <c r="R236" s="497" t="n">
        <f aca="false">R204+R206</f>
        <v>0</v>
      </c>
      <c r="S236" s="497" t="n">
        <f aca="false">S204+S206</f>
        <v>0</v>
      </c>
      <c r="T236" s="497" t="n">
        <f aca="false">T204+T206</f>
        <v>0</v>
      </c>
      <c r="U236" s="497" t="n">
        <f aca="false">U204+U206</f>
        <v>0</v>
      </c>
      <c r="V236" s="497" t="n">
        <f aca="false">V204+V206</f>
        <v>0</v>
      </c>
      <c r="W236" s="0"/>
      <c r="X236" s="0"/>
      <c r="Y236" s="0"/>
      <c r="Z236" s="0"/>
      <c r="AA236" s="0"/>
      <c r="AB236" s="0"/>
      <c r="AC236" s="0"/>
      <c r="AD236" s="0"/>
      <c r="AE236" s="0"/>
    </row>
    <row r="237" customFormat="false" ht="12.75" hidden="false" customHeight="false" outlineLevel="0" collapsed="false">
      <c r="A237" s="497" t="s">
        <v>377</v>
      </c>
      <c r="B237" s="497" t="n">
        <f aca="false">B227+B213+B218</f>
        <v>0</v>
      </c>
      <c r="C237" s="497" t="n">
        <f aca="false">C227+C229</f>
        <v>36957.2916666667</v>
      </c>
      <c r="D237" s="497" t="n">
        <f aca="false">D227+D229</f>
        <v>44348.75</v>
      </c>
      <c r="E237" s="497" t="n">
        <f aca="false">E227+E229</f>
        <v>44348.75</v>
      </c>
      <c r="F237" s="497" t="n">
        <f aca="false">F227+F229</f>
        <v>44348.75</v>
      </c>
      <c r="G237" s="497" t="n">
        <f aca="false">G227+G229</f>
        <v>44348.75</v>
      </c>
      <c r="H237" s="497" t="n">
        <f aca="false">H227+H229</f>
        <v>44348.75</v>
      </c>
      <c r="I237" s="497" t="n">
        <f aca="false">I227+I229</f>
        <v>44348.75</v>
      </c>
      <c r="J237" s="497" t="n">
        <f aca="false">J227+J229</f>
        <v>44348.75</v>
      </c>
      <c r="K237" s="497" t="n">
        <f aca="false">K227+K229</f>
        <v>44348.75</v>
      </c>
      <c r="L237" s="497" t="n">
        <f aca="false">L227+L229</f>
        <v>40653.0208333333</v>
      </c>
      <c r="M237" s="497" t="n">
        <f aca="false">M227+M229</f>
        <v>78629.6333507122</v>
      </c>
      <c r="N237" s="497" t="n">
        <f aca="false">N227+N229</f>
        <v>75228.5331212683</v>
      </c>
      <c r="O237" s="497" t="n">
        <f aca="false">O227+O229</f>
        <v>75117.2477083241</v>
      </c>
      <c r="P237" s="497" t="n">
        <f aca="false">P227+P229</f>
        <v>73630.6413675252</v>
      </c>
      <c r="Q237" s="497" t="n">
        <f aca="false">Q227+Q229</f>
        <v>72138.0074825376</v>
      </c>
      <c r="R237" s="497" t="n">
        <f aca="false">R227+R229</f>
        <v>71477.1156662862</v>
      </c>
      <c r="S237" s="497" t="n">
        <f aca="false">S227+S229</f>
        <v>67377.6281292706</v>
      </c>
      <c r="T237" s="497" t="n">
        <f aca="false">T227+T229</f>
        <v>61104.0449575287</v>
      </c>
      <c r="U237" s="497" t="n">
        <f aca="false">U227+U229</f>
        <v>50421.263189847</v>
      </c>
      <c r="V237" s="497" t="n">
        <f aca="false">V227+V229</f>
        <v>40005.9832280361</v>
      </c>
      <c r="W237" s="0"/>
      <c r="X237" s="0"/>
      <c r="Y237" s="0"/>
      <c r="Z237" s="0"/>
      <c r="AA237" s="0"/>
      <c r="AB237" s="0"/>
      <c r="AC237" s="0"/>
      <c r="AD237" s="0"/>
      <c r="AE237" s="0"/>
    </row>
    <row r="238" customFormat="false" ht="12.75" hidden="false" customHeight="false" outlineLevel="0" collapsed="false">
      <c r="A238" s="401" t="s">
        <v>399</v>
      </c>
      <c r="B238" s="497" t="n">
        <v>0</v>
      </c>
      <c r="C238" s="501" t="n">
        <f aca="false">C102</f>
        <v>-0</v>
      </c>
      <c r="D238" s="497" t="n">
        <v>0</v>
      </c>
      <c r="E238" s="497" t="n">
        <v>0</v>
      </c>
      <c r="F238" s="497" t="n">
        <v>0</v>
      </c>
      <c r="G238" s="497" t="n">
        <v>0</v>
      </c>
      <c r="H238" s="497" t="n">
        <v>0</v>
      </c>
      <c r="I238" s="497" t="n">
        <v>0</v>
      </c>
      <c r="J238" s="497" t="n">
        <v>0</v>
      </c>
      <c r="K238" s="497" t="n">
        <v>0</v>
      </c>
      <c r="L238" s="497" t="n">
        <v>0</v>
      </c>
      <c r="M238" s="497" t="n">
        <v>0</v>
      </c>
      <c r="N238" s="497" t="n">
        <v>0</v>
      </c>
      <c r="O238" s="497" t="n">
        <v>0</v>
      </c>
      <c r="P238" s="497" t="n">
        <v>0</v>
      </c>
      <c r="Q238" s="497" t="n">
        <v>0</v>
      </c>
      <c r="R238" s="497" t="n">
        <v>0</v>
      </c>
      <c r="S238" s="497" t="n">
        <v>0</v>
      </c>
      <c r="T238" s="497" t="n">
        <v>0</v>
      </c>
      <c r="U238" s="497" t="n">
        <v>0</v>
      </c>
      <c r="V238" s="497" t="n">
        <v>0</v>
      </c>
      <c r="W238" s="0"/>
      <c r="X238" s="0"/>
      <c r="Y238" s="0"/>
      <c r="Z238" s="0"/>
      <c r="AA238" s="0"/>
      <c r="AB238" s="0"/>
      <c r="AC238" s="0"/>
      <c r="AD238" s="0"/>
      <c r="AE238" s="0"/>
    </row>
    <row r="239" customFormat="false" ht="12.75" hidden="false" customHeight="false" outlineLevel="0" collapsed="false">
      <c r="A239" s="401" t="s">
        <v>400</v>
      </c>
      <c r="B239" s="497"/>
      <c r="C239" s="501" t="n">
        <f aca="false">C103</f>
        <v>1147.62556847617</v>
      </c>
      <c r="D239" s="501" t="n">
        <f aca="false">-[1]CF!G145</f>
        <v>-0</v>
      </c>
      <c r="E239" s="497"/>
      <c r="F239" s="497"/>
      <c r="G239" s="497"/>
      <c r="H239" s="497"/>
      <c r="I239" s="497"/>
      <c r="J239" s="497"/>
      <c r="K239" s="497"/>
      <c r="L239" s="497"/>
      <c r="M239" s="497"/>
      <c r="N239" s="497"/>
      <c r="O239" s="497"/>
      <c r="P239" s="497"/>
      <c r="Q239" s="497"/>
      <c r="R239" s="497"/>
      <c r="S239" s="497"/>
      <c r="T239" s="497"/>
      <c r="U239" s="497"/>
      <c r="V239" s="497"/>
      <c r="W239" s="0"/>
      <c r="X239" s="0"/>
      <c r="Y239" s="0"/>
      <c r="Z239" s="0"/>
      <c r="AA239" s="0"/>
      <c r="AB239" s="0"/>
      <c r="AC239" s="0"/>
      <c r="AD239" s="0"/>
      <c r="AE239" s="0"/>
    </row>
    <row r="240" customFormat="false" ht="12.75" hidden="false" customHeight="false" outlineLevel="0" collapsed="false">
      <c r="A240" s="401" t="s">
        <v>401</v>
      </c>
      <c r="B240" s="563" t="n">
        <v>0</v>
      </c>
      <c r="C240" s="501" t="n">
        <f aca="false">C104</f>
        <v>-18014.5947013754</v>
      </c>
      <c r="D240" s="563" t="n">
        <v>0</v>
      </c>
      <c r="E240" s="563" t="n">
        <v>0</v>
      </c>
      <c r="F240" s="563" t="n">
        <v>0</v>
      </c>
      <c r="G240" s="563" t="n">
        <v>0</v>
      </c>
      <c r="H240" s="563" t="n">
        <v>0</v>
      </c>
      <c r="I240" s="563" t="n">
        <v>0</v>
      </c>
      <c r="J240" s="563" t="n">
        <v>0</v>
      </c>
      <c r="K240" s="563" t="n">
        <v>0</v>
      </c>
      <c r="L240" s="563" t="n">
        <v>0</v>
      </c>
      <c r="M240" s="563" t="n">
        <v>0</v>
      </c>
      <c r="N240" s="563" t="n">
        <v>0</v>
      </c>
      <c r="O240" s="563" t="n">
        <v>0</v>
      </c>
      <c r="P240" s="563" t="n">
        <v>0</v>
      </c>
      <c r="Q240" s="563" t="n">
        <v>0</v>
      </c>
      <c r="R240" s="563" t="n">
        <v>0</v>
      </c>
      <c r="S240" s="563" t="n">
        <v>0</v>
      </c>
      <c r="T240" s="563" t="n">
        <v>0</v>
      </c>
      <c r="U240" s="563" t="n">
        <v>0</v>
      </c>
      <c r="V240" s="563" t="n">
        <v>0</v>
      </c>
      <c r="W240" s="0"/>
      <c r="X240" s="0"/>
      <c r="Y240" s="0"/>
      <c r="Z240" s="0"/>
      <c r="AA240" s="0"/>
      <c r="AB240" s="0"/>
      <c r="AC240" s="0"/>
      <c r="AD240" s="0"/>
      <c r="AE240" s="0"/>
    </row>
    <row r="241" customFormat="false" ht="12.75" hidden="false" customHeight="false" outlineLevel="0" collapsed="false">
      <c r="A241" s="497"/>
      <c r="B241" s="502"/>
      <c r="C241" s="502"/>
      <c r="D241" s="502"/>
      <c r="E241" s="502"/>
      <c r="F241" s="502"/>
      <c r="G241" s="502"/>
      <c r="H241" s="502"/>
      <c r="I241" s="502"/>
      <c r="J241" s="502"/>
      <c r="K241" s="502"/>
      <c r="L241" s="502"/>
      <c r="M241" s="502"/>
      <c r="N241" s="502"/>
      <c r="O241" s="502"/>
      <c r="P241" s="502"/>
      <c r="Q241" s="502"/>
      <c r="R241" s="502"/>
      <c r="S241" s="502"/>
      <c r="T241" s="502"/>
      <c r="U241" s="502"/>
      <c r="V241" s="502"/>
      <c r="W241" s="0"/>
      <c r="X241" s="0"/>
      <c r="Y241" s="0"/>
      <c r="Z241" s="0"/>
      <c r="AA241" s="0"/>
      <c r="AB241" s="0"/>
      <c r="AC241" s="0"/>
      <c r="AD241" s="0"/>
      <c r="AE241" s="0"/>
    </row>
    <row r="242" customFormat="false" ht="12.75" hidden="false" customHeight="false" outlineLevel="0" collapsed="false">
      <c r="A242" s="488" t="s">
        <v>381</v>
      </c>
      <c r="B242" s="488" t="n">
        <v>0</v>
      </c>
      <c r="C242" s="488" t="n">
        <f aca="false">SUM(C235:C240)</f>
        <v>32774.3873762266</v>
      </c>
      <c r="D242" s="488" t="n">
        <f aca="false">SUM(D235:D240)</f>
        <v>94984.8051805675</v>
      </c>
      <c r="E242" s="488" t="n">
        <f aca="false">SUM(E235:E240)</f>
        <v>94496.5101914535</v>
      </c>
      <c r="F242" s="488" t="n">
        <f aca="false">SUM(F235:F240)</f>
        <v>84213.5783289056</v>
      </c>
      <c r="G242" s="488" t="n">
        <f aca="false">SUM(G235:G240)</f>
        <v>93246.5340140115</v>
      </c>
      <c r="H242" s="488" t="n">
        <f aca="false">SUM(H235:H240)</f>
        <v>95043.8341596886</v>
      </c>
      <c r="I242" s="488" t="n">
        <f aca="false">SUM(I235:I240)</f>
        <v>93950.4818869533</v>
      </c>
      <c r="J242" s="488" t="n">
        <f aca="false">SUM(J235:J240)</f>
        <v>94480.0204015227</v>
      </c>
      <c r="K242" s="488" t="n">
        <f aca="false">SUM(K235:K240)</f>
        <v>94557.5250634798</v>
      </c>
      <c r="L242" s="488" t="n">
        <f aca="false">SUM(L235:L240)</f>
        <v>30998.0586339852</v>
      </c>
      <c r="M242" s="488" t="n">
        <f aca="false">SUM(M235:M240)</f>
        <v>87651.2810446162</v>
      </c>
      <c r="N242" s="488" t="n">
        <f aca="false">SUM(N235:N240)</f>
        <v>84250.1808151723</v>
      </c>
      <c r="O242" s="488" t="n">
        <f aca="false">SUM(O235:O240)</f>
        <v>84138.8954022282</v>
      </c>
      <c r="P242" s="488" t="n">
        <f aca="false">SUM(P235:P240)</f>
        <v>82652.2890614292</v>
      </c>
      <c r="Q242" s="488" t="n">
        <f aca="false">SUM(Q235:Q240)</f>
        <v>81159.6551764416</v>
      </c>
      <c r="R242" s="488" t="n">
        <f aca="false">SUM(R235:R240)</f>
        <v>80498.7633601902</v>
      </c>
      <c r="S242" s="488" t="n">
        <f aca="false">SUM(S235:S240)</f>
        <v>76399.2758231746</v>
      </c>
      <c r="T242" s="488" t="n">
        <f aca="false">SUM(T235:T240)</f>
        <v>70125.6926514327</v>
      </c>
      <c r="U242" s="488" t="n">
        <f aca="false">SUM(U235:U240)</f>
        <v>59442.9108837511</v>
      </c>
      <c r="V242" s="488" t="n">
        <f aca="false">SUM(V235:V240)</f>
        <v>49027.6309219401</v>
      </c>
      <c r="W242" s="0"/>
      <c r="X242" s="0"/>
      <c r="Y242" s="0"/>
      <c r="Z242" s="0"/>
      <c r="AA242" s="0"/>
      <c r="AB242" s="0"/>
      <c r="AC242" s="0"/>
      <c r="AD242" s="0"/>
      <c r="AE242" s="0"/>
    </row>
    <row r="243" customFormat="false" ht="12.75" hidden="false" customHeight="false" outlineLevel="0" collapsed="false">
      <c r="A243" s="488"/>
      <c r="B243" s="488"/>
      <c r="C243" s="564" t="n">
        <f aca="false">C242-C106</f>
        <v>264.253479959152</v>
      </c>
      <c r="D243" s="564" t="n">
        <f aca="false">D242-D106</f>
        <v>660.107674317449</v>
      </c>
      <c r="E243" s="564" t="n">
        <f aca="false">E242-E106</f>
        <v>731.739866453514</v>
      </c>
      <c r="F243" s="564" t="n">
        <f aca="false">F242-F106</f>
        <v>856.277278905589</v>
      </c>
      <c r="G243" s="564" t="n">
        <f aca="false">G242-G106</f>
        <v>8848.01176401152</v>
      </c>
      <c r="H243" s="564" t="n">
        <f aca="false">H242-H106</f>
        <v>9144.3775596886</v>
      </c>
      <c r="I243" s="564" t="n">
        <f aca="false">I242-I106</f>
        <v>7492.69328695333</v>
      </c>
      <c r="J243" s="564" t="n">
        <f aca="false">J242-J106</f>
        <v>6062.03640152267</v>
      </c>
      <c r="K243" s="564" t="n">
        <f aca="false">K242-K106</f>
        <v>5029.33726347979</v>
      </c>
      <c r="L243" s="564" t="n">
        <f aca="false">L242-L106</f>
        <v>-60337.6852993482</v>
      </c>
      <c r="M243" s="564" t="n">
        <f aca="false">M242-M106</f>
        <v>8022.58541559943</v>
      </c>
      <c r="N243" s="564" t="n">
        <f aca="false">N242-N106</f>
        <v>8175.29132626412</v>
      </c>
      <c r="O243" s="564" t="n">
        <f aca="false">O242-O106</f>
        <v>8257.33137345612</v>
      </c>
      <c r="P243" s="564" t="n">
        <f aca="false">P242-P106</f>
        <v>8346.92341868217</v>
      </c>
      <c r="Q243" s="564" t="n">
        <f aca="false">Q242-Q106</f>
        <v>8442.47039478921</v>
      </c>
      <c r="R243" s="564" t="n">
        <f aca="false">R242-R106</f>
        <v>8545.0622457024</v>
      </c>
      <c r="S243" s="564" t="n">
        <f aca="false">S242-S106</f>
        <v>8654.84949127366</v>
      </c>
      <c r="T243" s="564" t="n">
        <f aca="false">T242-T106</f>
        <v>8765.41988152106</v>
      </c>
      <c r="U243" s="564" t="n">
        <f aca="false">U242-U106</f>
        <v>8870.51215495371</v>
      </c>
      <c r="V243" s="564" t="n">
        <f aca="false">V242-V106</f>
        <v>8962.38167149023</v>
      </c>
      <c r="W243" s="0"/>
      <c r="X243" s="0"/>
      <c r="Y243" s="0"/>
      <c r="Z243" s="0"/>
      <c r="AA243" s="0"/>
      <c r="AB243" s="0"/>
      <c r="AC243" s="0"/>
      <c r="AD243" s="0"/>
      <c r="AE243" s="0"/>
    </row>
    <row r="244" customFormat="false" ht="12.75" hidden="false" customHeight="false" outlineLevel="0" collapsed="false">
      <c r="A244" s="488" t="s">
        <v>382</v>
      </c>
      <c r="B244" s="488" t="n">
        <f aca="false">B181+B204+B227</f>
        <v>0</v>
      </c>
      <c r="C244" s="488" t="n">
        <f aca="false">C181+C204+C227</f>
        <v>60488.0560287775</v>
      </c>
      <c r="D244" s="488" t="n">
        <f aca="false">D181+D204+D227</f>
        <v>73017.2919262678</v>
      </c>
      <c r="E244" s="488" t="n">
        <f aca="false">E181+E204+E227</f>
        <v>71152.4864694238</v>
      </c>
      <c r="F244" s="488" t="n">
        <f aca="false">F181+F204+F227</f>
        <v>71750.4887531011</v>
      </c>
      <c r="G244" s="488" t="n">
        <f aca="false">G181+G204+G227</f>
        <v>67220.9751698443</v>
      </c>
      <c r="H244" s="488" t="n">
        <f aca="false">H181+H204+H227</f>
        <v>64475.4978443222</v>
      </c>
      <c r="I244" s="488" t="n">
        <f aca="false">I181+I204+I227</f>
        <v>61457.48633502</v>
      </c>
      <c r="J244" s="488" t="n">
        <f aca="false">J181+J204+J227</f>
        <v>58207.3203479831</v>
      </c>
      <c r="K244" s="488" t="n">
        <f aca="false">K181+K204+K227</f>
        <v>54591.8752229553</v>
      </c>
      <c r="L244" s="488" t="n">
        <f aca="false">L181+L204+L227</f>
        <v>48405.6547689951</v>
      </c>
      <c r="M244" s="488" t="n">
        <f aca="false">M181+M204+M227</f>
        <v>56246.8641344261</v>
      </c>
      <c r="N244" s="488" t="n">
        <f aca="false">N181+N204+N227</f>
        <v>49178.4120209053</v>
      </c>
      <c r="O244" s="488" t="n">
        <f aca="false">O181+O204+O227</f>
        <v>45423.6230481058</v>
      </c>
      <c r="P244" s="488" t="n">
        <f aca="false">P181+P204+P227</f>
        <v>41315.2900846855</v>
      </c>
      <c r="Q244" s="488" t="n">
        <f aca="false">Q181+Q204+Q227</f>
        <v>36926.2132869766</v>
      </c>
      <c r="R244" s="488" t="n">
        <f aca="false">R181+R204+R227</f>
        <v>32204.5173996056</v>
      </c>
      <c r="S244" s="488" t="n">
        <f aca="false">S181+S204+S227</f>
        <v>27139.8332674427</v>
      </c>
      <c r="T244" s="488" t="n">
        <f aca="false">T181+T204+T227</f>
        <v>22029.9689524269</v>
      </c>
      <c r="U244" s="488" t="n">
        <f aca="false">U181+U204+U227</f>
        <v>17162.8975280158</v>
      </c>
      <c r="V244" s="488" t="n">
        <f aca="false">V181+V204+V227</f>
        <v>12911.7858751032</v>
      </c>
      <c r="W244" s="0"/>
      <c r="X244" s="0"/>
      <c r="Y244" s="0"/>
      <c r="Z244" s="0"/>
      <c r="AA244" s="0"/>
      <c r="AB244" s="0"/>
      <c r="AC244" s="0"/>
      <c r="AD244" s="0"/>
      <c r="AE244" s="0"/>
    </row>
    <row r="245" customFormat="false" ht="12.75" hidden="false" customHeight="false" outlineLevel="0" collapsed="false">
      <c r="A245" s="488" t="s">
        <v>383</v>
      </c>
      <c r="B245" s="488" t="n">
        <f aca="false">B182+B205+B228</f>
        <v>18135.3125</v>
      </c>
      <c r="C245" s="488" t="n">
        <f aca="false">C182+C205+C228</f>
        <v>72948.4079832189</v>
      </c>
      <c r="D245" s="488" t="n">
        <f aca="false">D182+D205+D228</f>
        <v>72267.6505364649</v>
      </c>
      <c r="E245" s="488" t="n">
        <f aca="false">E182+E205+E228</f>
        <v>70355.8716599095</v>
      </c>
      <c r="F245" s="488" t="n">
        <f aca="false">F182+F205+F228</f>
        <v>70929.4108048263</v>
      </c>
      <c r="G245" s="488" t="n">
        <f aca="false">G182+G205+G228</f>
        <v>66166.9400366555</v>
      </c>
      <c r="H245" s="488" t="n">
        <f aca="false">H182+H205+H228</f>
        <v>63237.4802235499</v>
      </c>
      <c r="I245" s="488" t="n">
        <f aca="false">I182+I205+I228</f>
        <v>60141.5200151667</v>
      </c>
      <c r="J245" s="488" t="n">
        <f aca="false">J182+J205+J228</f>
        <v>56738.2759958147</v>
      </c>
      <c r="K245" s="488" t="n">
        <f aca="false">K182+K205+K228</f>
        <v>52973.2664044141</v>
      </c>
      <c r="L245" s="488" t="n">
        <f aca="false">L182+L205+L228</f>
        <v>52806.3915791297</v>
      </c>
      <c r="M245" s="488" t="n">
        <f aca="false">M182+M205+M228</f>
        <v>51185.6970908518</v>
      </c>
      <c r="N245" s="488" t="n">
        <f aca="false">N182+N205+N228</f>
        <v>47653.5207402045</v>
      </c>
      <c r="O245" s="488" t="n">
        <f aca="false">O182+O205+O228</f>
        <v>43740.3152688755</v>
      </c>
      <c r="P245" s="488" t="n">
        <f aca="false">P182+P205+P228</f>
        <v>39517.9918166758</v>
      </c>
      <c r="Q245" s="488" t="n">
        <f aca="false">Q182+Q205+Q228</f>
        <v>35002.9800948243</v>
      </c>
      <c r="R245" s="488" t="n">
        <f aca="false">R182+R205+R228</f>
        <v>30104.7238304444</v>
      </c>
      <c r="S245" s="488" t="n">
        <f aca="false">S182+S205+S228</f>
        <v>24998.073754655</v>
      </c>
      <c r="T245" s="488" t="n">
        <f aca="false">T182+T205+T228</f>
        <v>19938.8069657639</v>
      </c>
      <c r="U245" s="488" t="n">
        <f aca="false">U182+U205+U228</f>
        <v>15324.5977806529</v>
      </c>
      <c r="V245" s="488" t="n">
        <f aca="false">V182+V205+V228</f>
        <v>11341.4990290042</v>
      </c>
      <c r="W245" s="0"/>
      <c r="X245" s="0"/>
      <c r="Y245" s="0"/>
      <c r="Z245" s="0"/>
      <c r="AA245" s="0"/>
      <c r="AB245" s="0"/>
      <c r="AC245" s="0"/>
      <c r="AD245" s="0"/>
      <c r="AE245" s="0"/>
    </row>
    <row r="246" customFormat="false" ht="12.75" hidden="false" customHeight="false" outlineLevel="0" collapsed="false">
      <c r="A246" s="488" t="s">
        <v>373</v>
      </c>
      <c r="B246" s="488" t="n">
        <f aca="false">B229+B206+B183</f>
        <v>0</v>
      </c>
      <c r="C246" s="488" t="n">
        <f aca="false">C229+C206+C183</f>
        <v>-10846.6995196517</v>
      </c>
      <c r="D246" s="488" t="n">
        <f aca="false">D229+D206+D183</f>
        <v>21967.5132542996</v>
      </c>
      <c r="E246" s="488" t="n">
        <f aca="false">E229+E206+E183</f>
        <v>23344.0237220297</v>
      </c>
      <c r="F246" s="488" t="n">
        <f aca="false">F229+F206+F183</f>
        <v>12463.0895758045</v>
      </c>
      <c r="G246" s="488" t="n">
        <f aca="false">G229+G206+G183</f>
        <v>26025.5588441672</v>
      </c>
      <c r="H246" s="488" t="n">
        <f aca="false">H229+H206+H183</f>
        <v>30568.3363153664</v>
      </c>
      <c r="I246" s="488" t="n">
        <f aca="false">I229+I206+I183</f>
        <v>32492.9955519333</v>
      </c>
      <c r="J246" s="488" t="n">
        <f aca="false">J229+J206+J183</f>
        <v>36272.7000535396</v>
      </c>
      <c r="K246" s="488" t="n">
        <f aca="false">K229+K206+K183</f>
        <v>39965.6498405245</v>
      </c>
      <c r="L246" s="488" t="n">
        <f aca="false">L229+L206+L183</f>
        <v>-17407.59613501</v>
      </c>
      <c r="M246" s="488" t="n">
        <f aca="false">M229+M206+M183</f>
        <v>31404.4169101901</v>
      </c>
      <c r="N246" s="488" t="n">
        <f aca="false">N229+N206+N183</f>
        <v>35071.7687942671</v>
      </c>
      <c r="O246" s="488" t="n">
        <f aca="false">O229+O206+O183</f>
        <v>38715.2723541224</v>
      </c>
      <c r="P246" s="488" t="n">
        <f aca="false">P229+P206+P183</f>
        <v>41336.9989767438</v>
      </c>
      <c r="Q246" s="488" t="n">
        <f aca="false">Q229+Q206+Q183</f>
        <v>44233.441889465</v>
      </c>
      <c r="R246" s="488" t="n">
        <f aca="false">R229+R206+R183</f>
        <v>48294.2459605846</v>
      </c>
      <c r="S246" s="488" t="n">
        <f aca="false">S229+S206+S183</f>
        <v>49259.4425557319</v>
      </c>
      <c r="T246" s="488" t="n">
        <f aca="false">T229+T206+T183</f>
        <v>48095.7236990058</v>
      </c>
      <c r="U246" s="488" t="n">
        <f aca="false">U229+U206+U183</f>
        <v>42280.0133557353</v>
      </c>
      <c r="V246" s="488" t="n">
        <f aca="false">V229+V206+V183</f>
        <v>36115.8450468369</v>
      </c>
      <c r="W246" s="0"/>
      <c r="X246" s="0"/>
      <c r="Y246" s="0"/>
      <c r="Z246" s="0"/>
      <c r="AA246" s="0"/>
      <c r="AB246" s="0"/>
      <c r="AC246" s="0"/>
      <c r="AD246" s="0"/>
      <c r="AE246" s="0"/>
    </row>
    <row r="247" customFormat="false" ht="12.75" hidden="false" customHeight="false" outlineLevel="0" collapsed="false">
      <c r="A247" s="385" t="s">
        <v>384</v>
      </c>
      <c r="B247" s="488" t="n">
        <f aca="false">B184+B207+B230</f>
        <v>0</v>
      </c>
      <c r="C247" s="488" t="n">
        <f aca="false">C184+C207+C230</f>
        <v>0</v>
      </c>
      <c r="D247" s="488" t="n">
        <f aca="false">D184+D207+D230</f>
        <v>0</v>
      </c>
      <c r="E247" s="488" t="n">
        <f aca="false">E184+E207+E230</f>
        <v>0</v>
      </c>
      <c r="F247" s="488" t="n">
        <f aca="false">F184+F207+F230</f>
        <v>0</v>
      </c>
      <c r="G247" s="488" t="n">
        <f aca="false">G184+G207+G230</f>
        <v>0</v>
      </c>
      <c r="H247" s="488" t="n">
        <f aca="false">H184+H207+H230</f>
        <v>0</v>
      </c>
      <c r="I247" s="488" t="n">
        <f aca="false">I184+I207+I230</f>
        <v>0</v>
      </c>
      <c r="J247" s="488" t="n">
        <f aca="false">J184+J207+J230</f>
        <v>0</v>
      </c>
      <c r="K247" s="488" t="n">
        <f aca="false">K184+K207+K230</f>
        <v>0</v>
      </c>
      <c r="L247" s="488" t="n">
        <f aca="false">L184+L207+L230</f>
        <v>0</v>
      </c>
      <c r="M247" s="488" t="n">
        <f aca="false">M184+M207+M230</f>
        <v>0</v>
      </c>
      <c r="N247" s="488" t="n">
        <f aca="false">N184+N207+N230</f>
        <v>0</v>
      </c>
      <c r="O247" s="488" t="n">
        <f aca="false">O184+O207+O230</f>
        <v>0</v>
      </c>
      <c r="P247" s="488" t="n">
        <f aca="false">P184+P207+P230</f>
        <v>0</v>
      </c>
      <c r="Q247" s="488" t="n">
        <f aca="false">Q184+Q207+Q230</f>
        <v>0</v>
      </c>
      <c r="R247" s="488" t="n">
        <f aca="false">R184+R207+R230</f>
        <v>0</v>
      </c>
      <c r="S247" s="488" t="n">
        <f aca="false">S184+S207+S230</f>
        <v>0</v>
      </c>
      <c r="T247" s="488" t="n">
        <f aca="false">T184+T207+T230</f>
        <v>0</v>
      </c>
      <c r="U247" s="488" t="n">
        <f aca="false">U184+U207+U230</f>
        <v>0</v>
      </c>
      <c r="V247" s="488" t="n">
        <f aca="false">V184+V207+V230</f>
        <v>0</v>
      </c>
      <c r="W247" s="0"/>
      <c r="X247" s="0"/>
      <c r="Y247" s="0"/>
      <c r="Z247" s="0"/>
      <c r="AA247" s="0"/>
      <c r="AB247" s="0"/>
      <c r="AC247" s="0"/>
      <c r="AD247" s="0"/>
      <c r="AE247" s="0"/>
    </row>
    <row r="248" customFormat="false" ht="12.75" hidden="false" customHeight="false" outlineLevel="0" collapsed="false">
      <c r="A248" s="385" t="s">
        <v>385</v>
      </c>
      <c r="B248" s="488" t="n">
        <f aca="false">MAX(B242:V242)*[1]Assumptions!$B$32*5/12</f>
        <v>792.031951330739</v>
      </c>
      <c r="C248" s="488" t="n">
        <v>0</v>
      </c>
      <c r="D248" s="488" t="n">
        <v>0</v>
      </c>
      <c r="E248" s="488" t="n">
        <v>0</v>
      </c>
      <c r="F248" s="488" t="n">
        <v>0</v>
      </c>
      <c r="G248" s="488" t="n">
        <v>0</v>
      </c>
      <c r="H248" s="488" t="n">
        <v>0</v>
      </c>
      <c r="I248" s="488" t="n">
        <v>0</v>
      </c>
      <c r="J248" s="488" t="n">
        <v>0</v>
      </c>
      <c r="K248" s="488" t="n">
        <v>0</v>
      </c>
      <c r="L248" s="488" t="n">
        <v>0</v>
      </c>
      <c r="M248" s="488" t="n">
        <v>0</v>
      </c>
      <c r="N248" s="488" t="n">
        <v>0</v>
      </c>
      <c r="O248" s="488" t="n">
        <v>0</v>
      </c>
      <c r="P248" s="488" t="n">
        <v>0</v>
      </c>
      <c r="Q248" s="488" t="n">
        <v>0</v>
      </c>
      <c r="R248" s="488" t="n">
        <v>0</v>
      </c>
      <c r="S248" s="488" t="n">
        <v>0</v>
      </c>
      <c r="T248" s="488" t="n">
        <v>0</v>
      </c>
      <c r="U248" s="488" t="n">
        <v>0</v>
      </c>
      <c r="V248" s="488" t="n">
        <v>0</v>
      </c>
      <c r="W248" s="0"/>
      <c r="X248" s="0"/>
      <c r="Y248" s="0"/>
      <c r="Z248" s="0"/>
      <c r="AA248" s="0"/>
      <c r="AB248" s="0"/>
      <c r="AC248" s="0"/>
      <c r="AD248" s="0"/>
    </row>
    <row r="249" customFormat="false" ht="12.75" hidden="false" customHeight="false" outlineLevel="0" collapsed="false">
      <c r="A249" s="497"/>
      <c r="B249" s="497"/>
      <c r="C249" s="497"/>
      <c r="D249" s="497"/>
      <c r="E249" s="497"/>
      <c r="F249" s="497"/>
      <c r="G249" s="497"/>
      <c r="H249" s="497"/>
      <c r="I249" s="497"/>
      <c r="J249" s="497"/>
      <c r="K249" s="497"/>
      <c r="L249" s="497"/>
      <c r="M249" s="497"/>
      <c r="N249" s="497"/>
      <c r="O249" s="497"/>
      <c r="P249" s="497"/>
      <c r="Q249" s="497"/>
      <c r="R249" s="497"/>
      <c r="S249" s="497"/>
      <c r="T249" s="497"/>
      <c r="U249" s="497"/>
      <c r="V249" s="497"/>
      <c r="W249" s="0"/>
      <c r="X249" s="0"/>
      <c r="Y249" s="0"/>
      <c r="Z249" s="0"/>
      <c r="AA249" s="0"/>
      <c r="AB249" s="0"/>
      <c r="AC249" s="0"/>
      <c r="AD249" s="0"/>
    </row>
    <row r="250" customFormat="false" ht="12.75" hidden="false" customHeight="false" outlineLevel="0" collapsed="false">
      <c r="A250" s="446" t="s">
        <v>386</v>
      </c>
      <c r="B250" s="504" t="str">
        <f aca="false">IF(AND(B237&lt;0.001,B236&lt;0.0001),"NA",B233/(B242))</f>
        <v>NA</v>
      </c>
      <c r="C250" s="504" t="n">
        <f aca="false">7/12*C233/C242</f>
        <v>1.59680305908817</v>
      </c>
      <c r="D250" s="504" t="n">
        <f aca="false">D233/D242</f>
        <v>1.28833360001664</v>
      </c>
      <c r="E250" s="504" t="n">
        <f aca="false">E233/E242</f>
        <v>1.28957855042372</v>
      </c>
      <c r="F250" s="504" t="n">
        <f aca="false">(SUM(IS!H8:H10)-5/12*IS!H35+5/12*IS!H18)/SUM(F167,F168,E177,E178,F190,F191,E200,E201,F213,F214,E223,E224)</f>
        <v>1.00388336020741</v>
      </c>
      <c r="G250" s="504" t="s">
        <v>339</v>
      </c>
      <c r="H250" s="504" t="s">
        <v>339</v>
      </c>
      <c r="I250" s="504" t="s">
        <v>339</v>
      </c>
      <c r="J250" s="504" t="s">
        <v>339</v>
      </c>
      <c r="K250" s="504" t="s">
        <v>339</v>
      </c>
      <c r="L250" s="504" t="s">
        <v>339</v>
      </c>
      <c r="M250" s="504" t="s">
        <v>339</v>
      </c>
      <c r="N250" s="504" t="s">
        <v>339</v>
      </c>
      <c r="O250" s="504" t="s">
        <v>339</v>
      </c>
      <c r="P250" s="504" t="s">
        <v>339</v>
      </c>
      <c r="Q250" s="504" t="s">
        <v>339</v>
      </c>
      <c r="R250" s="504" t="s">
        <v>339</v>
      </c>
      <c r="S250" s="504" t="s">
        <v>339</v>
      </c>
      <c r="T250" s="504" t="s">
        <v>339</v>
      </c>
      <c r="U250" s="504" t="s">
        <v>339</v>
      </c>
      <c r="V250" s="505" t="s">
        <v>339</v>
      </c>
      <c r="W250" s="0"/>
      <c r="X250" s="0"/>
      <c r="Y250" s="0"/>
      <c r="Z250" s="0"/>
      <c r="AA250" s="0"/>
      <c r="AB250" s="0"/>
      <c r="AC250" s="0"/>
      <c r="AD250" s="0"/>
    </row>
    <row r="251" customFormat="false" ht="12.75" hidden="false" customHeight="false" outlineLevel="0" collapsed="false">
      <c r="A251" s="450" t="s">
        <v>387</v>
      </c>
      <c r="B251" s="507" t="s">
        <v>339</v>
      </c>
      <c r="C251" s="507" t="s">
        <v>339</v>
      </c>
      <c r="D251" s="507" t="s">
        <v>339</v>
      </c>
      <c r="E251" s="507" t="s">
        <v>339</v>
      </c>
      <c r="F251" s="507" t="n">
        <f aca="false">(IS!H13+IS!H14+IS!H15+7/12*IS!H18-7/12*IS!H35)/SUM(F172,F173,F195,F196,F218,F219)</f>
        <v>2.04568721186109</v>
      </c>
      <c r="G251" s="507" t="n">
        <f aca="false">G233/G242</f>
        <v>2.03877928745796</v>
      </c>
      <c r="H251" s="507" t="n">
        <f aca="false">H233/H242</f>
        <v>2.03687061527597</v>
      </c>
      <c r="I251" s="507" t="n">
        <f aca="false">I233/I242</f>
        <v>2.07330562744494</v>
      </c>
      <c r="J251" s="507" t="n">
        <f aca="false">J233/J242</f>
        <v>2.10841561394656</v>
      </c>
      <c r="K251" s="507" t="n">
        <f aca="false">K233/K242</f>
        <v>2.12756766282231</v>
      </c>
      <c r="L251" s="507" t="n">
        <f aca="false">L233/L242</f>
        <v>6.64093186802376</v>
      </c>
      <c r="M251" s="507" t="n">
        <f aca="false">M233/M242</f>
        <v>2.35759139827187</v>
      </c>
      <c r="N251" s="565" t="n">
        <f aca="false">N233/N242</f>
        <v>2.50936598575271</v>
      </c>
      <c r="O251" s="507" t="n">
        <f aca="false">O233/O242</f>
        <v>2.5375515762605</v>
      </c>
      <c r="P251" s="507" t="n">
        <f aca="false">P233/P242</f>
        <v>2.59926918001959</v>
      </c>
      <c r="Q251" s="507" t="n">
        <f aca="false">Q233/Q242</f>
        <v>2.66719175919897</v>
      </c>
      <c r="R251" s="507" t="n">
        <f aca="false">R233/R242</f>
        <v>2.71292620962363</v>
      </c>
      <c r="S251" s="507" t="n">
        <f aca="false">S233/S242</f>
        <v>2.88360600163723</v>
      </c>
      <c r="T251" s="507" t="n">
        <f aca="false">T233/T242</f>
        <v>3.16847079270789</v>
      </c>
      <c r="U251" s="507" t="n">
        <f aca="false">U233/U242</f>
        <v>3.76509672967237</v>
      </c>
      <c r="V251" s="508" t="n">
        <f aca="false">V233/V242</f>
        <v>4.55024250614072</v>
      </c>
      <c r="W251" s="0"/>
      <c r="X251" s="0"/>
      <c r="Y251" s="0"/>
      <c r="Z251" s="0"/>
      <c r="AA251" s="0"/>
      <c r="AB251" s="0"/>
      <c r="AC251" s="0"/>
      <c r="AD251" s="0"/>
    </row>
    <row r="252" customFormat="false" ht="13.5" hidden="false" customHeight="false" outlineLevel="0" collapsed="false">
      <c r="A252" s="509"/>
      <c r="B252" s="510"/>
      <c r="C252" s="510"/>
      <c r="D252" s="510"/>
      <c r="E252" s="510"/>
      <c r="F252" s="566"/>
      <c r="G252" s="510"/>
      <c r="H252" s="510"/>
      <c r="I252" s="510"/>
      <c r="J252" s="510"/>
      <c r="K252" s="510"/>
      <c r="L252" s="510"/>
      <c r="M252" s="510"/>
      <c r="N252" s="510"/>
      <c r="O252" s="510"/>
      <c r="P252" s="510"/>
      <c r="Q252" s="510"/>
      <c r="R252" s="510"/>
      <c r="S252" s="510"/>
      <c r="T252" s="510"/>
      <c r="U252" s="510"/>
      <c r="V252" s="510"/>
      <c r="W252" s="0"/>
      <c r="X252" s="0"/>
      <c r="Y252" s="0"/>
      <c r="Z252" s="0"/>
      <c r="AA252" s="0"/>
      <c r="AB252" s="0"/>
      <c r="AC252" s="0"/>
      <c r="AD252" s="0"/>
    </row>
    <row r="253" customFormat="false" ht="13.5" hidden="false" customHeight="false" outlineLevel="0" collapsed="false">
      <c r="A253" s="509"/>
      <c r="B253" s="510"/>
      <c r="C253" s="510"/>
      <c r="D253" s="510"/>
      <c r="E253" s="510"/>
      <c r="F253" s="566"/>
      <c r="G253" s="510"/>
      <c r="H253" s="510"/>
      <c r="I253" s="510"/>
      <c r="J253" s="510"/>
      <c r="K253" s="510"/>
      <c r="L253" s="510"/>
      <c r="M253" s="510"/>
      <c r="N253" s="510"/>
      <c r="O253" s="510"/>
      <c r="P253" s="510"/>
      <c r="Q253" s="510"/>
      <c r="R253" s="510"/>
      <c r="S253" s="510"/>
      <c r="T253" s="510"/>
      <c r="U253" s="510"/>
      <c r="V253" s="510"/>
      <c r="W253" s="0"/>
      <c r="X253" s="0"/>
      <c r="Y253" s="0"/>
      <c r="Z253" s="0"/>
      <c r="AA253" s="0"/>
      <c r="AB253" s="0"/>
      <c r="AC253" s="0"/>
      <c r="AD253" s="0"/>
    </row>
    <row r="254" customFormat="false" ht="12.75" hidden="false" customHeight="false" outlineLevel="0" collapsed="false">
      <c r="A254" s="470"/>
      <c r="B254" s="446" t="s">
        <v>402</v>
      </c>
      <c r="C254" s="511"/>
      <c r="D254" s="511"/>
      <c r="E254" s="512" t="n">
        <f aca="false">AVERAGE(C250:E250)</f>
        <v>1.39157173650951</v>
      </c>
      <c r="F254" s="470"/>
      <c r="G254" s="446" t="s">
        <v>403</v>
      </c>
      <c r="H254" s="511"/>
      <c r="I254" s="511"/>
      <c r="J254" s="512" t="n">
        <f aca="false">AVERAGE(F251:V251)</f>
        <v>2.87193353094812</v>
      </c>
      <c r="K254" s="470"/>
      <c r="L254" s="470"/>
      <c r="M254" s="513"/>
      <c r="N254" s="470"/>
      <c r="O254" s="470"/>
      <c r="P254" s="514"/>
      <c r="Q254" s="514"/>
      <c r="R254" s="514"/>
      <c r="S254" s="470"/>
      <c r="T254" s="470"/>
      <c r="U254" s="470"/>
      <c r="V254" s="470"/>
      <c r="W254" s="0"/>
      <c r="X254" s="0"/>
      <c r="Y254" s="0"/>
      <c r="Z254" s="0"/>
      <c r="AA254" s="0"/>
      <c r="AB254" s="0"/>
      <c r="AC254" s="0"/>
      <c r="AD254" s="0"/>
    </row>
    <row r="255" customFormat="false" ht="12.75" hidden="false" customHeight="false" outlineLevel="0" collapsed="false">
      <c r="A255" s="470"/>
      <c r="B255" s="450" t="s">
        <v>404</v>
      </c>
      <c r="C255" s="515"/>
      <c r="D255" s="515"/>
      <c r="E255" s="516" t="n">
        <f aca="false">MIN(C250:E250)</f>
        <v>1.28833360001664</v>
      </c>
      <c r="F255" s="509"/>
      <c r="G255" s="450" t="s">
        <v>405</v>
      </c>
      <c r="H255" s="515"/>
      <c r="I255" s="515"/>
      <c r="J255" s="516" t="n">
        <f aca="false">MIN(F251:V251)</f>
        <v>2.03687061527597</v>
      </c>
      <c r="K255" s="509"/>
      <c r="L255" s="509"/>
      <c r="M255" s="509"/>
      <c r="N255" s="509"/>
      <c r="O255" s="509"/>
      <c r="P255" s="514"/>
      <c r="Q255" s="514"/>
      <c r="R255" s="514"/>
      <c r="S255" s="470"/>
      <c r="T255" s="470"/>
      <c r="U255" s="470"/>
      <c r="V255" s="470"/>
      <c r="W255" s="0"/>
      <c r="X255" s="0"/>
      <c r="Y255" s="0"/>
      <c r="Z255" s="0"/>
      <c r="AA255" s="0"/>
      <c r="AB255" s="0"/>
      <c r="AC255" s="0"/>
      <c r="AD255" s="0"/>
    </row>
    <row r="256" customFormat="false" ht="12.75" hidden="false" customHeight="false" outlineLevel="0" collapsed="false">
      <c r="A256" s="0"/>
      <c r="B256" s="0"/>
      <c r="C256" s="0"/>
      <c r="D256" s="0"/>
      <c r="E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</row>
    <row r="257" customFormat="false" ht="12.75" hidden="false" customHeight="false" outlineLevel="0" collapsed="false">
      <c r="A257" s="0"/>
      <c r="B257" s="0"/>
      <c r="C257" s="0"/>
      <c r="D257" s="0"/>
      <c r="E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</row>
    <row r="258" customFormat="false" ht="12.75" hidden="false" customHeight="false" outlineLevel="0" collapsed="false">
      <c r="A258" s="0"/>
      <c r="B258" s="0"/>
      <c r="C258" s="567" t="n">
        <f aca="false">C250-C155</f>
        <v>0</v>
      </c>
      <c r="D258" s="567" t="n">
        <f aca="false">D250-D155</f>
        <v>0</v>
      </c>
      <c r="E258" s="567" t="n">
        <f aca="false">E250-E155</f>
        <v>0</v>
      </c>
      <c r="F258" s="567" t="n">
        <f aca="false">F250-F155</f>
        <v>0</v>
      </c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</row>
    <row r="259" customFormat="false" ht="12.75" hidden="false" customHeight="false" outlineLevel="0" collapsed="false">
      <c r="A259" s="0"/>
      <c r="B259" s="0"/>
      <c r="C259" s="0"/>
      <c r="D259" s="0"/>
      <c r="E259" s="0"/>
      <c r="F259" s="567" t="n">
        <f aca="false">F251-F156</f>
        <v>-0.0976865119920296</v>
      </c>
      <c r="G259" s="567" t="n">
        <f aca="false">G251-G156</f>
        <v>-0.218381398428593</v>
      </c>
      <c r="H259" s="567" t="n">
        <f aca="false">H251-H156</f>
        <v>-0.213618484301075</v>
      </c>
      <c r="I259" s="567" t="n">
        <f aca="false">I251-I156</f>
        <v>-0.220238898959569</v>
      </c>
      <c r="J259" s="567" t="n">
        <f aca="false">J251-J156</f>
        <v>-0.222580681783289</v>
      </c>
      <c r="K259" s="567" t="n">
        <f aca="false">K251-K156</f>
        <v>-0.224399006465944</v>
      </c>
      <c r="L259" s="567" t="n">
        <f aca="false">L251-L156</f>
        <v>4.20224069853308</v>
      </c>
      <c r="M259" s="567" t="n">
        <f aca="false">M251-M156</f>
        <v>-0.270500549157079</v>
      </c>
      <c r="N259" s="567" t="n">
        <f aca="false">N251-N156</f>
        <v>-0.300931241368666</v>
      </c>
      <c r="O259" s="567" t="n">
        <f aca="false">O251-O156</f>
        <v>-0.304762182115947</v>
      </c>
      <c r="P259" s="567" t="n">
        <f aca="false">P251-P156</f>
        <v>-0.318477339980118</v>
      </c>
      <c r="Q259" s="567" t="n">
        <f aca="false">Q251-Q156</f>
        <v>-0.333561533279139</v>
      </c>
      <c r="R259" s="567" t="n">
        <f aca="false">R251-R156</f>
        <v>-0.342418188739631</v>
      </c>
      <c r="S259" s="567" t="n">
        <f aca="false">S251-S156</f>
        <v>-0.386105568823026</v>
      </c>
      <c r="T259" s="567" t="n">
        <f aca="false">T251-T156</f>
        <v>-0.467805809584353</v>
      </c>
      <c r="U259" s="567" t="n">
        <f aca="false">U251-U156</f>
        <v>-0.673671663097367</v>
      </c>
      <c r="V259" s="567" t="n">
        <f aca="false">V251-V156</f>
        <v>-1.02611363350921</v>
      </c>
      <c r="W259" s="0"/>
      <c r="X259" s="0"/>
      <c r="Y259" s="0"/>
      <c r="Z259" s="0"/>
      <c r="AA259" s="0"/>
      <c r="AB259" s="0"/>
      <c r="AC259" s="0"/>
      <c r="AD259" s="0"/>
    </row>
    <row r="260" customFormat="false" ht="12.75" hidden="false" customHeight="false" outlineLevel="0" collapsed="false">
      <c r="A260" s="0"/>
      <c r="B260" s="0"/>
      <c r="C260" s="0"/>
      <c r="D260" s="0"/>
      <c r="E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</row>
    <row r="261" customFormat="false" ht="12.75" hidden="false" customHeight="false" outlineLevel="0" collapsed="false">
      <c r="A261" s="0"/>
      <c r="B261" s="0"/>
      <c r="C261" s="0"/>
      <c r="D261" s="0"/>
      <c r="E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</row>
    <row r="262" customFormat="false" ht="12.75" hidden="false" customHeight="false" outlineLevel="0" collapsed="false">
      <c r="A262" s="0"/>
      <c r="B262" s="0"/>
      <c r="C262" s="0"/>
      <c r="D262" s="0"/>
      <c r="E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</row>
    <row r="263" customFormat="false" ht="12.75" hidden="false" customHeight="false" outlineLevel="0" collapsed="false">
      <c r="A263" s="0"/>
      <c r="B263" s="0"/>
      <c r="C263" s="0"/>
      <c r="D263" s="0"/>
      <c r="E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</row>
    <row r="264" customFormat="false" ht="12.75" hidden="false" customHeight="false" outlineLevel="0" collapsed="false">
      <c r="A264" s="0"/>
      <c r="B264" s="0"/>
      <c r="C264" s="0"/>
      <c r="D264" s="0"/>
      <c r="E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</row>
  </sheetData>
  <mergeCells count="3">
    <mergeCell ref="C4:F4"/>
    <mergeCell ref="I4:L4"/>
    <mergeCell ref="O4:R4"/>
  </mergeCells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>&amp;LEnron Generation Company</oddHeader>
    <oddFooter>&amp;L&amp;T, &amp;D&amp;C&amp;F&amp;RPage &amp;P</oddFooter>
  </headerFooter>
  <colBreaks count="1" manualBreakCount="1">
    <brk id="12" man="true" max="65535" min="0"/>
  </col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81"/>
  <sheetViews>
    <sheetView showFormulas="false" showGridLines="true" showRowColHeaders="true" showZeros="true" rightToLeft="false" tabSelected="false" showOutlineSymbols="true" defaultGridColor="true" view="normal" topLeftCell="N1" colorId="64" zoomScale="75" zoomScaleNormal="75" zoomScalePageLayoutView="100" workbookViewId="0">
      <selection pane="topLeft" activeCell="I21" activeCellId="0" sqref="I2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60.42"/>
    <col collapsed="false" customWidth="true" hidden="false" outlineLevel="0" max="2" min="2" style="1" width="9.7"/>
    <col collapsed="false" customWidth="true" hidden="false" outlineLevel="0" max="6" min="3" style="568" width="8.99"/>
    <col collapsed="false" customWidth="true" hidden="false" outlineLevel="0" max="7" min="7" style="1" width="14.85"/>
    <col collapsed="false" customWidth="true" hidden="false" outlineLevel="0" max="8" min="8" style="1" width="14.14"/>
    <col collapsed="false" customWidth="true" hidden="false" outlineLevel="0" max="9" min="9" style="1" width="11.13"/>
    <col collapsed="false" customWidth="true" hidden="false" outlineLevel="0" max="12" min="10" style="1" width="11.56"/>
    <col collapsed="false" customWidth="true" hidden="false" outlineLevel="0" max="13" min="13" style="1" width="11.28"/>
    <col collapsed="false" customWidth="true" hidden="false" outlineLevel="0" max="14" min="14" style="1" width="11.56"/>
    <col collapsed="false" customWidth="true" hidden="false" outlineLevel="0" max="15" min="15" style="1" width="11.28"/>
    <col collapsed="false" customWidth="true" hidden="false" outlineLevel="0" max="17" min="16" style="1" width="11.56"/>
    <col collapsed="false" customWidth="true" hidden="false" outlineLevel="0" max="18" min="18" style="1" width="11.13"/>
    <col collapsed="false" customWidth="true" hidden="false" outlineLevel="0" max="19" min="19" style="1" width="10.56"/>
    <col collapsed="false" customWidth="true" hidden="false" outlineLevel="0" max="22" min="20" style="1" width="11.13"/>
    <col collapsed="false" customWidth="true" hidden="false" outlineLevel="0" max="23" min="23" style="1" width="10.85"/>
    <col collapsed="false" customWidth="true" hidden="false" outlineLevel="0" max="24" min="24" style="1" width="11.13"/>
    <col collapsed="false" customWidth="true" hidden="false" outlineLevel="0" max="25" min="25" style="1" width="10.85"/>
    <col collapsed="false" customWidth="true" hidden="false" outlineLevel="0" max="27" min="26" style="1" width="11.13"/>
    <col collapsed="false" customWidth="true" hidden="false" outlineLevel="0" max="28" min="28" style="1" width="11.56"/>
    <col collapsed="false" customWidth="true" hidden="false" outlineLevel="0" max="29" min="29" style="1" width="11.13"/>
    <col collapsed="false" customWidth="false" hidden="false" outlineLevel="0" max="31" min="30" style="70" width="9.14"/>
    <col collapsed="false" customWidth="true" hidden="true" outlineLevel="0" max="32" min="32" style="1" width="12.14"/>
    <col collapsed="false" customWidth="true" hidden="true" outlineLevel="0" max="33" min="33" style="1" width="11.7"/>
    <col collapsed="false" customWidth="false" hidden="false" outlineLevel="0" max="257" min="34" style="1" width="9.14"/>
  </cols>
  <sheetData>
    <row r="2" customFormat="false" ht="18.75" hidden="false" customHeight="false" outlineLevel="0" collapsed="false">
      <c r="A2" s="317" t="s">
        <v>406</v>
      </c>
    </row>
    <row r="3" customFormat="false" ht="12.75" hidden="false" customHeight="false" outlineLevel="0" collapsed="false">
      <c r="G3" s="569" t="n">
        <v>0</v>
      </c>
      <c r="H3" s="569" t="n">
        <v>1</v>
      </c>
      <c r="I3" s="569" t="n">
        <v>2</v>
      </c>
      <c r="J3" s="569" t="n">
        <v>3</v>
      </c>
      <c r="K3" s="569" t="n">
        <v>4</v>
      </c>
      <c r="L3" s="569" t="n">
        <v>5</v>
      </c>
      <c r="M3" s="569" t="n">
        <v>6</v>
      </c>
      <c r="N3" s="569" t="n">
        <v>7</v>
      </c>
      <c r="O3" s="569" t="n">
        <v>8</v>
      </c>
      <c r="P3" s="569" t="n">
        <v>9</v>
      </c>
      <c r="Q3" s="569" t="n">
        <v>10</v>
      </c>
      <c r="R3" s="569" t="n">
        <v>11</v>
      </c>
      <c r="S3" s="569" t="n">
        <v>12</v>
      </c>
      <c r="T3" s="569" t="n">
        <v>13</v>
      </c>
      <c r="U3" s="569" t="n">
        <v>14</v>
      </c>
      <c r="V3" s="569" t="n">
        <v>15</v>
      </c>
      <c r="W3" s="569" t="n">
        <v>16</v>
      </c>
      <c r="X3" s="569" t="n">
        <v>0</v>
      </c>
      <c r="Y3" s="569" t="n">
        <v>0</v>
      </c>
      <c r="Z3" s="569" t="n">
        <v>0</v>
      </c>
      <c r="AA3" s="569" t="n">
        <v>0</v>
      </c>
      <c r="AB3" s="569" t="n">
        <v>0</v>
      </c>
      <c r="AC3" s="569" t="n">
        <v>0</v>
      </c>
      <c r="AD3" s="569" t="n">
        <v>0</v>
      </c>
      <c r="AE3" s="569" t="n">
        <v>0</v>
      </c>
    </row>
    <row r="4" customFormat="false" ht="13.5" hidden="false" customHeight="false" outlineLevel="0" collapsed="false">
      <c r="A4" s="319" t="s">
        <v>269</v>
      </c>
      <c r="B4" s="570"/>
      <c r="C4" s="570"/>
      <c r="D4" s="570"/>
      <c r="E4" s="570"/>
      <c r="F4" s="570"/>
      <c r="G4" s="320" t="n">
        <v>1999</v>
      </c>
      <c r="H4" s="320" t="n">
        <v>2000</v>
      </c>
      <c r="I4" s="320" t="n">
        <v>2001</v>
      </c>
      <c r="J4" s="320" t="n">
        <v>2002</v>
      </c>
      <c r="K4" s="320" t="n">
        <v>2003</v>
      </c>
      <c r="L4" s="320" t="n">
        <v>2004</v>
      </c>
      <c r="M4" s="320" t="n">
        <v>2005</v>
      </c>
      <c r="N4" s="320" t="n">
        <v>2006</v>
      </c>
      <c r="O4" s="320" t="n">
        <v>2007</v>
      </c>
      <c r="P4" s="320" t="n">
        <v>2008</v>
      </c>
      <c r="Q4" s="320" t="n">
        <v>2009</v>
      </c>
      <c r="R4" s="320" t="n">
        <v>2010</v>
      </c>
      <c r="S4" s="320" t="n">
        <v>2011</v>
      </c>
      <c r="T4" s="320" t="n">
        <v>2012</v>
      </c>
      <c r="U4" s="320" t="n">
        <v>2013</v>
      </c>
      <c r="V4" s="320" t="n">
        <v>2014</v>
      </c>
      <c r="W4" s="320" t="n">
        <v>2015</v>
      </c>
      <c r="X4" s="320" t="n">
        <v>2016</v>
      </c>
      <c r="Y4" s="320" t="n">
        <v>2017</v>
      </c>
      <c r="Z4" s="320" t="n">
        <v>2018</v>
      </c>
      <c r="AA4" s="320" t="n">
        <v>2019</v>
      </c>
      <c r="AB4" s="320" t="n">
        <v>2020</v>
      </c>
      <c r="AC4" s="320" t="n">
        <v>2021</v>
      </c>
      <c r="AD4" s="320" t="n">
        <v>2022</v>
      </c>
      <c r="AE4" s="320" t="n">
        <v>2023</v>
      </c>
      <c r="AF4" s="571"/>
      <c r="AG4" s="571"/>
      <c r="AH4" s="571"/>
      <c r="AI4" s="571"/>
      <c r="AJ4" s="571"/>
      <c r="AK4" s="571"/>
      <c r="AL4" s="571"/>
      <c r="AM4" s="571"/>
      <c r="AN4" s="571"/>
      <c r="AO4" s="571"/>
      <c r="AP4" s="571"/>
      <c r="AQ4" s="571"/>
      <c r="AR4" s="571"/>
      <c r="AS4" s="571"/>
      <c r="AT4" s="571"/>
      <c r="AU4" s="571"/>
      <c r="AV4" s="571"/>
      <c r="AW4" s="571"/>
      <c r="AX4" s="571"/>
      <c r="AY4" s="571"/>
      <c r="AZ4" s="571"/>
      <c r="BA4" s="571"/>
      <c r="BB4" s="571"/>
      <c r="BC4" s="571"/>
      <c r="BD4" s="571"/>
      <c r="BE4" s="571"/>
      <c r="BF4" s="571"/>
      <c r="BG4" s="571"/>
      <c r="BH4" s="571"/>
      <c r="BI4" s="571"/>
      <c r="BJ4" s="571"/>
      <c r="BK4" s="571"/>
      <c r="BL4" s="571"/>
      <c r="BM4" s="571"/>
      <c r="BN4" s="571"/>
      <c r="BO4" s="571"/>
      <c r="BP4" s="571"/>
      <c r="BQ4" s="571"/>
      <c r="BR4" s="571"/>
      <c r="BS4" s="571"/>
      <c r="BT4" s="571"/>
      <c r="BU4" s="571"/>
      <c r="BV4" s="571"/>
      <c r="BW4" s="571"/>
      <c r="BX4" s="571"/>
      <c r="BY4" s="571"/>
      <c r="BZ4" s="571"/>
      <c r="CA4" s="571"/>
      <c r="CB4" s="571"/>
      <c r="CC4" s="571"/>
      <c r="CD4" s="571"/>
      <c r="CE4" s="571"/>
      <c r="CF4" s="571"/>
      <c r="CG4" s="571"/>
      <c r="CH4" s="571"/>
      <c r="CI4" s="571"/>
      <c r="CJ4" s="571"/>
      <c r="CK4" s="571"/>
      <c r="CL4" s="571"/>
      <c r="CM4" s="571"/>
      <c r="CN4" s="571"/>
      <c r="CO4" s="571"/>
      <c r="CP4" s="571"/>
      <c r="CQ4" s="571"/>
      <c r="CR4" s="571"/>
      <c r="CS4" s="571"/>
      <c r="CT4" s="571"/>
      <c r="CU4" s="571"/>
      <c r="CV4" s="571"/>
      <c r="CW4" s="571"/>
      <c r="CX4" s="571"/>
      <c r="CY4" s="571"/>
      <c r="CZ4" s="571"/>
      <c r="DA4" s="571"/>
      <c r="DB4" s="571"/>
      <c r="DC4" s="571"/>
      <c r="DD4" s="571"/>
      <c r="DE4" s="571"/>
      <c r="DF4" s="571"/>
      <c r="DG4" s="571"/>
      <c r="DH4" s="571"/>
      <c r="DI4" s="571"/>
      <c r="DJ4" s="571"/>
      <c r="DK4" s="571"/>
      <c r="DL4" s="571"/>
      <c r="DM4" s="571"/>
      <c r="DN4" s="571"/>
      <c r="DO4" s="571"/>
      <c r="DP4" s="571"/>
      <c r="DQ4" s="571"/>
      <c r="DR4" s="571"/>
      <c r="DS4" s="571"/>
      <c r="DT4" s="571"/>
      <c r="DU4" s="571"/>
      <c r="DV4" s="571"/>
      <c r="DW4" s="571"/>
      <c r="DX4" s="571"/>
      <c r="DY4" s="571"/>
      <c r="DZ4" s="571"/>
      <c r="EA4" s="571"/>
      <c r="EB4" s="571"/>
      <c r="EC4" s="571"/>
      <c r="ED4" s="571"/>
      <c r="EE4" s="571"/>
      <c r="EF4" s="571"/>
      <c r="EG4" s="571"/>
      <c r="EH4" s="571"/>
      <c r="EI4" s="571"/>
      <c r="EJ4" s="571"/>
      <c r="EK4" s="571"/>
      <c r="EL4" s="571"/>
      <c r="EM4" s="571"/>
      <c r="EN4" s="571"/>
      <c r="EO4" s="571"/>
      <c r="EP4" s="571"/>
      <c r="EQ4" s="571"/>
      <c r="ER4" s="571"/>
      <c r="ES4" s="571"/>
      <c r="ET4" s="571"/>
      <c r="EU4" s="571"/>
      <c r="EV4" s="571"/>
      <c r="EW4" s="571"/>
      <c r="EX4" s="571"/>
      <c r="EY4" s="571"/>
      <c r="EZ4" s="571"/>
      <c r="FA4" s="571"/>
      <c r="FB4" s="571"/>
      <c r="FC4" s="571"/>
      <c r="FD4" s="571"/>
      <c r="FE4" s="571"/>
      <c r="FF4" s="571"/>
      <c r="FG4" s="571"/>
      <c r="FH4" s="571"/>
      <c r="FI4" s="571"/>
      <c r="FJ4" s="571"/>
      <c r="FK4" s="571"/>
      <c r="FL4" s="571"/>
      <c r="FM4" s="571"/>
      <c r="FN4" s="571"/>
      <c r="FO4" s="571"/>
      <c r="FP4" s="571"/>
      <c r="FQ4" s="571"/>
      <c r="FR4" s="571"/>
      <c r="FS4" s="571"/>
      <c r="FT4" s="571"/>
      <c r="FU4" s="571"/>
      <c r="FV4" s="571"/>
      <c r="FW4" s="571"/>
      <c r="FX4" s="571"/>
      <c r="FY4" s="571"/>
      <c r="FZ4" s="571"/>
      <c r="GA4" s="571"/>
      <c r="GB4" s="571"/>
      <c r="GC4" s="571"/>
      <c r="GD4" s="571"/>
      <c r="GE4" s="571"/>
      <c r="GF4" s="571"/>
      <c r="GG4" s="571"/>
      <c r="GH4" s="571"/>
      <c r="GI4" s="571"/>
      <c r="GJ4" s="571"/>
      <c r="GK4" s="571"/>
      <c r="GL4" s="571"/>
      <c r="GM4" s="571"/>
      <c r="GN4" s="571"/>
      <c r="GO4" s="571"/>
      <c r="GP4" s="571"/>
      <c r="GQ4" s="571"/>
      <c r="GR4" s="571"/>
      <c r="GS4" s="571"/>
      <c r="GT4" s="571"/>
      <c r="GU4" s="571"/>
      <c r="GV4" s="571"/>
      <c r="GW4" s="571"/>
      <c r="GX4" s="571"/>
      <c r="GY4" s="571"/>
      <c r="GZ4" s="571"/>
      <c r="HA4" s="571"/>
      <c r="HB4" s="571"/>
      <c r="HC4" s="571"/>
      <c r="HD4" s="571"/>
      <c r="HE4" s="571"/>
      <c r="HF4" s="571"/>
      <c r="HG4" s="571"/>
      <c r="HH4" s="571"/>
      <c r="HI4" s="571"/>
      <c r="HJ4" s="571"/>
      <c r="HK4" s="571"/>
      <c r="HL4" s="571"/>
      <c r="HM4" s="571"/>
      <c r="HN4" s="571"/>
      <c r="HO4" s="571"/>
      <c r="HP4" s="571"/>
      <c r="HQ4" s="571"/>
      <c r="HR4" s="571"/>
      <c r="HS4" s="571"/>
      <c r="HT4" s="571"/>
      <c r="HU4" s="571"/>
      <c r="HV4" s="571"/>
      <c r="HW4" s="571"/>
      <c r="HX4" s="571"/>
      <c r="HY4" s="571"/>
      <c r="HZ4" s="571"/>
      <c r="IA4" s="571"/>
      <c r="IB4" s="571"/>
      <c r="IC4" s="571"/>
      <c r="ID4" s="571"/>
      <c r="IE4" s="571"/>
      <c r="IF4" s="571"/>
      <c r="IG4" s="571"/>
      <c r="IH4" s="571"/>
      <c r="II4" s="571"/>
      <c r="IJ4" s="571"/>
      <c r="IK4" s="571"/>
      <c r="IL4" s="571"/>
      <c r="IM4" s="571"/>
      <c r="IN4" s="571"/>
      <c r="IO4" s="571"/>
      <c r="IP4" s="571"/>
      <c r="IQ4" s="571"/>
      <c r="IR4" s="571"/>
      <c r="IS4" s="571"/>
      <c r="IT4" s="571"/>
      <c r="IU4" s="571"/>
      <c r="IV4" s="571"/>
      <c r="IW4" s="571"/>
    </row>
    <row r="5" customFormat="false" ht="12.75" hidden="false" customHeight="false" outlineLevel="0" collapsed="false">
      <c r="A5" s="572" t="s">
        <v>407</v>
      </c>
      <c r="B5" s="572"/>
      <c r="G5" s="94" t="n">
        <f aca="false">Assumptions!L53</f>
        <v>0</v>
      </c>
      <c r="H5" s="94" t="n">
        <v>12</v>
      </c>
      <c r="I5" s="94" t="n">
        <v>12</v>
      </c>
      <c r="J5" s="94" t="n">
        <v>12</v>
      </c>
      <c r="K5" s="94" t="n">
        <v>5</v>
      </c>
      <c r="L5" s="573"/>
      <c r="M5" s="573"/>
      <c r="N5" s="573"/>
      <c r="O5" s="573"/>
      <c r="P5" s="573"/>
      <c r="Q5" s="573"/>
      <c r="R5" s="573"/>
      <c r="S5" s="573"/>
      <c r="T5" s="573"/>
      <c r="U5" s="573"/>
      <c r="V5" s="573"/>
      <c r="W5" s="573"/>
      <c r="X5" s="573"/>
      <c r="Y5" s="573"/>
      <c r="Z5" s="573"/>
      <c r="AA5" s="573"/>
      <c r="AB5" s="574"/>
      <c r="AC5" s="574"/>
      <c r="AD5" s="575"/>
      <c r="AE5" s="575"/>
      <c r="AF5" s="571"/>
      <c r="AG5" s="571"/>
      <c r="AH5" s="571"/>
      <c r="AI5" s="571"/>
      <c r="AJ5" s="571"/>
      <c r="AK5" s="571"/>
      <c r="AL5" s="571"/>
      <c r="AM5" s="571"/>
      <c r="AN5" s="571"/>
      <c r="AO5" s="571"/>
      <c r="AP5" s="571"/>
      <c r="AQ5" s="571"/>
      <c r="AR5" s="571"/>
      <c r="AS5" s="571"/>
      <c r="AT5" s="571"/>
      <c r="AU5" s="571"/>
      <c r="AV5" s="571"/>
      <c r="AW5" s="571"/>
      <c r="AX5" s="571"/>
      <c r="AY5" s="571"/>
      <c r="AZ5" s="571"/>
      <c r="BA5" s="571"/>
      <c r="BB5" s="571"/>
      <c r="BC5" s="571"/>
      <c r="BD5" s="571"/>
      <c r="BE5" s="571"/>
      <c r="BF5" s="571"/>
      <c r="BG5" s="571"/>
      <c r="BH5" s="571"/>
      <c r="BI5" s="571"/>
      <c r="BJ5" s="571"/>
      <c r="BK5" s="571"/>
      <c r="BL5" s="571"/>
      <c r="BM5" s="571"/>
      <c r="BN5" s="571"/>
      <c r="BO5" s="571"/>
      <c r="BP5" s="571"/>
      <c r="BQ5" s="571"/>
      <c r="BR5" s="571"/>
      <c r="BS5" s="571"/>
      <c r="BT5" s="571"/>
      <c r="BU5" s="571"/>
      <c r="BV5" s="571"/>
      <c r="BW5" s="571"/>
      <c r="BX5" s="571"/>
      <c r="BY5" s="571"/>
      <c r="BZ5" s="571"/>
      <c r="CA5" s="571"/>
      <c r="CB5" s="571"/>
      <c r="CC5" s="571"/>
      <c r="CD5" s="571"/>
      <c r="CE5" s="571"/>
      <c r="CF5" s="571"/>
      <c r="CG5" s="571"/>
      <c r="CH5" s="571"/>
      <c r="CI5" s="571"/>
      <c r="CJ5" s="571"/>
      <c r="CK5" s="571"/>
      <c r="CL5" s="571"/>
      <c r="CM5" s="571"/>
      <c r="CN5" s="571"/>
      <c r="CO5" s="571"/>
      <c r="CP5" s="571"/>
      <c r="CQ5" s="571"/>
      <c r="CR5" s="571"/>
      <c r="CS5" s="571"/>
      <c r="CT5" s="571"/>
      <c r="CU5" s="571"/>
      <c r="CV5" s="571"/>
      <c r="CW5" s="571"/>
      <c r="CX5" s="571"/>
      <c r="CY5" s="571"/>
      <c r="CZ5" s="571"/>
      <c r="DA5" s="571"/>
      <c r="DB5" s="571"/>
      <c r="DC5" s="571"/>
      <c r="DD5" s="571"/>
      <c r="DE5" s="571"/>
      <c r="DF5" s="571"/>
      <c r="DG5" s="571"/>
      <c r="DH5" s="571"/>
      <c r="DI5" s="571"/>
      <c r="DJ5" s="571"/>
      <c r="DK5" s="571"/>
      <c r="DL5" s="571"/>
      <c r="DM5" s="571"/>
      <c r="DN5" s="571"/>
      <c r="DO5" s="571"/>
      <c r="DP5" s="571"/>
      <c r="DQ5" s="571"/>
      <c r="DR5" s="571"/>
      <c r="DS5" s="571"/>
      <c r="DT5" s="571"/>
      <c r="DU5" s="571"/>
      <c r="DV5" s="571"/>
      <c r="DW5" s="571"/>
      <c r="DX5" s="571"/>
      <c r="DY5" s="571"/>
      <c r="DZ5" s="571"/>
      <c r="EA5" s="571"/>
      <c r="EB5" s="571"/>
      <c r="EC5" s="571"/>
      <c r="ED5" s="571"/>
      <c r="EE5" s="571"/>
      <c r="EF5" s="571"/>
      <c r="EG5" s="571"/>
      <c r="EH5" s="571"/>
      <c r="EI5" s="571"/>
      <c r="EJ5" s="571"/>
      <c r="EK5" s="571"/>
      <c r="EL5" s="571"/>
      <c r="EM5" s="571"/>
      <c r="EN5" s="571"/>
      <c r="EO5" s="571"/>
      <c r="EP5" s="571"/>
      <c r="EQ5" s="571"/>
      <c r="ER5" s="571"/>
      <c r="ES5" s="571"/>
      <c r="ET5" s="571"/>
      <c r="EU5" s="571"/>
      <c r="EV5" s="571"/>
      <c r="EW5" s="571"/>
      <c r="EX5" s="571"/>
      <c r="EY5" s="571"/>
      <c r="EZ5" s="571"/>
      <c r="FA5" s="571"/>
      <c r="FB5" s="571"/>
      <c r="FC5" s="571"/>
      <c r="FD5" s="571"/>
      <c r="FE5" s="571"/>
      <c r="FF5" s="571"/>
      <c r="FG5" s="571"/>
      <c r="FH5" s="571"/>
      <c r="FI5" s="571"/>
      <c r="FJ5" s="571"/>
      <c r="FK5" s="571"/>
      <c r="FL5" s="571"/>
      <c r="FM5" s="571"/>
      <c r="FN5" s="571"/>
      <c r="FO5" s="571"/>
      <c r="FP5" s="571"/>
      <c r="FQ5" s="571"/>
      <c r="FR5" s="571"/>
      <c r="FS5" s="571"/>
      <c r="FT5" s="571"/>
      <c r="FU5" s="571"/>
      <c r="FV5" s="571"/>
      <c r="FW5" s="571"/>
      <c r="FX5" s="571"/>
      <c r="FY5" s="571"/>
      <c r="FZ5" s="571"/>
      <c r="GA5" s="571"/>
      <c r="GB5" s="571"/>
      <c r="GC5" s="571"/>
      <c r="GD5" s="571"/>
      <c r="GE5" s="571"/>
      <c r="GF5" s="571"/>
      <c r="GG5" s="571"/>
      <c r="GH5" s="571"/>
      <c r="GI5" s="571"/>
      <c r="GJ5" s="571"/>
      <c r="GK5" s="571"/>
      <c r="GL5" s="571"/>
      <c r="GM5" s="571"/>
      <c r="GN5" s="571"/>
      <c r="GO5" s="571"/>
      <c r="GP5" s="571"/>
      <c r="GQ5" s="571"/>
      <c r="GR5" s="571"/>
      <c r="GS5" s="571"/>
      <c r="GT5" s="571"/>
      <c r="GU5" s="571"/>
      <c r="GV5" s="571"/>
      <c r="GW5" s="571"/>
      <c r="GX5" s="571"/>
      <c r="GY5" s="571"/>
      <c r="GZ5" s="571"/>
      <c r="HA5" s="571"/>
      <c r="HB5" s="571"/>
      <c r="HC5" s="571"/>
      <c r="HD5" s="571"/>
      <c r="HE5" s="571"/>
      <c r="HF5" s="571"/>
      <c r="HG5" s="571"/>
      <c r="HH5" s="571"/>
      <c r="HI5" s="571"/>
      <c r="HJ5" s="571"/>
      <c r="HK5" s="571"/>
      <c r="HL5" s="571"/>
      <c r="HM5" s="571"/>
      <c r="HN5" s="571"/>
      <c r="HO5" s="571"/>
      <c r="HP5" s="571"/>
      <c r="HQ5" s="571"/>
      <c r="HR5" s="571"/>
      <c r="HS5" s="571"/>
      <c r="HT5" s="571"/>
      <c r="HU5" s="571"/>
      <c r="HV5" s="571"/>
      <c r="HW5" s="571"/>
      <c r="HX5" s="571"/>
      <c r="HY5" s="571"/>
      <c r="HZ5" s="571"/>
      <c r="IA5" s="571"/>
      <c r="IB5" s="571"/>
      <c r="IC5" s="571"/>
      <c r="ID5" s="571"/>
      <c r="IE5" s="571"/>
      <c r="IF5" s="571"/>
      <c r="IG5" s="571"/>
      <c r="IH5" s="571"/>
      <c r="II5" s="571"/>
      <c r="IJ5" s="571"/>
      <c r="IK5" s="571"/>
      <c r="IL5" s="571"/>
      <c r="IM5" s="571"/>
      <c r="IN5" s="571"/>
      <c r="IO5" s="571"/>
      <c r="IP5" s="571"/>
      <c r="IQ5" s="571"/>
      <c r="IR5" s="571"/>
      <c r="IS5" s="571"/>
      <c r="IT5" s="571"/>
      <c r="IU5" s="571"/>
      <c r="IV5" s="571"/>
      <c r="IW5" s="571"/>
    </row>
    <row r="6" customFormat="false" ht="12.75" hidden="false" customHeight="false" outlineLevel="0" collapsed="false">
      <c r="A6" s="572" t="s">
        <v>408</v>
      </c>
      <c r="B6" s="572"/>
      <c r="G6" s="94"/>
      <c r="H6" s="94"/>
      <c r="I6" s="94"/>
      <c r="J6" s="94"/>
      <c r="K6" s="94" t="n">
        <v>7</v>
      </c>
      <c r="L6" s="94" t="n">
        <v>12</v>
      </c>
      <c r="M6" s="94" t="n">
        <v>12</v>
      </c>
      <c r="N6" s="94" t="n">
        <v>12</v>
      </c>
      <c r="O6" s="94" t="n">
        <v>12</v>
      </c>
      <c r="P6" s="94" t="n">
        <v>12</v>
      </c>
      <c r="Q6" s="94" t="n">
        <v>12</v>
      </c>
      <c r="R6" s="94" t="n">
        <v>12</v>
      </c>
      <c r="S6" s="94" t="n">
        <v>12</v>
      </c>
      <c r="T6" s="94" t="n">
        <v>12</v>
      </c>
      <c r="U6" s="94" t="n">
        <v>12</v>
      </c>
      <c r="V6" s="94" t="n">
        <v>12</v>
      </c>
      <c r="W6" s="94" t="n">
        <v>12</v>
      </c>
      <c r="X6" s="94" t="n">
        <v>12</v>
      </c>
      <c r="Y6" s="94" t="n">
        <v>12</v>
      </c>
      <c r="Z6" s="94" t="n">
        <v>12</v>
      </c>
      <c r="AA6" s="94" t="n">
        <v>12</v>
      </c>
      <c r="AB6" s="576" t="n">
        <v>12</v>
      </c>
      <c r="AC6" s="576" t="n">
        <v>12</v>
      </c>
      <c r="AD6" s="575"/>
      <c r="AE6" s="575"/>
      <c r="AF6" s="571"/>
      <c r="AG6" s="571"/>
      <c r="AH6" s="571"/>
      <c r="AI6" s="571"/>
      <c r="AJ6" s="571"/>
      <c r="AK6" s="571"/>
      <c r="AL6" s="571"/>
      <c r="AM6" s="571"/>
      <c r="AN6" s="571"/>
      <c r="AO6" s="571"/>
      <c r="AP6" s="571"/>
      <c r="AQ6" s="571"/>
      <c r="AR6" s="571"/>
      <c r="AS6" s="571"/>
      <c r="AT6" s="571"/>
      <c r="AU6" s="571"/>
      <c r="AV6" s="571"/>
      <c r="AW6" s="571"/>
      <c r="AX6" s="571"/>
      <c r="AY6" s="571"/>
      <c r="AZ6" s="571"/>
      <c r="BA6" s="571"/>
      <c r="BB6" s="571"/>
      <c r="BC6" s="571"/>
      <c r="BD6" s="571"/>
      <c r="BE6" s="571"/>
      <c r="BF6" s="571"/>
      <c r="BG6" s="571"/>
      <c r="BH6" s="571"/>
      <c r="BI6" s="571"/>
      <c r="BJ6" s="571"/>
      <c r="BK6" s="571"/>
      <c r="BL6" s="571"/>
      <c r="BM6" s="571"/>
      <c r="BN6" s="571"/>
      <c r="BO6" s="571"/>
      <c r="BP6" s="571"/>
      <c r="BQ6" s="571"/>
      <c r="BR6" s="571"/>
      <c r="BS6" s="571"/>
      <c r="BT6" s="571"/>
      <c r="BU6" s="571"/>
      <c r="BV6" s="571"/>
      <c r="BW6" s="571"/>
      <c r="BX6" s="571"/>
      <c r="BY6" s="571"/>
      <c r="BZ6" s="571"/>
      <c r="CA6" s="571"/>
      <c r="CB6" s="571"/>
      <c r="CC6" s="571"/>
      <c r="CD6" s="571"/>
      <c r="CE6" s="571"/>
      <c r="CF6" s="571"/>
      <c r="CG6" s="571"/>
      <c r="CH6" s="571"/>
      <c r="CI6" s="571"/>
      <c r="CJ6" s="571"/>
      <c r="CK6" s="571"/>
      <c r="CL6" s="571"/>
      <c r="CM6" s="571"/>
      <c r="CN6" s="571"/>
      <c r="CO6" s="571"/>
      <c r="CP6" s="571"/>
      <c r="CQ6" s="571"/>
      <c r="CR6" s="571"/>
      <c r="CS6" s="571"/>
      <c r="CT6" s="571"/>
      <c r="CU6" s="571"/>
      <c r="CV6" s="571"/>
      <c r="CW6" s="571"/>
      <c r="CX6" s="571"/>
      <c r="CY6" s="571"/>
      <c r="CZ6" s="571"/>
      <c r="DA6" s="571"/>
      <c r="DB6" s="571"/>
      <c r="DC6" s="571"/>
      <c r="DD6" s="571"/>
      <c r="DE6" s="571"/>
      <c r="DF6" s="571"/>
      <c r="DG6" s="571"/>
      <c r="DH6" s="571"/>
      <c r="DI6" s="571"/>
      <c r="DJ6" s="571"/>
      <c r="DK6" s="571"/>
      <c r="DL6" s="571"/>
      <c r="DM6" s="571"/>
      <c r="DN6" s="571"/>
      <c r="DO6" s="571"/>
      <c r="DP6" s="571"/>
      <c r="DQ6" s="571"/>
      <c r="DR6" s="571"/>
      <c r="DS6" s="571"/>
      <c r="DT6" s="571"/>
      <c r="DU6" s="571"/>
      <c r="DV6" s="571"/>
      <c r="DW6" s="571"/>
      <c r="DX6" s="571"/>
      <c r="DY6" s="571"/>
      <c r="DZ6" s="571"/>
      <c r="EA6" s="571"/>
      <c r="EB6" s="571"/>
      <c r="EC6" s="571"/>
      <c r="ED6" s="571"/>
      <c r="EE6" s="571"/>
      <c r="EF6" s="571"/>
      <c r="EG6" s="571"/>
      <c r="EH6" s="571"/>
      <c r="EI6" s="571"/>
      <c r="EJ6" s="571"/>
      <c r="EK6" s="571"/>
      <c r="EL6" s="571"/>
      <c r="EM6" s="571"/>
      <c r="EN6" s="571"/>
      <c r="EO6" s="571"/>
      <c r="EP6" s="571"/>
      <c r="EQ6" s="571"/>
      <c r="ER6" s="571"/>
      <c r="ES6" s="571"/>
      <c r="ET6" s="571"/>
      <c r="EU6" s="571"/>
      <c r="EV6" s="571"/>
      <c r="EW6" s="571"/>
      <c r="EX6" s="571"/>
      <c r="EY6" s="571"/>
      <c r="EZ6" s="571"/>
      <c r="FA6" s="571"/>
      <c r="FB6" s="571"/>
      <c r="FC6" s="571"/>
      <c r="FD6" s="571"/>
      <c r="FE6" s="571"/>
      <c r="FF6" s="571"/>
      <c r="FG6" s="571"/>
      <c r="FH6" s="571"/>
      <c r="FI6" s="571"/>
      <c r="FJ6" s="571"/>
      <c r="FK6" s="571"/>
      <c r="FL6" s="571"/>
      <c r="FM6" s="571"/>
      <c r="FN6" s="571"/>
      <c r="FO6" s="571"/>
      <c r="FP6" s="571"/>
      <c r="FQ6" s="571"/>
      <c r="FR6" s="571"/>
      <c r="FS6" s="571"/>
      <c r="FT6" s="571"/>
      <c r="FU6" s="571"/>
      <c r="FV6" s="571"/>
      <c r="FW6" s="571"/>
      <c r="FX6" s="571"/>
      <c r="FY6" s="571"/>
      <c r="FZ6" s="571"/>
      <c r="GA6" s="571"/>
      <c r="GB6" s="571"/>
      <c r="GC6" s="571"/>
      <c r="GD6" s="571"/>
      <c r="GE6" s="571"/>
      <c r="GF6" s="571"/>
      <c r="GG6" s="571"/>
      <c r="GH6" s="571"/>
      <c r="GI6" s="571"/>
      <c r="GJ6" s="571"/>
      <c r="GK6" s="571"/>
      <c r="GL6" s="571"/>
      <c r="GM6" s="571"/>
      <c r="GN6" s="571"/>
      <c r="GO6" s="571"/>
      <c r="GP6" s="571"/>
      <c r="GQ6" s="571"/>
      <c r="GR6" s="571"/>
      <c r="GS6" s="571"/>
      <c r="GT6" s="571"/>
      <c r="GU6" s="571"/>
      <c r="GV6" s="571"/>
      <c r="GW6" s="571"/>
      <c r="GX6" s="571"/>
      <c r="GY6" s="571"/>
      <c r="GZ6" s="571"/>
      <c r="HA6" s="571"/>
      <c r="HB6" s="571"/>
      <c r="HC6" s="571"/>
      <c r="HD6" s="571"/>
      <c r="HE6" s="571"/>
      <c r="HF6" s="571"/>
      <c r="HG6" s="571"/>
      <c r="HH6" s="571"/>
      <c r="HI6" s="571"/>
      <c r="HJ6" s="571"/>
      <c r="HK6" s="571"/>
      <c r="HL6" s="571"/>
      <c r="HM6" s="571"/>
      <c r="HN6" s="571"/>
      <c r="HO6" s="571"/>
      <c r="HP6" s="571"/>
      <c r="HQ6" s="571"/>
      <c r="HR6" s="571"/>
      <c r="HS6" s="571"/>
      <c r="HT6" s="571"/>
      <c r="HU6" s="571"/>
      <c r="HV6" s="571"/>
      <c r="HW6" s="571"/>
      <c r="HX6" s="571"/>
      <c r="HY6" s="571"/>
      <c r="HZ6" s="571"/>
      <c r="IA6" s="571"/>
      <c r="IB6" s="571"/>
      <c r="IC6" s="571"/>
      <c r="ID6" s="571"/>
      <c r="IE6" s="571"/>
      <c r="IF6" s="571"/>
      <c r="IG6" s="571"/>
      <c r="IH6" s="571"/>
      <c r="II6" s="571"/>
      <c r="IJ6" s="571"/>
      <c r="IK6" s="571"/>
      <c r="IL6" s="571"/>
      <c r="IM6" s="571"/>
      <c r="IN6" s="571"/>
      <c r="IO6" s="571"/>
      <c r="IP6" s="571"/>
      <c r="IQ6" s="571"/>
      <c r="IR6" s="571"/>
      <c r="IS6" s="571"/>
      <c r="IT6" s="571"/>
      <c r="IU6" s="571"/>
      <c r="IV6" s="571"/>
      <c r="IW6" s="571"/>
    </row>
    <row r="7" customFormat="false" ht="12.75" hidden="false" customHeight="false" outlineLevel="0" collapsed="false">
      <c r="A7" s="572" t="s">
        <v>409</v>
      </c>
      <c r="B7" s="572"/>
      <c r="G7" s="94" t="n">
        <v>0</v>
      </c>
      <c r="H7" s="94" t="n">
        <f aca="false">Assumptions!Q53</f>
        <v>6</v>
      </c>
      <c r="I7" s="94" t="n">
        <v>12</v>
      </c>
      <c r="J7" s="94" t="n">
        <v>12</v>
      </c>
      <c r="K7" s="94" t="n">
        <v>5</v>
      </c>
      <c r="L7" s="573"/>
      <c r="M7" s="573"/>
      <c r="N7" s="573"/>
      <c r="O7" s="573"/>
      <c r="P7" s="573"/>
      <c r="Q7" s="573"/>
      <c r="R7" s="573"/>
      <c r="S7" s="573"/>
      <c r="T7" s="573"/>
      <c r="U7" s="573"/>
      <c r="V7" s="573"/>
      <c r="W7" s="573"/>
      <c r="X7" s="573"/>
      <c r="Y7" s="573"/>
      <c r="Z7" s="573"/>
      <c r="AA7" s="573"/>
      <c r="AB7" s="574"/>
      <c r="AC7" s="574"/>
      <c r="AD7" s="575"/>
      <c r="AE7" s="575"/>
      <c r="AF7" s="571"/>
      <c r="AG7" s="571"/>
      <c r="AH7" s="571"/>
      <c r="AI7" s="571"/>
      <c r="AJ7" s="571"/>
      <c r="AK7" s="571"/>
      <c r="AL7" s="571"/>
      <c r="AM7" s="571"/>
      <c r="AN7" s="571"/>
      <c r="AO7" s="571"/>
      <c r="AP7" s="571"/>
      <c r="AQ7" s="571"/>
      <c r="AR7" s="571"/>
      <c r="AS7" s="571"/>
      <c r="AT7" s="571"/>
      <c r="AU7" s="571"/>
      <c r="AV7" s="571"/>
      <c r="AW7" s="571"/>
      <c r="AX7" s="571"/>
      <c r="AY7" s="571"/>
      <c r="AZ7" s="571"/>
      <c r="BA7" s="571"/>
      <c r="BB7" s="571"/>
      <c r="BC7" s="571"/>
      <c r="BD7" s="571"/>
      <c r="BE7" s="571"/>
      <c r="BF7" s="571"/>
      <c r="BG7" s="571"/>
      <c r="BH7" s="571"/>
      <c r="BI7" s="571"/>
      <c r="BJ7" s="571"/>
      <c r="BK7" s="571"/>
      <c r="BL7" s="571"/>
      <c r="BM7" s="571"/>
      <c r="BN7" s="571"/>
      <c r="BO7" s="571"/>
      <c r="BP7" s="571"/>
      <c r="BQ7" s="571"/>
      <c r="BR7" s="571"/>
      <c r="BS7" s="571"/>
      <c r="BT7" s="571"/>
      <c r="BU7" s="571"/>
      <c r="BV7" s="571"/>
      <c r="BW7" s="571"/>
      <c r="BX7" s="571"/>
      <c r="BY7" s="571"/>
      <c r="BZ7" s="571"/>
      <c r="CA7" s="571"/>
      <c r="CB7" s="571"/>
      <c r="CC7" s="571"/>
      <c r="CD7" s="571"/>
      <c r="CE7" s="571"/>
      <c r="CF7" s="571"/>
      <c r="CG7" s="571"/>
      <c r="CH7" s="571"/>
      <c r="CI7" s="571"/>
      <c r="CJ7" s="571"/>
      <c r="CK7" s="571"/>
      <c r="CL7" s="571"/>
      <c r="CM7" s="571"/>
      <c r="CN7" s="571"/>
      <c r="CO7" s="571"/>
      <c r="CP7" s="571"/>
      <c r="CQ7" s="571"/>
      <c r="CR7" s="571"/>
      <c r="CS7" s="571"/>
      <c r="CT7" s="571"/>
      <c r="CU7" s="571"/>
      <c r="CV7" s="571"/>
      <c r="CW7" s="571"/>
      <c r="CX7" s="571"/>
      <c r="CY7" s="571"/>
      <c r="CZ7" s="571"/>
      <c r="DA7" s="571"/>
      <c r="DB7" s="571"/>
      <c r="DC7" s="571"/>
      <c r="DD7" s="571"/>
      <c r="DE7" s="571"/>
      <c r="DF7" s="571"/>
      <c r="DG7" s="571"/>
      <c r="DH7" s="571"/>
      <c r="DI7" s="571"/>
      <c r="DJ7" s="571"/>
      <c r="DK7" s="571"/>
      <c r="DL7" s="571"/>
      <c r="DM7" s="571"/>
      <c r="DN7" s="571"/>
      <c r="DO7" s="571"/>
      <c r="DP7" s="571"/>
      <c r="DQ7" s="571"/>
      <c r="DR7" s="571"/>
      <c r="DS7" s="571"/>
      <c r="DT7" s="571"/>
      <c r="DU7" s="571"/>
      <c r="DV7" s="571"/>
      <c r="DW7" s="571"/>
      <c r="DX7" s="571"/>
      <c r="DY7" s="571"/>
      <c r="DZ7" s="571"/>
      <c r="EA7" s="571"/>
      <c r="EB7" s="571"/>
      <c r="EC7" s="571"/>
      <c r="ED7" s="571"/>
      <c r="EE7" s="571"/>
      <c r="EF7" s="571"/>
      <c r="EG7" s="571"/>
      <c r="EH7" s="571"/>
      <c r="EI7" s="571"/>
      <c r="EJ7" s="571"/>
      <c r="EK7" s="571"/>
      <c r="EL7" s="571"/>
      <c r="EM7" s="571"/>
      <c r="EN7" s="571"/>
      <c r="EO7" s="571"/>
      <c r="EP7" s="571"/>
      <c r="EQ7" s="571"/>
      <c r="ER7" s="571"/>
      <c r="ES7" s="571"/>
      <c r="ET7" s="571"/>
      <c r="EU7" s="571"/>
      <c r="EV7" s="571"/>
      <c r="EW7" s="571"/>
      <c r="EX7" s="571"/>
      <c r="EY7" s="571"/>
      <c r="EZ7" s="571"/>
      <c r="FA7" s="571"/>
      <c r="FB7" s="571"/>
      <c r="FC7" s="571"/>
      <c r="FD7" s="571"/>
      <c r="FE7" s="571"/>
      <c r="FF7" s="571"/>
      <c r="FG7" s="571"/>
      <c r="FH7" s="571"/>
      <c r="FI7" s="571"/>
      <c r="FJ7" s="571"/>
      <c r="FK7" s="571"/>
      <c r="FL7" s="571"/>
      <c r="FM7" s="571"/>
      <c r="FN7" s="571"/>
      <c r="FO7" s="571"/>
      <c r="FP7" s="571"/>
      <c r="FQ7" s="571"/>
      <c r="FR7" s="571"/>
      <c r="FS7" s="571"/>
      <c r="FT7" s="571"/>
      <c r="FU7" s="571"/>
      <c r="FV7" s="571"/>
      <c r="FW7" s="571"/>
      <c r="FX7" s="571"/>
      <c r="FY7" s="571"/>
      <c r="FZ7" s="571"/>
      <c r="GA7" s="571"/>
      <c r="GB7" s="571"/>
      <c r="GC7" s="571"/>
      <c r="GD7" s="571"/>
      <c r="GE7" s="571"/>
      <c r="GF7" s="571"/>
      <c r="GG7" s="571"/>
      <c r="GH7" s="571"/>
      <c r="GI7" s="571"/>
      <c r="GJ7" s="571"/>
      <c r="GK7" s="571"/>
      <c r="GL7" s="571"/>
      <c r="GM7" s="571"/>
      <c r="GN7" s="571"/>
      <c r="GO7" s="571"/>
      <c r="GP7" s="571"/>
      <c r="GQ7" s="571"/>
      <c r="GR7" s="571"/>
      <c r="GS7" s="571"/>
      <c r="GT7" s="571"/>
      <c r="GU7" s="571"/>
      <c r="GV7" s="571"/>
      <c r="GW7" s="571"/>
      <c r="GX7" s="571"/>
      <c r="GY7" s="571"/>
      <c r="GZ7" s="571"/>
      <c r="HA7" s="571"/>
      <c r="HB7" s="571"/>
      <c r="HC7" s="571"/>
      <c r="HD7" s="571"/>
      <c r="HE7" s="571"/>
      <c r="HF7" s="571"/>
      <c r="HG7" s="571"/>
      <c r="HH7" s="571"/>
      <c r="HI7" s="571"/>
      <c r="HJ7" s="571"/>
      <c r="HK7" s="571"/>
      <c r="HL7" s="571"/>
      <c r="HM7" s="571"/>
      <c r="HN7" s="571"/>
      <c r="HO7" s="571"/>
      <c r="HP7" s="571"/>
      <c r="HQ7" s="571"/>
      <c r="HR7" s="571"/>
      <c r="HS7" s="571"/>
      <c r="HT7" s="571"/>
      <c r="HU7" s="571"/>
      <c r="HV7" s="571"/>
      <c r="HW7" s="571"/>
      <c r="HX7" s="571"/>
      <c r="HY7" s="571"/>
      <c r="HZ7" s="571"/>
      <c r="IA7" s="571"/>
      <c r="IB7" s="571"/>
      <c r="IC7" s="571"/>
      <c r="ID7" s="571"/>
      <c r="IE7" s="571"/>
      <c r="IF7" s="571"/>
      <c r="IG7" s="571"/>
      <c r="IH7" s="571"/>
      <c r="II7" s="571"/>
      <c r="IJ7" s="571"/>
      <c r="IK7" s="571"/>
      <c r="IL7" s="571"/>
      <c r="IM7" s="571"/>
      <c r="IN7" s="571"/>
      <c r="IO7" s="571"/>
      <c r="IP7" s="571"/>
      <c r="IQ7" s="571"/>
      <c r="IR7" s="571"/>
      <c r="IS7" s="571"/>
      <c r="IT7" s="571"/>
      <c r="IU7" s="571"/>
      <c r="IV7" s="571"/>
      <c r="IW7" s="571"/>
    </row>
    <row r="8" customFormat="false" ht="12.75" hidden="false" customHeight="false" outlineLevel="0" collapsed="false">
      <c r="A8" s="572" t="s">
        <v>410</v>
      </c>
      <c r="B8" s="572"/>
      <c r="G8" s="573"/>
      <c r="H8" s="573"/>
      <c r="I8" s="573"/>
      <c r="J8" s="573"/>
      <c r="K8" s="94" t="n">
        <v>7</v>
      </c>
      <c r="L8" s="94" t="n">
        <v>12</v>
      </c>
      <c r="M8" s="94" t="n">
        <v>12</v>
      </c>
      <c r="N8" s="94" t="n">
        <v>12</v>
      </c>
      <c r="O8" s="94" t="n">
        <v>12</v>
      </c>
      <c r="P8" s="94" t="n">
        <v>12</v>
      </c>
      <c r="Q8" s="94" t="n">
        <v>12</v>
      </c>
      <c r="R8" s="94" t="n">
        <v>12</v>
      </c>
      <c r="S8" s="94" t="n">
        <v>12</v>
      </c>
      <c r="T8" s="94" t="n">
        <v>12</v>
      </c>
      <c r="U8" s="94" t="n">
        <v>12</v>
      </c>
      <c r="V8" s="94" t="n">
        <v>12</v>
      </c>
      <c r="W8" s="94" t="n">
        <v>12</v>
      </c>
      <c r="X8" s="94" t="n">
        <v>12</v>
      </c>
      <c r="Y8" s="94" t="n">
        <v>12</v>
      </c>
      <c r="Z8" s="94" t="n">
        <v>12</v>
      </c>
      <c r="AA8" s="94" t="n">
        <v>12</v>
      </c>
      <c r="AB8" s="576" t="n">
        <v>12</v>
      </c>
      <c r="AC8" s="576" t="n">
        <v>12</v>
      </c>
      <c r="AD8" s="575"/>
      <c r="AE8" s="575"/>
      <c r="AF8" s="571"/>
      <c r="AG8" s="571"/>
      <c r="AH8" s="571"/>
      <c r="AI8" s="571"/>
      <c r="AJ8" s="571"/>
      <c r="AK8" s="571"/>
      <c r="AL8" s="571"/>
      <c r="AM8" s="571"/>
      <c r="AN8" s="571"/>
      <c r="AO8" s="571"/>
      <c r="AP8" s="571"/>
      <c r="AQ8" s="571"/>
      <c r="AR8" s="571"/>
      <c r="AS8" s="571"/>
      <c r="AT8" s="571"/>
      <c r="AU8" s="571"/>
      <c r="AV8" s="571"/>
      <c r="AW8" s="571"/>
      <c r="AX8" s="571"/>
      <c r="AY8" s="571"/>
      <c r="AZ8" s="571"/>
      <c r="BA8" s="571"/>
      <c r="BB8" s="571"/>
      <c r="BC8" s="571"/>
      <c r="BD8" s="571"/>
      <c r="BE8" s="571"/>
      <c r="BF8" s="571"/>
      <c r="BG8" s="571"/>
      <c r="BH8" s="571"/>
      <c r="BI8" s="571"/>
      <c r="BJ8" s="571"/>
      <c r="BK8" s="571"/>
      <c r="BL8" s="571"/>
      <c r="BM8" s="571"/>
      <c r="BN8" s="571"/>
      <c r="BO8" s="571"/>
      <c r="BP8" s="571"/>
      <c r="BQ8" s="571"/>
      <c r="BR8" s="571"/>
      <c r="BS8" s="571"/>
      <c r="BT8" s="571"/>
      <c r="BU8" s="571"/>
      <c r="BV8" s="571"/>
      <c r="BW8" s="571"/>
      <c r="BX8" s="571"/>
      <c r="BY8" s="571"/>
      <c r="BZ8" s="571"/>
      <c r="CA8" s="571"/>
      <c r="CB8" s="571"/>
      <c r="CC8" s="571"/>
      <c r="CD8" s="571"/>
      <c r="CE8" s="571"/>
      <c r="CF8" s="571"/>
      <c r="CG8" s="571"/>
      <c r="CH8" s="571"/>
      <c r="CI8" s="571"/>
      <c r="CJ8" s="571"/>
      <c r="CK8" s="571"/>
      <c r="CL8" s="571"/>
      <c r="CM8" s="571"/>
      <c r="CN8" s="571"/>
      <c r="CO8" s="571"/>
      <c r="CP8" s="571"/>
      <c r="CQ8" s="571"/>
      <c r="CR8" s="571"/>
      <c r="CS8" s="571"/>
      <c r="CT8" s="571"/>
      <c r="CU8" s="571"/>
      <c r="CV8" s="571"/>
      <c r="CW8" s="571"/>
      <c r="CX8" s="571"/>
      <c r="CY8" s="571"/>
      <c r="CZ8" s="571"/>
      <c r="DA8" s="571"/>
      <c r="DB8" s="571"/>
      <c r="DC8" s="571"/>
      <c r="DD8" s="571"/>
      <c r="DE8" s="571"/>
      <c r="DF8" s="571"/>
      <c r="DG8" s="571"/>
      <c r="DH8" s="571"/>
      <c r="DI8" s="571"/>
      <c r="DJ8" s="571"/>
      <c r="DK8" s="571"/>
      <c r="DL8" s="571"/>
      <c r="DM8" s="571"/>
      <c r="DN8" s="571"/>
      <c r="DO8" s="571"/>
      <c r="DP8" s="571"/>
      <c r="DQ8" s="571"/>
      <c r="DR8" s="571"/>
      <c r="DS8" s="571"/>
      <c r="DT8" s="571"/>
      <c r="DU8" s="571"/>
      <c r="DV8" s="571"/>
      <c r="DW8" s="571"/>
      <c r="DX8" s="571"/>
      <c r="DY8" s="571"/>
      <c r="DZ8" s="571"/>
      <c r="EA8" s="571"/>
      <c r="EB8" s="571"/>
      <c r="EC8" s="571"/>
      <c r="ED8" s="571"/>
      <c r="EE8" s="571"/>
      <c r="EF8" s="571"/>
      <c r="EG8" s="571"/>
      <c r="EH8" s="571"/>
      <c r="EI8" s="571"/>
      <c r="EJ8" s="571"/>
      <c r="EK8" s="571"/>
      <c r="EL8" s="571"/>
      <c r="EM8" s="571"/>
      <c r="EN8" s="571"/>
      <c r="EO8" s="571"/>
      <c r="EP8" s="571"/>
      <c r="EQ8" s="571"/>
      <c r="ER8" s="571"/>
      <c r="ES8" s="571"/>
      <c r="ET8" s="571"/>
      <c r="EU8" s="571"/>
      <c r="EV8" s="571"/>
      <c r="EW8" s="571"/>
      <c r="EX8" s="571"/>
      <c r="EY8" s="571"/>
      <c r="EZ8" s="571"/>
      <c r="FA8" s="571"/>
      <c r="FB8" s="571"/>
      <c r="FC8" s="571"/>
      <c r="FD8" s="571"/>
      <c r="FE8" s="571"/>
      <c r="FF8" s="571"/>
      <c r="FG8" s="571"/>
      <c r="FH8" s="571"/>
      <c r="FI8" s="571"/>
      <c r="FJ8" s="571"/>
      <c r="FK8" s="571"/>
      <c r="FL8" s="571"/>
      <c r="FM8" s="571"/>
      <c r="FN8" s="571"/>
      <c r="FO8" s="571"/>
      <c r="FP8" s="571"/>
      <c r="FQ8" s="571"/>
      <c r="FR8" s="571"/>
      <c r="FS8" s="571"/>
      <c r="FT8" s="571"/>
      <c r="FU8" s="571"/>
      <c r="FV8" s="571"/>
      <c r="FW8" s="571"/>
      <c r="FX8" s="571"/>
      <c r="FY8" s="571"/>
      <c r="FZ8" s="571"/>
      <c r="GA8" s="571"/>
      <c r="GB8" s="571"/>
      <c r="GC8" s="571"/>
      <c r="GD8" s="571"/>
      <c r="GE8" s="571"/>
      <c r="GF8" s="571"/>
      <c r="GG8" s="571"/>
      <c r="GH8" s="571"/>
      <c r="GI8" s="571"/>
      <c r="GJ8" s="571"/>
      <c r="GK8" s="571"/>
      <c r="GL8" s="571"/>
      <c r="GM8" s="571"/>
      <c r="GN8" s="571"/>
      <c r="GO8" s="571"/>
      <c r="GP8" s="571"/>
      <c r="GQ8" s="571"/>
      <c r="GR8" s="571"/>
      <c r="GS8" s="571"/>
      <c r="GT8" s="571"/>
      <c r="GU8" s="571"/>
      <c r="GV8" s="571"/>
      <c r="GW8" s="571"/>
      <c r="GX8" s="571"/>
      <c r="GY8" s="571"/>
      <c r="GZ8" s="571"/>
      <c r="HA8" s="571"/>
      <c r="HB8" s="571"/>
      <c r="HC8" s="571"/>
      <c r="HD8" s="571"/>
      <c r="HE8" s="571"/>
      <c r="HF8" s="571"/>
      <c r="HG8" s="571"/>
      <c r="HH8" s="571"/>
      <c r="HI8" s="571"/>
      <c r="HJ8" s="571"/>
      <c r="HK8" s="571"/>
      <c r="HL8" s="571"/>
      <c r="HM8" s="571"/>
      <c r="HN8" s="571"/>
      <c r="HO8" s="571"/>
      <c r="HP8" s="571"/>
      <c r="HQ8" s="571"/>
      <c r="HR8" s="571"/>
      <c r="HS8" s="571"/>
      <c r="HT8" s="571"/>
      <c r="HU8" s="571"/>
      <c r="HV8" s="571"/>
      <c r="HW8" s="571"/>
      <c r="HX8" s="571"/>
      <c r="HY8" s="571"/>
      <c r="HZ8" s="571"/>
      <c r="IA8" s="571"/>
      <c r="IB8" s="571"/>
      <c r="IC8" s="571"/>
      <c r="ID8" s="571"/>
      <c r="IE8" s="571"/>
      <c r="IF8" s="571"/>
      <c r="IG8" s="571"/>
      <c r="IH8" s="571"/>
      <c r="II8" s="571"/>
      <c r="IJ8" s="571"/>
      <c r="IK8" s="571"/>
      <c r="IL8" s="571"/>
      <c r="IM8" s="571"/>
      <c r="IN8" s="571"/>
      <c r="IO8" s="571"/>
      <c r="IP8" s="571"/>
      <c r="IQ8" s="571"/>
      <c r="IR8" s="571"/>
      <c r="IS8" s="571"/>
      <c r="IT8" s="571"/>
      <c r="IU8" s="571"/>
      <c r="IV8" s="571"/>
      <c r="IW8" s="571"/>
    </row>
    <row r="11" customFormat="false" ht="15.75" hidden="false" customHeight="false" outlineLevel="0" collapsed="false">
      <c r="A11" s="3" t="s">
        <v>120</v>
      </c>
      <c r="AF11" s="577" t="s">
        <v>411</v>
      </c>
      <c r="AG11" s="578"/>
    </row>
    <row r="12" customFormat="false" ht="15.75" hidden="false" customHeight="false" outlineLevel="0" collapsed="false">
      <c r="A12" s="3"/>
      <c r="AF12" s="579" t="s">
        <v>412</v>
      </c>
      <c r="AG12" s="580"/>
    </row>
    <row r="13" customFormat="false" ht="12.75" hidden="false" customHeight="false" outlineLevel="0" collapsed="false">
      <c r="A13" s="581" t="s">
        <v>413</v>
      </c>
      <c r="C13" s="582"/>
      <c r="D13" s="582"/>
      <c r="E13" s="582"/>
      <c r="F13" s="582"/>
      <c r="G13" s="583"/>
      <c r="H13" s="583"/>
      <c r="I13" s="583"/>
      <c r="J13" s="583"/>
      <c r="K13" s="583"/>
      <c r="L13" s="583"/>
      <c r="M13" s="583"/>
      <c r="N13" s="583"/>
      <c r="O13" s="583"/>
      <c r="P13" s="583"/>
      <c r="Q13" s="583"/>
      <c r="R13" s="583"/>
      <c r="S13" s="583"/>
      <c r="T13" s="583"/>
      <c r="U13" s="583"/>
      <c r="V13" s="583"/>
      <c r="W13" s="583"/>
      <c r="X13" s="583"/>
      <c r="Y13" s="583"/>
      <c r="Z13" s="583"/>
      <c r="AA13" s="583"/>
      <c r="AB13" s="583"/>
      <c r="AC13" s="583"/>
      <c r="AD13" s="584"/>
      <c r="AE13" s="584"/>
      <c r="AF13" s="579" t="s">
        <v>186</v>
      </c>
      <c r="AG13" s="585" t="s">
        <v>414</v>
      </c>
      <c r="AH13" s="586"/>
      <c r="AI13" s="586"/>
      <c r="AJ13" s="586"/>
      <c r="AK13" s="586"/>
      <c r="AL13" s="586"/>
      <c r="AM13" s="586"/>
      <c r="AN13" s="586"/>
      <c r="AO13" s="586"/>
      <c r="AP13" s="586"/>
      <c r="AQ13" s="586"/>
      <c r="AR13" s="586"/>
      <c r="AS13" s="586"/>
      <c r="AT13" s="586"/>
      <c r="AU13" s="586"/>
      <c r="AV13" s="586"/>
      <c r="AW13" s="586"/>
      <c r="AX13" s="586"/>
      <c r="AY13" s="586"/>
      <c r="AZ13" s="586"/>
      <c r="BA13" s="586"/>
      <c r="BB13" s="586"/>
      <c r="BC13" s="586"/>
      <c r="BD13" s="586"/>
      <c r="BE13" s="586"/>
      <c r="BF13" s="586"/>
      <c r="BG13" s="586"/>
      <c r="BH13" s="586"/>
      <c r="BI13" s="586"/>
      <c r="BJ13" s="586"/>
      <c r="BK13" s="586"/>
      <c r="BL13" s="586"/>
      <c r="BM13" s="586"/>
      <c r="BN13" s="586"/>
      <c r="BO13" s="586"/>
      <c r="BP13" s="586"/>
      <c r="BQ13" s="586"/>
      <c r="BR13" s="586"/>
      <c r="BS13" s="586"/>
      <c r="BT13" s="586"/>
      <c r="BU13" s="586"/>
      <c r="BV13" s="586"/>
      <c r="BW13" s="586"/>
      <c r="BX13" s="586"/>
      <c r="BY13" s="586"/>
      <c r="BZ13" s="586"/>
      <c r="CA13" s="586"/>
      <c r="CB13" s="586"/>
      <c r="CC13" s="586"/>
      <c r="CD13" s="586"/>
      <c r="CE13" s="586"/>
      <c r="CF13" s="586"/>
      <c r="CG13" s="586"/>
      <c r="CH13" s="586"/>
      <c r="CI13" s="586"/>
      <c r="CJ13" s="586"/>
      <c r="CK13" s="586"/>
      <c r="CL13" s="586"/>
      <c r="CM13" s="586"/>
      <c r="CN13" s="586"/>
      <c r="CO13" s="586"/>
      <c r="CP13" s="586"/>
      <c r="CQ13" s="586"/>
      <c r="CR13" s="586"/>
      <c r="CS13" s="586"/>
      <c r="CT13" s="586"/>
      <c r="CU13" s="586"/>
      <c r="CV13" s="586"/>
      <c r="CW13" s="586"/>
      <c r="CX13" s="586"/>
      <c r="CY13" s="586"/>
      <c r="CZ13" s="586"/>
      <c r="DA13" s="586"/>
      <c r="DB13" s="586"/>
      <c r="DC13" s="586"/>
      <c r="DD13" s="586"/>
      <c r="DE13" s="586"/>
      <c r="DF13" s="586"/>
      <c r="DG13" s="586"/>
      <c r="DH13" s="586"/>
      <c r="DI13" s="586"/>
      <c r="DJ13" s="586"/>
      <c r="DK13" s="586"/>
      <c r="DL13" s="586"/>
      <c r="DM13" s="586"/>
      <c r="DN13" s="586"/>
      <c r="DO13" s="586"/>
      <c r="DP13" s="586"/>
      <c r="DQ13" s="586"/>
      <c r="DR13" s="586"/>
      <c r="DS13" s="586"/>
      <c r="DT13" s="586"/>
      <c r="DU13" s="586"/>
      <c r="DV13" s="586"/>
      <c r="DW13" s="586"/>
      <c r="DX13" s="586"/>
      <c r="DY13" s="586"/>
      <c r="DZ13" s="586"/>
      <c r="EA13" s="586"/>
      <c r="EB13" s="586"/>
      <c r="EC13" s="586"/>
      <c r="ED13" s="586"/>
      <c r="EE13" s="586"/>
      <c r="EF13" s="586"/>
      <c r="EG13" s="586"/>
      <c r="EH13" s="586"/>
      <c r="EI13" s="586"/>
      <c r="EJ13" s="586"/>
      <c r="EK13" s="586"/>
      <c r="EL13" s="586"/>
      <c r="EM13" s="586"/>
      <c r="EN13" s="586"/>
      <c r="EO13" s="586"/>
      <c r="EP13" s="586"/>
      <c r="EQ13" s="586"/>
      <c r="ER13" s="586"/>
      <c r="ES13" s="586"/>
      <c r="ET13" s="586"/>
      <c r="EU13" s="586"/>
      <c r="EV13" s="586"/>
      <c r="EW13" s="586"/>
      <c r="EX13" s="586"/>
      <c r="EY13" s="586"/>
      <c r="EZ13" s="586"/>
      <c r="FA13" s="586"/>
      <c r="FB13" s="586"/>
      <c r="FC13" s="586"/>
      <c r="FD13" s="586"/>
      <c r="FE13" s="586"/>
      <c r="FF13" s="586"/>
      <c r="FG13" s="586"/>
      <c r="FH13" s="586"/>
      <c r="FI13" s="586"/>
      <c r="FJ13" s="586"/>
      <c r="FK13" s="586"/>
      <c r="FL13" s="586"/>
      <c r="FM13" s="586"/>
      <c r="FN13" s="586"/>
      <c r="FO13" s="586"/>
      <c r="FP13" s="586"/>
      <c r="FQ13" s="586"/>
      <c r="FR13" s="586"/>
      <c r="FS13" s="586"/>
      <c r="FT13" s="586"/>
      <c r="FU13" s="586"/>
      <c r="FV13" s="586"/>
      <c r="FW13" s="586"/>
      <c r="FX13" s="586"/>
      <c r="FY13" s="586"/>
      <c r="FZ13" s="586"/>
      <c r="GA13" s="586"/>
      <c r="GB13" s="586"/>
      <c r="GC13" s="586"/>
      <c r="GD13" s="586"/>
      <c r="GE13" s="586"/>
      <c r="GF13" s="586"/>
      <c r="GG13" s="586"/>
      <c r="GH13" s="586"/>
      <c r="GI13" s="586"/>
      <c r="GJ13" s="586"/>
      <c r="GK13" s="586"/>
      <c r="GL13" s="586"/>
      <c r="GM13" s="586"/>
      <c r="GN13" s="586"/>
      <c r="GO13" s="586"/>
      <c r="GP13" s="586"/>
      <c r="GQ13" s="586"/>
      <c r="GR13" s="586"/>
      <c r="GS13" s="586"/>
      <c r="GT13" s="586"/>
      <c r="GU13" s="586"/>
      <c r="GV13" s="586"/>
      <c r="GW13" s="586"/>
      <c r="GX13" s="586"/>
      <c r="GY13" s="586"/>
      <c r="GZ13" s="586"/>
      <c r="HA13" s="586"/>
      <c r="HB13" s="586"/>
      <c r="HC13" s="586"/>
      <c r="HD13" s="586"/>
      <c r="HE13" s="586"/>
      <c r="HF13" s="586"/>
      <c r="HG13" s="586"/>
      <c r="HH13" s="586"/>
      <c r="HI13" s="586"/>
      <c r="HJ13" s="586"/>
      <c r="HK13" s="586"/>
      <c r="HL13" s="586"/>
      <c r="HM13" s="586"/>
      <c r="HN13" s="586"/>
      <c r="HO13" s="586"/>
      <c r="HP13" s="586"/>
      <c r="HQ13" s="586"/>
      <c r="HR13" s="586"/>
      <c r="HS13" s="586"/>
      <c r="HT13" s="586"/>
      <c r="HU13" s="586"/>
      <c r="HV13" s="586"/>
      <c r="HW13" s="586"/>
      <c r="HX13" s="586"/>
      <c r="HY13" s="586"/>
      <c r="HZ13" s="586"/>
      <c r="IA13" s="586"/>
      <c r="IB13" s="586"/>
      <c r="IC13" s="586"/>
      <c r="ID13" s="586"/>
      <c r="IE13" s="586"/>
      <c r="IF13" s="586"/>
      <c r="IG13" s="586"/>
      <c r="IH13" s="586"/>
      <c r="II13" s="586"/>
      <c r="IJ13" s="586"/>
      <c r="IK13" s="586"/>
      <c r="IL13" s="586"/>
      <c r="IM13" s="586"/>
      <c r="IN13" s="586"/>
      <c r="IO13" s="586"/>
      <c r="IP13" s="586"/>
      <c r="IQ13" s="586"/>
      <c r="IR13" s="586"/>
      <c r="IS13" s="586"/>
      <c r="IT13" s="586"/>
      <c r="IU13" s="586"/>
      <c r="IV13" s="586"/>
      <c r="IW13" s="586"/>
    </row>
    <row r="14" customFormat="false" ht="12.75" hidden="false" customHeight="false" outlineLevel="0" collapsed="false">
      <c r="B14" s="587" t="s">
        <v>415</v>
      </c>
      <c r="G14" s="406"/>
      <c r="H14" s="588"/>
      <c r="I14" s="588"/>
      <c r="J14" s="588"/>
      <c r="K14" s="588"/>
      <c r="L14" s="588"/>
      <c r="M14" s="588"/>
      <c r="N14" s="588"/>
      <c r="O14" s="588"/>
      <c r="P14" s="588"/>
      <c r="Q14" s="588"/>
      <c r="R14" s="588"/>
      <c r="S14" s="588"/>
      <c r="T14" s="588"/>
      <c r="U14" s="588"/>
      <c r="AD14" s="584"/>
      <c r="AE14" s="584"/>
      <c r="AF14" s="579" t="n">
        <v>0</v>
      </c>
      <c r="AG14" s="589" t="n">
        <v>0</v>
      </c>
      <c r="AH14" s="586"/>
      <c r="AI14" s="586"/>
      <c r="AJ14" s="586"/>
      <c r="AK14" s="586"/>
      <c r="AL14" s="586"/>
      <c r="AM14" s="586"/>
      <c r="AN14" s="586"/>
      <c r="AO14" s="586"/>
      <c r="AP14" s="586"/>
      <c r="AQ14" s="586"/>
      <c r="AR14" s="586"/>
      <c r="AS14" s="586"/>
      <c r="AT14" s="586"/>
      <c r="AU14" s="586"/>
      <c r="AV14" s="586"/>
      <c r="AW14" s="586"/>
      <c r="AX14" s="586"/>
      <c r="AY14" s="586"/>
      <c r="AZ14" s="586"/>
      <c r="BA14" s="586"/>
      <c r="BB14" s="586"/>
      <c r="BC14" s="586"/>
      <c r="BD14" s="586"/>
      <c r="BE14" s="586"/>
      <c r="BF14" s="586"/>
      <c r="BG14" s="586"/>
      <c r="BH14" s="586"/>
      <c r="BI14" s="586"/>
      <c r="BJ14" s="586"/>
      <c r="BK14" s="586"/>
      <c r="BL14" s="586"/>
      <c r="BM14" s="586"/>
      <c r="BN14" s="586"/>
      <c r="BO14" s="586"/>
      <c r="BP14" s="586"/>
      <c r="BQ14" s="586"/>
      <c r="BR14" s="586"/>
      <c r="BS14" s="586"/>
      <c r="BT14" s="586"/>
      <c r="BU14" s="586"/>
      <c r="BV14" s="586"/>
      <c r="BW14" s="586"/>
      <c r="BX14" s="586"/>
      <c r="BY14" s="586"/>
      <c r="BZ14" s="586"/>
      <c r="CA14" s="586"/>
      <c r="CB14" s="586"/>
      <c r="CC14" s="586"/>
      <c r="CD14" s="586"/>
      <c r="CE14" s="586"/>
      <c r="CF14" s="586"/>
      <c r="CG14" s="586"/>
      <c r="CH14" s="586"/>
      <c r="CI14" s="586"/>
      <c r="CJ14" s="586"/>
      <c r="CK14" s="586"/>
      <c r="CL14" s="586"/>
      <c r="CM14" s="586"/>
      <c r="CN14" s="586"/>
      <c r="CO14" s="586"/>
      <c r="CP14" s="586"/>
      <c r="CQ14" s="586"/>
      <c r="CR14" s="586"/>
      <c r="CS14" s="586"/>
      <c r="CT14" s="586"/>
      <c r="CU14" s="586"/>
      <c r="CV14" s="586"/>
      <c r="CW14" s="586"/>
      <c r="CX14" s="586"/>
      <c r="CY14" s="586"/>
      <c r="CZ14" s="586"/>
      <c r="DA14" s="586"/>
      <c r="DB14" s="586"/>
      <c r="DC14" s="586"/>
      <c r="DD14" s="586"/>
      <c r="DE14" s="586"/>
      <c r="DF14" s="586"/>
      <c r="DG14" s="586"/>
      <c r="DH14" s="586"/>
      <c r="DI14" s="586"/>
      <c r="DJ14" s="586"/>
      <c r="DK14" s="586"/>
      <c r="DL14" s="586"/>
      <c r="DM14" s="586"/>
      <c r="DN14" s="586"/>
      <c r="DO14" s="586"/>
      <c r="DP14" s="586"/>
      <c r="DQ14" s="586"/>
      <c r="DR14" s="586"/>
      <c r="DS14" s="586"/>
      <c r="DT14" s="586"/>
      <c r="DU14" s="586"/>
      <c r="DV14" s="586"/>
      <c r="DW14" s="586"/>
      <c r="DX14" s="586"/>
      <c r="DY14" s="586"/>
      <c r="DZ14" s="586"/>
      <c r="EA14" s="586"/>
      <c r="EB14" s="586"/>
      <c r="EC14" s="586"/>
      <c r="ED14" s="586"/>
      <c r="EE14" s="586"/>
      <c r="EF14" s="586"/>
      <c r="EG14" s="586"/>
      <c r="EH14" s="586"/>
      <c r="EI14" s="586"/>
      <c r="EJ14" s="586"/>
      <c r="EK14" s="586"/>
      <c r="EL14" s="586"/>
      <c r="EM14" s="586"/>
      <c r="EN14" s="586"/>
      <c r="EO14" s="586"/>
      <c r="EP14" s="586"/>
      <c r="EQ14" s="586"/>
      <c r="ER14" s="586"/>
      <c r="ES14" s="586"/>
      <c r="ET14" s="586"/>
      <c r="EU14" s="586"/>
      <c r="EV14" s="586"/>
      <c r="EW14" s="586"/>
      <c r="EX14" s="586"/>
      <c r="EY14" s="586"/>
      <c r="EZ14" s="586"/>
      <c r="FA14" s="586"/>
      <c r="FB14" s="586"/>
      <c r="FC14" s="586"/>
      <c r="FD14" s="586"/>
      <c r="FE14" s="586"/>
      <c r="FF14" s="586"/>
      <c r="FG14" s="586"/>
      <c r="FH14" s="586"/>
      <c r="FI14" s="586"/>
      <c r="FJ14" s="586"/>
      <c r="FK14" s="586"/>
      <c r="FL14" s="586"/>
      <c r="FM14" s="586"/>
      <c r="FN14" s="586"/>
      <c r="FO14" s="586"/>
      <c r="FP14" s="586"/>
      <c r="FQ14" s="586"/>
      <c r="FR14" s="586"/>
      <c r="FS14" s="586"/>
      <c r="FT14" s="586"/>
      <c r="FU14" s="586"/>
      <c r="FV14" s="586"/>
      <c r="FW14" s="586"/>
      <c r="FX14" s="586"/>
      <c r="FY14" s="586"/>
      <c r="FZ14" s="586"/>
      <c r="GA14" s="586"/>
      <c r="GB14" s="586"/>
      <c r="GC14" s="586"/>
      <c r="GD14" s="586"/>
      <c r="GE14" s="586"/>
      <c r="GF14" s="586"/>
      <c r="GG14" s="586"/>
      <c r="GH14" s="586"/>
      <c r="GI14" s="586"/>
      <c r="GJ14" s="586"/>
      <c r="GK14" s="586"/>
      <c r="GL14" s="586"/>
      <c r="GM14" s="586"/>
      <c r="GN14" s="586"/>
      <c r="GO14" s="586"/>
      <c r="GP14" s="586"/>
      <c r="GQ14" s="586"/>
      <c r="GR14" s="586"/>
      <c r="GS14" s="586"/>
      <c r="GT14" s="586"/>
      <c r="GU14" s="586"/>
      <c r="GV14" s="586"/>
      <c r="GW14" s="586"/>
      <c r="GX14" s="586"/>
      <c r="GY14" s="586"/>
      <c r="GZ14" s="586"/>
      <c r="HA14" s="586"/>
      <c r="HB14" s="586"/>
      <c r="HC14" s="586"/>
      <c r="HD14" s="586"/>
      <c r="HE14" s="586"/>
      <c r="HF14" s="586"/>
      <c r="HG14" s="586"/>
      <c r="HH14" s="586"/>
      <c r="HI14" s="586"/>
      <c r="HJ14" s="586"/>
      <c r="HK14" s="586"/>
      <c r="HL14" s="586"/>
      <c r="HM14" s="586"/>
      <c r="HN14" s="586"/>
      <c r="HO14" s="586"/>
      <c r="HP14" s="586"/>
      <c r="HQ14" s="586"/>
      <c r="HR14" s="586"/>
      <c r="HS14" s="586"/>
      <c r="HT14" s="586"/>
      <c r="HU14" s="586"/>
      <c r="HV14" s="586"/>
      <c r="HW14" s="586"/>
      <c r="HX14" s="586"/>
      <c r="HY14" s="586"/>
      <c r="HZ14" s="586"/>
      <c r="IA14" s="586"/>
      <c r="IB14" s="586"/>
      <c r="IC14" s="586"/>
      <c r="ID14" s="586"/>
      <c r="IE14" s="586"/>
      <c r="IF14" s="586"/>
      <c r="IG14" s="586"/>
      <c r="IH14" s="586"/>
      <c r="II14" s="586"/>
      <c r="IJ14" s="586"/>
      <c r="IK14" s="586"/>
      <c r="IL14" s="586"/>
      <c r="IM14" s="586"/>
      <c r="IN14" s="586"/>
      <c r="IO14" s="586"/>
      <c r="IP14" s="586"/>
      <c r="IQ14" s="586"/>
      <c r="IR14" s="586"/>
      <c r="IS14" s="586"/>
      <c r="IT14" s="586"/>
      <c r="IU14" s="586"/>
      <c r="IV14" s="586"/>
      <c r="IW14" s="586"/>
    </row>
    <row r="15" customFormat="false" ht="12.75" hidden="false" customHeight="false" outlineLevel="0" collapsed="false">
      <c r="A15" s="590" t="s">
        <v>416</v>
      </c>
      <c r="B15" s="591" t="n">
        <f aca="false">Assumptions!$D$41</f>
        <v>15</v>
      </c>
      <c r="C15" s="592"/>
      <c r="D15" s="592"/>
      <c r="E15" s="592"/>
      <c r="F15" s="592"/>
      <c r="G15" s="406" t="n">
        <f aca="false">VLOOKUP(G3+IF($G$5&gt;0,1,0),$AF$14:$AG$30,2)</f>
        <v>0</v>
      </c>
      <c r="H15" s="406" t="n">
        <f aca="false">VLOOKUP(H3+IF($G$5&gt;0,1,0),$AF$14:$AG$30,2)</f>
        <v>0.05</v>
      </c>
      <c r="I15" s="406" t="n">
        <f aca="false">VLOOKUP(I3+IF($G$5&gt;0,1,0),$AF$14:$AG$30,2)</f>
        <v>0.095</v>
      </c>
      <c r="J15" s="406" t="n">
        <f aca="false">VLOOKUP(J3+IF($G$5&gt;0,1,0),$AF$14:$AG$30,2)</f>
        <v>0.0855</v>
      </c>
      <c r="K15" s="406" t="n">
        <f aca="false">VLOOKUP(K3+IF($G$5&gt;0,1,0),$AF$14:$AG$30,2)</f>
        <v>0.077</v>
      </c>
      <c r="L15" s="406" t="n">
        <f aca="false">VLOOKUP(L3+IF($G$5&gt;0,1,0),$AF$14:$AG$30,2)</f>
        <v>0.0693</v>
      </c>
      <c r="M15" s="406" t="n">
        <f aca="false">VLOOKUP(M3+IF($G$5&gt;0,1,0),$AF$14:$AG$30,2)</f>
        <v>0.0623</v>
      </c>
      <c r="N15" s="406" t="n">
        <f aca="false">VLOOKUP(N3+IF($G$5&gt;0,1,0),$AF$14:$AG$30,2)</f>
        <v>0.059</v>
      </c>
      <c r="O15" s="406" t="n">
        <f aca="false">VLOOKUP(O3+IF($G$5&gt;0,1,0),$AF$14:$AG$30,2)</f>
        <v>0.0591</v>
      </c>
      <c r="P15" s="406" t="n">
        <f aca="false">VLOOKUP(P3+IF($G$5&gt;0,1,0),$AF$14:$AG$30,2)</f>
        <v>0.059</v>
      </c>
      <c r="Q15" s="406" t="n">
        <f aca="false">VLOOKUP(Q3+IF($G$5&gt;0,1,0),$AF$14:$AG$30,2)</f>
        <v>0.0591</v>
      </c>
      <c r="R15" s="406" t="n">
        <f aca="false">VLOOKUP(R3+IF($G$5&gt;0,1,0),$AF$14:$AG$30,2)</f>
        <v>0.059</v>
      </c>
      <c r="S15" s="406" t="n">
        <f aca="false">VLOOKUP(S3+IF($G$5&gt;0,1,0),$AF$14:$AG$30,2)</f>
        <v>0.0591</v>
      </c>
      <c r="T15" s="406" t="n">
        <f aca="false">VLOOKUP(T3+IF($G$5&gt;0,1,0),$AF$14:$AG$30,2)</f>
        <v>0.059</v>
      </c>
      <c r="U15" s="406" t="n">
        <f aca="false">VLOOKUP(U3+IF($G$5&gt;0,1,0),$AF$14:$AG$30,2)</f>
        <v>0.0591</v>
      </c>
      <c r="V15" s="406" t="n">
        <f aca="false">VLOOKUP(V3+IF($G$5&gt;0,1,0),$AF$14:$AG$30,2)</f>
        <v>0.059</v>
      </c>
      <c r="W15" s="406" t="n">
        <f aca="false">VLOOKUP(W3+IF($G$5&gt;0,1,0),$AF$14:$AG$30,2)</f>
        <v>0.0295</v>
      </c>
      <c r="X15" s="406" t="n">
        <v>0</v>
      </c>
      <c r="Y15" s="406" t="n">
        <v>0</v>
      </c>
      <c r="Z15" s="406" t="n">
        <v>0</v>
      </c>
      <c r="AA15" s="406" t="n">
        <v>0</v>
      </c>
      <c r="AB15" s="406" t="n">
        <v>0</v>
      </c>
      <c r="AC15" s="406" t="n">
        <v>0</v>
      </c>
      <c r="AD15" s="584"/>
      <c r="AE15" s="584"/>
      <c r="AF15" s="579" t="n">
        <v>1</v>
      </c>
      <c r="AG15" s="589" t="n">
        <v>0.05</v>
      </c>
      <c r="AH15" s="586"/>
      <c r="AI15" s="586"/>
      <c r="AJ15" s="586"/>
      <c r="AK15" s="586"/>
      <c r="AL15" s="586"/>
      <c r="AM15" s="586"/>
      <c r="AN15" s="586"/>
      <c r="AO15" s="586"/>
      <c r="AP15" s="586"/>
      <c r="AQ15" s="586"/>
      <c r="AR15" s="586"/>
      <c r="AS15" s="586"/>
      <c r="AT15" s="586"/>
      <c r="AU15" s="586"/>
      <c r="AV15" s="586"/>
      <c r="AW15" s="586"/>
      <c r="AX15" s="586"/>
      <c r="AY15" s="586"/>
      <c r="AZ15" s="586"/>
      <c r="BA15" s="586"/>
      <c r="BB15" s="586"/>
      <c r="BC15" s="586"/>
      <c r="BD15" s="586"/>
      <c r="BE15" s="586"/>
      <c r="BF15" s="586"/>
      <c r="BG15" s="586"/>
      <c r="BH15" s="586"/>
      <c r="BI15" s="586"/>
      <c r="BJ15" s="586"/>
      <c r="BK15" s="586"/>
      <c r="BL15" s="586"/>
      <c r="BM15" s="586"/>
      <c r="BN15" s="586"/>
      <c r="BO15" s="586"/>
      <c r="BP15" s="586"/>
      <c r="BQ15" s="586"/>
      <c r="BR15" s="586"/>
      <c r="BS15" s="586"/>
      <c r="BT15" s="586"/>
      <c r="BU15" s="586"/>
      <c r="BV15" s="586"/>
      <c r="BW15" s="586"/>
      <c r="BX15" s="586"/>
      <c r="BY15" s="586"/>
      <c r="BZ15" s="586"/>
      <c r="CA15" s="586"/>
      <c r="CB15" s="586"/>
      <c r="CC15" s="586"/>
      <c r="CD15" s="586"/>
      <c r="CE15" s="586"/>
      <c r="CF15" s="586"/>
      <c r="CG15" s="586"/>
      <c r="CH15" s="586"/>
      <c r="CI15" s="586"/>
      <c r="CJ15" s="586"/>
      <c r="CK15" s="586"/>
      <c r="CL15" s="586"/>
      <c r="CM15" s="586"/>
      <c r="CN15" s="586"/>
      <c r="CO15" s="586"/>
      <c r="CP15" s="586"/>
      <c r="CQ15" s="586"/>
      <c r="CR15" s="586"/>
      <c r="CS15" s="586"/>
      <c r="CT15" s="586"/>
      <c r="CU15" s="586"/>
      <c r="CV15" s="586"/>
      <c r="CW15" s="586"/>
      <c r="CX15" s="586"/>
      <c r="CY15" s="586"/>
      <c r="CZ15" s="586"/>
      <c r="DA15" s="586"/>
      <c r="DB15" s="586"/>
      <c r="DC15" s="586"/>
      <c r="DD15" s="586"/>
      <c r="DE15" s="586"/>
      <c r="DF15" s="586"/>
      <c r="DG15" s="586"/>
      <c r="DH15" s="586"/>
      <c r="DI15" s="586"/>
      <c r="DJ15" s="586"/>
      <c r="DK15" s="586"/>
      <c r="DL15" s="586"/>
      <c r="DM15" s="586"/>
      <c r="DN15" s="586"/>
      <c r="DO15" s="586"/>
      <c r="DP15" s="586"/>
      <c r="DQ15" s="586"/>
      <c r="DR15" s="586"/>
      <c r="DS15" s="586"/>
      <c r="DT15" s="586"/>
      <c r="DU15" s="586"/>
      <c r="DV15" s="586"/>
      <c r="DW15" s="586"/>
      <c r="DX15" s="586"/>
      <c r="DY15" s="586"/>
      <c r="DZ15" s="586"/>
      <c r="EA15" s="586"/>
      <c r="EB15" s="586"/>
      <c r="EC15" s="586"/>
      <c r="ED15" s="586"/>
      <c r="EE15" s="586"/>
      <c r="EF15" s="586"/>
      <c r="EG15" s="586"/>
      <c r="EH15" s="586"/>
      <c r="EI15" s="586"/>
      <c r="EJ15" s="586"/>
      <c r="EK15" s="586"/>
      <c r="EL15" s="586"/>
      <c r="EM15" s="586"/>
      <c r="EN15" s="586"/>
      <c r="EO15" s="586"/>
      <c r="EP15" s="586"/>
      <c r="EQ15" s="586"/>
      <c r="ER15" s="586"/>
      <c r="ES15" s="586"/>
      <c r="ET15" s="586"/>
      <c r="EU15" s="586"/>
      <c r="EV15" s="586"/>
      <c r="EW15" s="586"/>
      <c r="EX15" s="586"/>
      <c r="EY15" s="586"/>
      <c r="EZ15" s="586"/>
      <c r="FA15" s="586"/>
      <c r="FB15" s="586"/>
      <c r="FC15" s="586"/>
      <c r="FD15" s="586"/>
      <c r="FE15" s="586"/>
      <c r="FF15" s="586"/>
      <c r="FG15" s="586"/>
      <c r="FH15" s="586"/>
      <c r="FI15" s="586"/>
      <c r="FJ15" s="586"/>
      <c r="FK15" s="586"/>
      <c r="FL15" s="586"/>
      <c r="FM15" s="586"/>
      <c r="FN15" s="586"/>
      <c r="FO15" s="586"/>
      <c r="FP15" s="586"/>
      <c r="FQ15" s="586"/>
      <c r="FR15" s="586"/>
      <c r="FS15" s="586"/>
      <c r="FT15" s="586"/>
      <c r="FU15" s="586"/>
      <c r="FV15" s="586"/>
      <c r="FW15" s="586"/>
      <c r="FX15" s="586"/>
      <c r="FY15" s="586"/>
      <c r="FZ15" s="586"/>
      <c r="GA15" s="586"/>
      <c r="GB15" s="586"/>
      <c r="GC15" s="586"/>
      <c r="GD15" s="586"/>
      <c r="GE15" s="586"/>
      <c r="GF15" s="586"/>
      <c r="GG15" s="586"/>
      <c r="GH15" s="586"/>
      <c r="GI15" s="586"/>
      <c r="GJ15" s="586"/>
      <c r="GK15" s="586"/>
      <c r="GL15" s="586"/>
      <c r="GM15" s="586"/>
      <c r="GN15" s="586"/>
      <c r="GO15" s="586"/>
      <c r="GP15" s="586"/>
      <c r="GQ15" s="586"/>
      <c r="GR15" s="586"/>
      <c r="GS15" s="586"/>
      <c r="GT15" s="586"/>
      <c r="GU15" s="586"/>
      <c r="GV15" s="586"/>
      <c r="GW15" s="586"/>
      <c r="GX15" s="586"/>
      <c r="GY15" s="586"/>
      <c r="GZ15" s="586"/>
      <c r="HA15" s="586"/>
      <c r="HB15" s="586"/>
      <c r="HC15" s="586"/>
      <c r="HD15" s="586"/>
      <c r="HE15" s="586"/>
      <c r="HF15" s="586"/>
      <c r="HG15" s="586"/>
      <c r="HH15" s="586"/>
      <c r="HI15" s="586"/>
      <c r="HJ15" s="586"/>
      <c r="HK15" s="586"/>
      <c r="HL15" s="586"/>
      <c r="HM15" s="586"/>
      <c r="HN15" s="586"/>
      <c r="HO15" s="586"/>
      <c r="HP15" s="586"/>
      <c r="HQ15" s="586"/>
      <c r="HR15" s="586"/>
      <c r="HS15" s="586"/>
      <c r="HT15" s="586"/>
      <c r="HU15" s="586"/>
      <c r="HV15" s="586"/>
      <c r="HW15" s="586"/>
      <c r="HX15" s="586"/>
      <c r="HY15" s="586"/>
      <c r="HZ15" s="586"/>
      <c r="IA15" s="586"/>
      <c r="IB15" s="586"/>
      <c r="IC15" s="586"/>
      <c r="ID15" s="586"/>
      <c r="IE15" s="586"/>
      <c r="IF15" s="586"/>
      <c r="IG15" s="586"/>
      <c r="IH15" s="586"/>
      <c r="II15" s="586"/>
      <c r="IJ15" s="586"/>
      <c r="IK15" s="586"/>
      <c r="IL15" s="586"/>
      <c r="IM15" s="586"/>
      <c r="IN15" s="586"/>
      <c r="IO15" s="586"/>
      <c r="IP15" s="586"/>
      <c r="IQ15" s="586"/>
      <c r="IR15" s="586"/>
      <c r="IS15" s="586"/>
      <c r="IT15" s="586"/>
      <c r="IU15" s="586"/>
      <c r="IV15" s="586"/>
      <c r="IW15" s="586"/>
    </row>
    <row r="16" customFormat="false" ht="12.75" hidden="false" customHeight="false" outlineLevel="0" collapsed="false">
      <c r="A16" s="593" t="s">
        <v>417</v>
      </c>
      <c r="B16" s="594" t="n">
        <f aca="false">Assumptions!$D$42</f>
        <v>20</v>
      </c>
      <c r="C16" s="595"/>
      <c r="D16" s="595"/>
      <c r="E16" s="595"/>
      <c r="F16" s="595"/>
      <c r="G16" s="406" t="n">
        <f aca="false">1/20*G5/12*0</f>
        <v>0</v>
      </c>
      <c r="H16" s="406" t="n">
        <f aca="false">1/20</f>
        <v>0.05</v>
      </c>
      <c r="I16" s="406" t="n">
        <f aca="false">1/20</f>
        <v>0.05</v>
      </c>
      <c r="J16" s="406" t="n">
        <f aca="false">1/20</f>
        <v>0.05</v>
      </c>
      <c r="K16" s="406" t="n">
        <f aca="false">1/20</f>
        <v>0.05</v>
      </c>
      <c r="L16" s="406" t="n">
        <f aca="false">1/20</f>
        <v>0.05</v>
      </c>
      <c r="M16" s="406" t="n">
        <f aca="false">1/20</f>
        <v>0.05</v>
      </c>
      <c r="N16" s="406" t="n">
        <f aca="false">1/20</f>
        <v>0.05</v>
      </c>
      <c r="O16" s="406" t="n">
        <f aca="false">1/20</f>
        <v>0.05</v>
      </c>
      <c r="P16" s="406" t="n">
        <f aca="false">1/20</f>
        <v>0.05</v>
      </c>
      <c r="Q16" s="406" t="n">
        <f aca="false">1/20</f>
        <v>0.05</v>
      </c>
      <c r="R16" s="406" t="n">
        <f aca="false">1/20</f>
        <v>0.05</v>
      </c>
      <c r="S16" s="406" t="n">
        <f aca="false">1/20</f>
        <v>0.05</v>
      </c>
      <c r="T16" s="406" t="n">
        <f aca="false">1/20</f>
        <v>0.05</v>
      </c>
      <c r="U16" s="406" t="n">
        <f aca="false">1/20</f>
        <v>0.05</v>
      </c>
      <c r="V16" s="406" t="n">
        <f aca="false">1/20</f>
        <v>0.05</v>
      </c>
      <c r="W16" s="406" t="n">
        <f aca="false">1/20</f>
        <v>0.05</v>
      </c>
      <c r="X16" s="406" t="n">
        <f aca="false">1/20</f>
        <v>0.05</v>
      </c>
      <c r="Y16" s="406" t="n">
        <f aca="false">1/20</f>
        <v>0.05</v>
      </c>
      <c r="Z16" s="406" t="n">
        <f aca="false">1/20</f>
        <v>0.05</v>
      </c>
      <c r="AA16" s="406" t="n">
        <f aca="false">1/20</f>
        <v>0.05</v>
      </c>
      <c r="AB16" s="406" t="n">
        <v>0</v>
      </c>
      <c r="AC16" s="406"/>
      <c r="AD16" s="584"/>
      <c r="AE16" s="584"/>
      <c r="AF16" s="579" t="n">
        <v>2</v>
      </c>
      <c r="AG16" s="589" t="n">
        <v>0.095</v>
      </c>
      <c r="AH16" s="596"/>
      <c r="AI16" s="596"/>
      <c r="AJ16" s="596"/>
      <c r="AK16" s="596"/>
      <c r="AL16" s="596"/>
      <c r="AM16" s="596"/>
      <c r="AN16" s="596"/>
      <c r="AO16" s="596"/>
      <c r="AP16" s="596"/>
      <c r="AQ16" s="596"/>
      <c r="AR16" s="596"/>
      <c r="AS16" s="596"/>
      <c r="AT16" s="596"/>
      <c r="AU16" s="596"/>
      <c r="AV16" s="596"/>
      <c r="AW16" s="596"/>
      <c r="AX16" s="596"/>
      <c r="AY16" s="596"/>
      <c r="AZ16" s="596"/>
      <c r="BA16" s="596"/>
      <c r="BB16" s="596"/>
      <c r="BC16" s="596"/>
      <c r="BD16" s="596"/>
      <c r="BE16" s="596"/>
      <c r="BF16" s="596"/>
      <c r="BG16" s="596"/>
      <c r="BH16" s="596"/>
      <c r="BI16" s="596"/>
      <c r="BJ16" s="596"/>
      <c r="BK16" s="596"/>
      <c r="BL16" s="596"/>
      <c r="BM16" s="596"/>
      <c r="BN16" s="596"/>
      <c r="BO16" s="596"/>
      <c r="BP16" s="596"/>
      <c r="BQ16" s="596"/>
      <c r="BR16" s="596"/>
      <c r="BS16" s="596"/>
      <c r="BT16" s="596"/>
      <c r="BU16" s="596"/>
      <c r="BV16" s="596"/>
      <c r="BW16" s="596"/>
      <c r="BX16" s="596"/>
      <c r="BY16" s="596"/>
      <c r="BZ16" s="596"/>
      <c r="CA16" s="596"/>
      <c r="CB16" s="596"/>
      <c r="CC16" s="596"/>
      <c r="CD16" s="596"/>
      <c r="CE16" s="596"/>
      <c r="CF16" s="596"/>
      <c r="CG16" s="596"/>
      <c r="CH16" s="596"/>
      <c r="CI16" s="596"/>
      <c r="CJ16" s="596"/>
      <c r="CK16" s="596"/>
      <c r="CL16" s="596"/>
      <c r="CM16" s="596"/>
      <c r="CN16" s="596"/>
      <c r="CO16" s="596"/>
      <c r="CP16" s="596"/>
      <c r="CQ16" s="596"/>
      <c r="CR16" s="596"/>
      <c r="CS16" s="596"/>
      <c r="CT16" s="596"/>
      <c r="CU16" s="596"/>
      <c r="CV16" s="596"/>
      <c r="CW16" s="596"/>
      <c r="CX16" s="596"/>
      <c r="CY16" s="596"/>
      <c r="CZ16" s="596"/>
      <c r="DA16" s="596"/>
      <c r="DB16" s="596"/>
      <c r="DC16" s="596"/>
      <c r="DD16" s="596"/>
      <c r="DE16" s="596"/>
      <c r="DF16" s="596"/>
      <c r="DG16" s="596"/>
      <c r="DH16" s="596"/>
      <c r="DI16" s="596"/>
      <c r="DJ16" s="596"/>
      <c r="DK16" s="596"/>
      <c r="DL16" s="596"/>
      <c r="DM16" s="596"/>
      <c r="DN16" s="596"/>
      <c r="DO16" s="596"/>
      <c r="DP16" s="596"/>
      <c r="DQ16" s="596"/>
      <c r="DR16" s="596"/>
      <c r="DS16" s="596"/>
      <c r="DT16" s="596"/>
      <c r="DU16" s="596"/>
      <c r="DV16" s="596"/>
      <c r="DW16" s="596"/>
      <c r="DX16" s="596"/>
      <c r="DY16" s="596"/>
      <c r="DZ16" s="596"/>
      <c r="EA16" s="596"/>
      <c r="EB16" s="596"/>
      <c r="EC16" s="596"/>
      <c r="ED16" s="596"/>
      <c r="EE16" s="596"/>
      <c r="EF16" s="596"/>
      <c r="EG16" s="596"/>
      <c r="EH16" s="596"/>
      <c r="EI16" s="596"/>
      <c r="EJ16" s="596"/>
      <c r="EK16" s="596"/>
      <c r="EL16" s="596"/>
      <c r="EM16" s="596"/>
      <c r="EN16" s="596"/>
      <c r="EO16" s="596"/>
      <c r="EP16" s="596"/>
      <c r="EQ16" s="596"/>
      <c r="ER16" s="596"/>
      <c r="ES16" s="596"/>
      <c r="ET16" s="596"/>
      <c r="EU16" s="596"/>
      <c r="EV16" s="596"/>
      <c r="EW16" s="596"/>
      <c r="EX16" s="596"/>
      <c r="EY16" s="596"/>
      <c r="EZ16" s="596"/>
      <c r="FA16" s="596"/>
      <c r="FB16" s="596"/>
      <c r="FC16" s="596"/>
      <c r="FD16" s="596"/>
      <c r="FE16" s="596"/>
      <c r="FF16" s="596"/>
      <c r="FG16" s="596"/>
      <c r="FH16" s="596"/>
      <c r="FI16" s="596"/>
      <c r="FJ16" s="596"/>
      <c r="FK16" s="596"/>
      <c r="FL16" s="596"/>
      <c r="FM16" s="596"/>
      <c r="FN16" s="596"/>
      <c r="FO16" s="596"/>
      <c r="FP16" s="596"/>
      <c r="FQ16" s="596"/>
      <c r="FR16" s="596"/>
      <c r="FS16" s="596"/>
      <c r="FT16" s="596"/>
      <c r="FU16" s="596"/>
      <c r="FV16" s="596"/>
      <c r="FW16" s="596"/>
      <c r="FX16" s="596"/>
      <c r="FY16" s="596"/>
      <c r="FZ16" s="596"/>
      <c r="GA16" s="596"/>
      <c r="GB16" s="596"/>
      <c r="GC16" s="596"/>
      <c r="GD16" s="596"/>
      <c r="GE16" s="596"/>
      <c r="GF16" s="596"/>
      <c r="GG16" s="596"/>
      <c r="GH16" s="596"/>
      <c r="GI16" s="596"/>
      <c r="GJ16" s="596"/>
      <c r="GK16" s="596"/>
      <c r="GL16" s="596"/>
      <c r="GM16" s="596"/>
      <c r="GN16" s="596"/>
      <c r="GO16" s="596"/>
      <c r="GP16" s="596"/>
      <c r="GQ16" s="596"/>
      <c r="GR16" s="596"/>
      <c r="GS16" s="596"/>
      <c r="GT16" s="596"/>
      <c r="GU16" s="596"/>
      <c r="GV16" s="596"/>
      <c r="GW16" s="596"/>
      <c r="GX16" s="596"/>
      <c r="GY16" s="596"/>
      <c r="GZ16" s="596"/>
      <c r="HA16" s="596"/>
      <c r="HB16" s="596"/>
      <c r="HC16" s="596"/>
      <c r="HD16" s="596"/>
      <c r="HE16" s="596"/>
      <c r="HF16" s="596"/>
      <c r="HG16" s="596"/>
      <c r="HH16" s="596"/>
      <c r="HI16" s="596"/>
      <c r="HJ16" s="596"/>
      <c r="HK16" s="596"/>
      <c r="HL16" s="596"/>
      <c r="HM16" s="596"/>
      <c r="HN16" s="596"/>
      <c r="HO16" s="596"/>
      <c r="HP16" s="596"/>
      <c r="HQ16" s="596"/>
      <c r="HR16" s="596"/>
      <c r="HS16" s="596"/>
      <c r="HT16" s="596"/>
      <c r="HU16" s="596"/>
      <c r="HV16" s="596"/>
      <c r="HW16" s="596"/>
      <c r="HX16" s="596"/>
      <c r="HY16" s="596"/>
      <c r="HZ16" s="596"/>
      <c r="IA16" s="596"/>
      <c r="IB16" s="596"/>
      <c r="IC16" s="596"/>
      <c r="ID16" s="596"/>
      <c r="IE16" s="596"/>
      <c r="IF16" s="596"/>
      <c r="IG16" s="596"/>
      <c r="IH16" s="596"/>
      <c r="II16" s="596"/>
      <c r="IJ16" s="596"/>
      <c r="IK16" s="596"/>
      <c r="IL16" s="596"/>
      <c r="IM16" s="596"/>
      <c r="IN16" s="596"/>
      <c r="IO16" s="596"/>
      <c r="IP16" s="596"/>
      <c r="IQ16" s="596"/>
      <c r="IR16" s="596"/>
      <c r="IS16" s="596"/>
      <c r="IT16" s="596"/>
      <c r="IU16" s="596"/>
      <c r="IV16" s="596"/>
      <c r="IW16" s="596"/>
    </row>
    <row r="17" customFormat="false" ht="12.75" hidden="false" customHeight="false" outlineLevel="0" collapsed="false">
      <c r="B17" s="597"/>
      <c r="G17" s="588"/>
      <c r="AD17" s="584"/>
      <c r="AE17" s="584"/>
      <c r="AF17" s="579" t="n">
        <v>3</v>
      </c>
      <c r="AG17" s="589" t="n">
        <v>0.0855</v>
      </c>
      <c r="AH17" s="586"/>
      <c r="AI17" s="586"/>
      <c r="AJ17" s="586"/>
      <c r="AK17" s="586"/>
      <c r="AL17" s="586"/>
      <c r="AM17" s="586"/>
      <c r="AN17" s="586"/>
      <c r="AO17" s="586"/>
      <c r="AP17" s="586"/>
      <c r="AQ17" s="586"/>
      <c r="AR17" s="586"/>
      <c r="AS17" s="586"/>
      <c r="AT17" s="586"/>
      <c r="AU17" s="586"/>
      <c r="AV17" s="586"/>
      <c r="AW17" s="586"/>
      <c r="AX17" s="586"/>
      <c r="AY17" s="586"/>
      <c r="AZ17" s="586"/>
      <c r="BA17" s="586"/>
      <c r="BB17" s="586"/>
      <c r="BC17" s="586"/>
      <c r="BD17" s="586"/>
      <c r="BE17" s="586"/>
      <c r="BF17" s="586"/>
      <c r="BG17" s="586"/>
      <c r="BH17" s="586"/>
      <c r="BI17" s="586"/>
      <c r="BJ17" s="586"/>
      <c r="BK17" s="586"/>
      <c r="BL17" s="586"/>
      <c r="BM17" s="586"/>
      <c r="BN17" s="586"/>
      <c r="BO17" s="586"/>
      <c r="BP17" s="586"/>
      <c r="BQ17" s="586"/>
      <c r="BR17" s="586"/>
      <c r="BS17" s="586"/>
      <c r="BT17" s="586"/>
      <c r="BU17" s="586"/>
      <c r="BV17" s="586"/>
      <c r="BW17" s="586"/>
      <c r="BX17" s="586"/>
      <c r="BY17" s="586"/>
      <c r="BZ17" s="586"/>
      <c r="CA17" s="586"/>
      <c r="CB17" s="586"/>
      <c r="CC17" s="586"/>
      <c r="CD17" s="586"/>
      <c r="CE17" s="586"/>
      <c r="CF17" s="586"/>
      <c r="CG17" s="586"/>
      <c r="CH17" s="586"/>
      <c r="CI17" s="586"/>
      <c r="CJ17" s="586"/>
      <c r="CK17" s="586"/>
      <c r="CL17" s="586"/>
      <c r="CM17" s="586"/>
      <c r="CN17" s="586"/>
      <c r="CO17" s="586"/>
      <c r="CP17" s="586"/>
      <c r="CQ17" s="586"/>
      <c r="CR17" s="586"/>
      <c r="CS17" s="586"/>
      <c r="CT17" s="586"/>
      <c r="CU17" s="586"/>
      <c r="CV17" s="586"/>
      <c r="CW17" s="586"/>
      <c r="CX17" s="586"/>
      <c r="CY17" s="586"/>
      <c r="CZ17" s="586"/>
      <c r="DA17" s="586"/>
      <c r="DB17" s="586"/>
      <c r="DC17" s="586"/>
      <c r="DD17" s="586"/>
      <c r="DE17" s="586"/>
      <c r="DF17" s="586"/>
      <c r="DG17" s="586"/>
      <c r="DH17" s="586"/>
      <c r="DI17" s="586"/>
      <c r="DJ17" s="586"/>
      <c r="DK17" s="586"/>
      <c r="DL17" s="586"/>
      <c r="DM17" s="586"/>
      <c r="DN17" s="586"/>
      <c r="DO17" s="586"/>
      <c r="DP17" s="586"/>
      <c r="DQ17" s="586"/>
      <c r="DR17" s="586"/>
      <c r="DS17" s="586"/>
      <c r="DT17" s="586"/>
      <c r="DU17" s="586"/>
      <c r="DV17" s="586"/>
      <c r="DW17" s="586"/>
      <c r="DX17" s="586"/>
      <c r="DY17" s="586"/>
      <c r="DZ17" s="586"/>
      <c r="EA17" s="586"/>
      <c r="EB17" s="586"/>
      <c r="EC17" s="586"/>
      <c r="ED17" s="586"/>
      <c r="EE17" s="586"/>
      <c r="EF17" s="586"/>
      <c r="EG17" s="586"/>
      <c r="EH17" s="586"/>
      <c r="EI17" s="586"/>
      <c r="EJ17" s="586"/>
      <c r="EK17" s="586"/>
      <c r="EL17" s="586"/>
      <c r="EM17" s="586"/>
      <c r="EN17" s="586"/>
      <c r="EO17" s="586"/>
      <c r="EP17" s="586"/>
      <c r="EQ17" s="586"/>
      <c r="ER17" s="586"/>
      <c r="ES17" s="586"/>
      <c r="ET17" s="586"/>
      <c r="EU17" s="586"/>
      <c r="EV17" s="586"/>
      <c r="EW17" s="586"/>
      <c r="EX17" s="586"/>
      <c r="EY17" s="586"/>
      <c r="EZ17" s="586"/>
      <c r="FA17" s="586"/>
      <c r="FB17" s="586"/>
      <c r="FC17" s="586"/>
      <c r="FD17" s="586"/>
      <c r="FE17" s="586"/>
      <c r="FF17" s="586"/>
      <c r="FG17" s="586"/>
      <c r="FH17" s="586"/>
      <c r="FI17" s="586"/>
      <c r="FJ17" s="586"/>
      <c r="FK17" s="586"/>
      <c r="FL17" s="586"/>
      <c r="FM17" s="586"/>
      <c r="FN17" s="586"/>
      <c r="FO17" s="586"/>
      <c r="FP17" s="586"/>
      <c r="FQ17" s="586"/>
      <c r="FR17" s="586"/>
      <c r="FS17" s="586"/>
      <c r="FT17" s="586"/>
      <c r="FU17" s="586"/>
      <c r="FV17" s="586"/>
      <c r="FW17" s="586"/>
      <c r="FX17" s="586"/>
      <c r="FY17" s="586"/>
      <c r="FZ17" s="586"/>
      <c r="GA17" s="586"/>
      <c r="GB17" s="586"/>
      <c r="GC17" s="586"/>
      <c r="GD17" s="586"/>
      <c r="GE17" s="586"/>
      <c r="GF17" s="586"/>
      <c r="GG17" s="586"/>
      <c r="GH17" s="586"/>
      <c r="GI17" s="586"/>
      <c r="GJ17" s="586"/>
      <c r="GK17" s="586"/>
      <c r="GL17" s="586"/>
      <c r="GM17" s="586"/>
      <c r="GN17" s="586"/>
      <c r="GO17" s="586"/>
      <c r="GP17" s="586"/>
      <c r="GQ17" s="586"/>
      <c r="GR17" s="586"/>
      <c r="GS17" s="586"/>
      <c r="GT17" s="586"/>
      <c r="GU17" s="586"/>
      <c r="GV17" s="586"/>
      <c r="GW17" s="586"/>
      <c r="GX17" s="586"/>
      <c r="GY17" s="586"/>
      <c r="GZ17" s="586"/>
      <c r="HA17" s="586"/>
      <c r="HB17" s="586"/>
      <c r="HC17" s="586"/>
      <c r="HD17" s="586"/>
      <c r="HE17" s="586"/>
      <c r="HF17" s="586"/>
      <c r="HG17" s="586"/>
      <c r="HH17" s="586"/>
      <c r="HI17" s="586"/>
      <c r="HJ17" s="586"/>
      <c r="HK17" s="586"/>
      <c r="HL17" s="586"/>
      <c r="HM17" s="586"/>
      <c r="HN17" s="586"/>
      <c r="HO17" s="586"/>
      <c r="HP17" s="586"/>
      <c r="HQ17" s="586"/>
      <c r="HR17" s="586"/>
      <c r="HS17" s="586"/>
      <c r="HT17" s="586"/>
      <c r="HU17" s="586"/>
      <c r="HV17" s="586"/>
      <c r="HW17" s="586"/>
      <c r="HX17" s="586"/>
      <c r="HY17" s="586"/>
      <c r="HZ17" s="586"/>
      <c r="IA17" s="586"/>
      <c r="IB17" s="586"/>
      <c r="IC17" s="586"/>
      <c r="ID17" s="586"/>
      <c r="IE17" s="586"/>
      <c r="IF17" s="586"/>
      <c r="IG17" s="586"/>
      <c r="IH17" s="586"/>
      <c r="II17" s="586"/>
      <c r="IJ17" s="586"/>
      <c r="IK17" s="586"/>
      <c r="IL17" s="586"/>
      <c r="IM17" s="586"/>
      <c r="IN17" s="586"/>
      <c r="IO17" s="586"/>
      <c r="IP17" s="586"/>
      <c r="IQ17" s="586"/>
      <c r="IR17" s="586"/>
      <c r="IS17" s="586"/>
      <c r="IT17" s="586"/>
      <c r="IU17" s="586"/>
      <c r="IV17" s="586"/>
      <c r="IW17" s="586"/>
    </row>
    <row r="18" customFormat="false" ht="12.75" hidden="false" customHeight="false" outlineLevel="0" collapsed="false">
      <c r="A18" s="590" t="s">
        <v>418</v>
      </c>
      <c r="B18" s="598" t="n">
        <f aca="false">Assumptions!G8*(1-Allocation!C22)</f>
        <v>484512.886</v>
      </c>
      <c r="C18" s="599"/>
      <c r="D18" s="599"/>
      <c r="E18" s="600"/>
      <c r="F18" s="599"/>
      <c r="G18" s="598" t="n">
        <f aca="false">$B$18*G15</f>
        <v>0</v>
      </c>
      <c r="H18" s="598" t="n">
        <f aca="false">$B$18*H15</f>
        <v>24225.6443</v>
      </c>
      <c r="I18" s="598" t="n">
        <f aca="false">$B$18*I15</f>
        <v>46028.72417</v>
      </c>
      <c r="J18" s="598" t="n">
        <f aca="false">$B$18*J15</f>
        <v>41425.851753</v>
      </c>
      <c r="K18" s="598" t="n">
        <f aca="false">$B$18*K15</f>
        <v>37307.492222</v>
      </c>
      <c r="L18" s="598" t="n">
        <f aca="false">$B$18*L15</f>
        <v>33576.7429998</v>
      </c>
      <c r="M18" s="598" t="n">
        <f aca="false">$B$18*M15</f>
        <v>30185.1527978</v>
      </c>
      <c r="N18" s="598" t="n">
        <f aca="false">$B$18*N15</f>
        <v>28586.260274</v>
      </c>
      <c r="O18" s="598" t="n">
        <f aca="false">$B$18*O15</f>
        <v>28634.7115626</v>
      </c>
      <c r="P18" s="598" t="n">
        <f aca="false">$B$18*P15</f>
        <v>28586.260274</v>
      </c>
      <c r="Q18" s="598" t="n">
        <f aca="false">$B$18*Q15</f>
        <v>28634.7115626</v>
      </c>
      <c r="R18" s="598" t="n">
        <f aca="false">$B$18*R15</f>
        <v>28586.260274</v>
      </c>
      <c r="S18" s="598" t="n">
        <f aca="false">$B$18*S15</f>
        <v>28634.7115626</v>
      </c>
      <c r="T18" s="598" t="n">
        <f aca="false">$B$18*T15</f>
        <v>28586.260274</v>
      </c>
      <c r="U18" s="598" t="n">
        <f aca="false">$B$18*U15</f>
        <v>28634.7115626</v>
      </c>
      <c r="V18" s="598" t="n">
        <f aca="false">$B$18*V15</f>
        <v>28586.260274</v>
      </c>
      <c r="W18" s="598" t="n">
        <f aca="false">$B$18*W15</f>
        <v>14293.130137</v>
      </c>
      <c r="X18" s="598" t="n">
        <f aca="false">$B$18*X15</f>
        <v>0</v>
      </c>
      <c r="Y18" s="598" t="n">
        <f aca="false">$B$18*Y15</f>
        <v>0</v>
      </c>
      <c r="Z18" s="598" t="n">
        <f aca="false">$B$18*Z15</f>
        <v>0</v>
      </c>
      <c r="AA18" s="598" t="n">
        <f aca="false">$B$18*AA15</f>
        <v>0</v>
      </c>
      <c r="AB18" s="598" t="n">
        <f aca="false">$B$18*AB15</f>
        <v>0</v>
      </c>
      <c r="AC18" s="598" t="n">
        <f aca="false">$B$18*AC15</f>
        <v>0</v>
      </c>
      <c r="AD18" s="584"/>
      <c r="AE18" s="584"/>
      <c r="AF18" s="579" t="n">
        <v>4</v>
      </c>
      <c r="AG18" s="589" t="n">
        <v>0.077</v>
      </c>
      <c r="AH18" s="586"/>
      <c r="AI18" s="586"/>
      <c r="AJ18" s="586"/>
      <c r="AK18" s="586"/>
      <c r="AL18" s="586"/>
      <c r="AM18" s="586"/>
      <c r="AN18" s="586"/>
      <c r="AO18" s="586"/>
      <c r="AP18" s="586"/>
      <c r="AQ18" s="586"/>
      <c r="AR18" s="586"/>
      <c r="AS18" s="586"/>
      <c r="AT18" s="586"/>
      <c r="AU18" s="586"/>
      <c r="AV18" s="586"/>
      <c r="AW18" s="586"/>
      <c r="AX18" s="586"/>
      <c r="AY18" s="586"/>
      <c r="AZ18" s="586"/>
      <c r="BA18" s="586"/>
      <c r="BB18" s="586"/>
      <c r="BC18" s="586"/>
      <c r="BD18" s="586"/>
      <c r="BE18" s="586"/>
      <c r="BF18" s="586"/>
      <c r="BG18" s="586"/>
      <c r="BH18" s="586"/>
      <c r="BI18" s="586"/>
      <c r="BJ18" s="586"/>
      <c r="BK18" s="586"/>
      <c r="BL18" s="586"/>
      <c r="BM18" s="586"/>
      <c r="BN18" s="586"/>
      <c r="BO18" s="586"/>
      <c r="BP18" s="586"/>
      <c r="BQ18" s="586"/>
      <c r="BR18" s="586"/>
      <c r="BS18" s="586"/>
      <c r="BT18" s="586"/>
      <c r="BU18" s="586"/>
      <c r="BV18" s="586"/>
      <c r="BW18" s="586"/>
      <c r="BX18" s="586"/>
      <c r="BY18" s="586"/>
      <c r="BZ18" s="586"/>
      <c r="CA18" s="586"/>
      <c r="CB18" s="586"/>
      <c r="CC18" s="586"/>
      <c r="CD18" s="586"/>
      <c r="CE18" s="586"/>
      <c r="CF18" s="586"/>
      <c r="CG18" s="586"/>
      <c r="CH18" s="586"/>
      <c r="CI18" s="586"/>
      <c r="CJ18" s="586"/>
      <c r="CK18" s="586"/>
      <c r="CL18" s="586"/>
      <c r="CM18" s="586"/>
      <c r="CN18" s="586"/>
      <c r="CO18" s="586"/>
      <c r="CP18" s="586"/>
      <c r="CQ18" s="586"/>
      <c r="CR18" s="586"/>
      <c r="CS18" s="586"/>
      <c r="CT18" s="586"/>
      <c r="CU18" s="586"/>
      <c r="CV18" s="586"/>
      <c r="CW18" s="586"/>
      <c r="CX18" s="586"/>
      <c r="CY18" s="586"/>
      <c r="CZ18" s="586"/>
      <c r="DA18" s="586"/>
      <c r="DB18" s="586"/>
      <c r="DC18" s="586"/>
      <c r="DD18" s="586"/>
      <c r="DE18" s="586"/>
      <c r="DF18" s="586"/>
      <c r="DG18" s="586"/>
      <c r="DH18" s="586"/>
      <c r="DI18" s="586"/>
      <c r="DJ18" s="586"/>
      <c r="DK18" s="586"/>
      <c r="DL18" s="586"/>
      <c r="DM18" s="586"/>
      <c r="DN18" s="586"/>
      <c r="DO18" s="586"/>
      <c r="DP18" s="586"/>
      <c r="DQ18" s="586"/>
      <c r="DR18" s="586"/>
      <c r="DS18" s="586"/>
      <c r="DT18" s="586"/>
      <c r="DU18" s="586"/>
      <c r="DV18" s="586"/>
      <c r="DW18" s="586"/>
      <c r="DX18" s="586"/>
      <c r="DY18" s="586"/>
      <c r="DZ18" s="586"/>
      <c r="EA18" s="586"/>
      <c r="EB18" s="586"/>
      <c r="EC18" s="586"/>
      <c r="ED18" s="586"/>
      <c r="EE18" s="586"/>
      <c r="EF18" s="586"/>
      <c r="EG18" s="586"/>
      <c r="EH18" s="586"/>
      <c r="EI18" s="586"/>
      <c r="EJ18" s="586"/>
      <c r="EK18" s="586"/>
      <c r="EL18" s="586"/>
      <c r="EM18" s="586"/>
      <c r="EN18" s="586"/>
      <c r="EO18" s="586"/>
      <c r="EP18" s="586"/>
      <c r="EQ18" s="586"/>
      <c r="ER18" s="586"/>
      <c r="ES18" s="586"/>
      <c r="ET18" s="586"/>
      <c r="EU18" s="586"/>
      <c r="EV18" s="586"/>
      <c r="EW18" s="586"/>
      <c r="EX18" s="586"/>
      <c r="EY18" s="586"/>
      <c r="EZ18" s="586"/>
      <c r="FA18" s="586"/>
      <c r="FB18" s="586"/>
      <c r="FC18" s="586"/>
      <c r="FD18" s="586"/>
      <c r="FE18" s="586"/>
      <c r="FF18" s="586"/>
      <c r="FG18" s="586"/>
      <c r="FH18" s="586"/>
      <c r="FI18" s="586"/>
      <c r="FJ18" s="586"/>
      <c r="FK18" s="586"/>
      <c r="FL18" s="586"/>
      <c r="FM18" s="586"/>
      <c r="FN18" s="586"/>
      <c r="FO18" s="586"/>
      <c r="FP18" s="586"/>
      <c r="FQ18" s="586"/>
      <c r="FR18" s="586"/>
      <c r="FS18" s="586"/>
      <c r="FT18" s="586"/>
      <c r="FU18" s="586"/>
      <c r="FV18" s="586"/>
      <c r="FW18" s="586"/>
      <c r="FX18" s="586"/>
      <c r="FY18" s="586"/>
      <c r="FZ18" s="586"/>
      <c r="GA18" s="586"/>
      <c r="GB18" s="586"/>
      <c r="GC18" s="586"/>
      <c r="GD18" s="586"/>
      <c r="GE18" s="586"/>
      <c r="GF18" s="586"/>
      <c r="GG18" s="586"/>
      <c r="GH18" s="586"/>
      <c r="GI18" s="586"/>
      <c r="GJ18" s="586"/>
      <c r="GK18" s="586"/>
      <c r="GL18" s="586"/>
      <c r="GM18" s="586"/>
      <c r="GN18" s="586"/>
      <c r="GO18" s="586"/>
      <c r="GP18" s="586"/>
      <c r="GQ18" s="586"/>
      <c r="GR18" s="586"/>
      <c r="GS18" s="586"/>
      <c r="GT18" s="586"/>
      <c r="GU18" s="586"/>
      <c r="GV18" s="586"/>
      <c r="GW18" s="586"/>
      <c r="GX18" s="586"/>
      <c r="GY18" s="586"/>
      <c r="GZ18" s="586"/>
      <c r="HA18" s="586"/>
      <c r="HB18" s="586"/>
      <c r="HC18" s="586"/>
      <c r="HD18" s="586"/>
      <c r="HE18" s="586"/>
      <c r="HF18" s="586"/>
      <c r="HG18" s="586"/>
      <c r="HH18" s="586"/>
      <c r="HI18" s="586"/>
      <c r="HJ18" s="586"/>
      <c r="HK18" s="586"/>
      <c r="HL18" s="586"/>
      <c r="HM18" s="586"/>
      <c r="HN18" s="586"/>
      <c r="HO18" s="586"/>
      <c r="HP18" s="586"/>
      <c r="HQ18" s="586"/>
      <c r="HR18" s="586"/>
      <c r="HS18" s="586"/>
      <c r="HT18" s="586"/>
      <c r="HU18" s="586"/>
      <c r="HV18" s="586"/>
      <c r="HW18" s="586"/>
      <c r="HX18" s="586"/>
      <c r="HY18" s="586"/>
      <c r="HZ18" s="586"/>
      <c r="IA18" s="586"/>
      <c r="IB18" s="586"/>
      <c r="IC18" s="586"/>
      <c r="ID18" s="586"/>
      <c r="IE18" s="586"/>
      <c r="IF18" s="586"/>
      <c r="IG18" s="586"/>
      <c r="IH18" s="586"/>
      <c r="II18" s="586"/>
      <c r="IJ18" s="586"/>
      <c r="IK18" s="586"/>
      <c r="IL18" s="586"/>
      <c r="IM18" s="586"/>
      <c r="IN18" s="586"/>
      <c r="IO18" s="586"/>
      <c r="IP18" s="586"/>
      <c r="IQ18" s="586"/>
      <c r="IR18" s="586"/>
      <c r="IS18" s="586"/>
      <c r="IT18" s="586"/>
      <c r="IU18" s="586"/>
      <c r="IV18" s="586"/>
      <c r="IW18" s="586"/>
    </row>
    <row r="19" customFormat="false" ht="15" hidden="false" customHeight="false" outlineLevel="0" collapsed="false">
      <c r="A19" s="593" t="s">
        <v>417</v>
      </c>
      <c r="B19" s="601" t="n">
        <f aca="false">Assumptions!G11*Allocation!G10</f>
        <v>7800</v>
      </c>
      <c r="C19" s="599"/>
      <c r="D19" s="599"/>
      <c r="E19" s="599"/>
      <c r="F19" s="599"/>
      <c r="G19" s="601" t="n">
        <f aca="false">$B$19*G16</f>
        <v>0</v>
      </c>
      <c r="H19" s="601" t="n">
        <f aca="false">$B$19*H16</f>
        <v>390</v>
      </c>
      <c r="I19" s="601" t="n">
        <f aca="false">$B$19*I16</f>
        <v>390</v>
      </c>
      <c r="J19" s="601" t="n">
        <f aca="false">$B$19*J16</f>
        <v>390</v>
      </c>
      <c r="K19" s="601" t="n">
        <f aca="false">$B$19*K16</f>
        <v>390</v>
      </c>
      <c r="L19" s="601" t="n">
        <f aca="false">$B$19*L16</f>
        <v>390</v>
      </c>
      <c r="M19" s="601" t="n">
        <f aca="false">$B$19*M16</f>
        <v>390</v>
      </c>
      <c r="N19" s="601" t="n">
        <f aca="false">$B$19*N16</f>
        <v>390</v>
      </c>
      <c r="O19" s="601" t="n">
        <f aca="false">$B$19*O16</f>
        <v>390</v>
      </c>
      <c r="P19" s="601" t="n">
        <f aca="false">$B$19*P16</f>
        <v>390</v>
      </c>
      <c r="Q19" s="601" t="n">
        <f aca="false">$B$19*Q16</f>
        <v>390</v>
      </c>
      <c r="R19" s="601" t="n">
        <f aca="false">$B$19*R16</f>
        <v>390</v>
      </c>
      <c r="S19" s="601" t="n">
        <f aca="false">$B$19*S16</f>
        <v>390</v>
      </c>
      <c r="T19" s="601" t="n">
        <f aca="false">$B$19*T16</f>
        <v>390</v>
      </c>
      <c r="U19" s="601" t="n">
        <f aca="false">$B$19*U16</f>
        <v>390</v>
      </c>
      <c r="V19" s="601" t="n">
        <f aca="false">$B$19*V16</f>
        <v>390</v>
      </c>
      <c r="W19" s="601" t="n">
        <f aca="false">$B$19*W16</f>
        <v>390</v>
      </c>
      <c r="X19" s="601" t="n">
        <f aca="false">$B$19*X16</f>
        <v>390</v>
      </c>
      <c r="Y19" s="601" t="n">
        <f aca="false">$B$19*Y16</f>
        <v>390</v>
      </c>
      <c r="Z19" s="601" t="n">
        <f aca="false">$B$19*Z16</f>
        <v>390</v>
      </c>
      <c r="AA19" s="601" t="n">
        <f aca="false">$B$19*AA16</f>
        <v>390</v>
      </c>
      <c r="AB19" s="601" t="n">
        <f aca="false">$B$19*AB16</f>
        <v>0</v>
      </c>
      <c r="AC19" s="601" t="n">
        <f aca="false">$B$19*AC16</f>
        <v>0</v>
      </c>
      <c r="AD19" s="584"/>
      <c r="AE19" s="584"/>
      <c r="AF19" s="579" t="n">
        <v>5</v>
      </c>
      <c r="AG19" s="589" t="n">
        <v>0.0693</v>
      </c>
      <c r="AH19" s="586"/>
      <c r="AI19" s="586"/>
      <c r="AJ19" s="586"/>
      <c r="AK19" s="586"/>
      <c r="AL19" s="586"/>
      <c r="AM19" s="586"/>
      <c r="AN19" s="586"/>
      <c r="AO19" s="586"/>
      <c r="AP19" s="586"/>
      <c r="AQ19" s="586"/>
      <c r="AR19" s="586"/>
      <c r="AS19" s="586"/>
      <c r="AT19" s="586"/>
      <c r="AU19" s="586"/>
      <c r="AV19" s="586"/>
      <c r="AW19" s="586"/>
      <c r="AX19" s="586"/>
      <c r="AY19" s="586"/>
      <c r="AZ19" s="586"/>
      <c r="BA19" s="586"/>
      <c r="BB19" s="586"/>
      <c r="BC19" s="586"/>
      <c r="BD19" s="586"/>
      <c r="BE19" s="586"/>
      <c r="BF19" s="586"/>
      <c r="BG19" s="586"/>
      <c r="BH19" s="586"/>
      <c r="BI19" s="586"/>
      <c r="BJ19" s="586"/>
      <c r="BK19" s="586"/>
      <c r="BL19" s="586"/>
      <c r="BM19" s="586"/>
      <c r="BN19" s="586"/>
      <c r="BO19" s="586"/>
      <c r="BP19" s="586"/>
      <c r="BQ19" s="586"/>
      <c r="BR19" s="586"/>
      <c r="BS19" s="586"/>
      <c r="BT19" s="586"/>
      <c r="BU19" s="586"/>
      <c r="BV19" s="586"/>
      <c r="BW19" s="586"/>
      <c r="BX19" s="586"/>
      <c r="BY19" s="586"/>
      <c r="BZ19" s="586"/>
      <c r="CA19" s="586"/>
      <c r="CB19" s="586"/>
      <c r="CC19" s="586"/>
      <c r="CD19" s="586"/>
      <c r="CE19" s="586"/>
      <c r="CF19" s="586"/>
      <c r="CG19" s="586"/>
      <c r="CH19" s="586"/>
      <c r="CI19" s="586"/>
      <c r="CJ19" s="586"/>
      <c r="CK19" s="586"/>
      <c r="CL19" s="586"/>
      <c r="CM19" s="586"/>
      <c r="CN19" s="586"/>
      <c r="CO19" s="586"/>
      <c r="CP19" s="586"/>
      <c r="CQ19" s="586"/>
      <c r="CR19" s="586"/>
      <c r="CS19" s="586"/>
      <c r="CT19" s="586"/>
      <c r="CU19" s="586"/>
      <c r="CV19" s="586"/>
      <c r="CW19" s="586"/>
      <c r="CX19" s="586"/>
      <c r="CY19" s="586"/>
      <c r="CZ19" s="586"/>
      <c r="DA19" s="586"/>
      <c r="DB19" s="586"/>
      <c r="DC19" s="586"/>
      <c r="DD19" s="586"/>
      <c r="DE19" s="586"/>
      <c r="DF19" s="586"/>
      <c r="DG19" s="586"/>
      <c r="DH19" s="586"/>
      <c r="DI19" s="586"/>
      <c r="DJ19" s="586"/>
      <c r="DK19" s="586"/>
      <c r="DL19" s="586"/>
      <c r="DM19" s="586"/>
      <c r="DN19" s="586"/>
      <c r="DO19" s="586"/>
      <c r="DP19" s="586"/>
      <c r="DQ19" s="586"/>
      <c r="DR19" s="586"/>
      <c r="DS19" s="586"/>
      <c r="DT19" s="586"/>
      <c r="DU19" s="586"/>
      <c r="DV19" s="586"/>
      <c r="DW19" s="586"/>
      <c r="DX19" s="586"/>
      <c r="DY19" s="586"/>
      <c r="DZ19" s="586"/>
      <c r="EA19" s="586"/>
      <c r="EB19" s="586"/>
      <c r="EC19" s="586"/>
      <c r="ED19" s="586"/>
      <c r="EE19" s="586"/>
      <c r="EF19" s="586"/>
      <c r="EG19" s="586"/>
      <c r="EH19" s="586"/>
      <c r="EI19" s="586"/>
      <c r="EJ19" s="586"/>
      <c r="EK19" s="586"/>
      <c r="EL19" s="586"/>
      <c r="EM19" s="586"/>
      <c r="EN19" s="586"/>
      <c r="EO19" s="586"/>
      <c r="EP19" s="586"/>
      <c r="EQ19" s="586"/>
      <c r="ER19" s="586"/>
      <c r="ES19" s="586"/>
      <c r="ET19" s="586"/>
      <c r="EU19" s="586"/>
      <c r="EV19" s="586"/>
      <c r="EW19" s="586"/>
      <c r="EX19" s="586"/>
      <c r="EY19" s="586"/>
      <c r="EZ19" s="586"/>
      <c r="FA19" s="586"/>
      <c r="FB19" s="586"/>
      <c r="FC19" s="586"/>
      <c r="FD19" s="586"/>
      <c r="FE19" s="586"/>
      <c r="FF19" s="586"/>
      <c r="FG19" s="586"/>
      <c r="FH19" s="586"/>
      <c r="FI19" s="586"/>
      <c r="FJ19" s="586"/>
      <c r="FK19" s="586"/>
      <c r="FL19" s="586"/>
      <c r="FM19" s="586"/>
      <c r="FN19" s="586"/>
      <c r="FO19" s="586"/>
      <c r="FP19" s="586"/>
      <c r="FQ19" s="586"/>
      <c r="FR19" s="586"/>
      <c r="FS19" s="586"/>
      <c r="FT19" s="586"/>
      <c r="FU19" s="586"/>
      <c r="FV19" s="586"/>
      <c r="FW19" s="586"/>
      <c r="FX19" s="586"/>
      <c r="FY19" s="586"/>
      <c r="FZ19" s="586"/>
      <c r="GA19" s="586"/>
      <c r="GB19" s="586"/>
      <c r="GC19" s="586"/>
      <c r="GD19" s="586"/>
      <c r="GE19" s="586"/>
      <c r="GF19" s="586"/>
      <c r="GG19" s="586"/>
      <c r="GH19" s="586"/>
      <c r="GI19" s="586"/>
      <c r="GJ19" s="586"/>
      <c r="GK19" s="586"/>
      <c r="GL19" s="586"/>
      <c r="GM19" s="586"/>
      <c r="GN19" s="586"/>
      <c r="GO19" s="586"/>
      <c r="GP19" s="586"/>
      <c r="GQ19" s="586"/>
      <c r="GR19" s="586"/>
      <c r="GS19" s="586"/>
      <c r="GT19" s="586"/>
      <c r="GU19" s="586"/>
      <c r="GV19" s="586"/>
      <c r="GW19" s="586"/>
      <c r="GX19" s="586"/>
      <c r="GY19" s="586"/>
      <c r="GZ19" s="586"/>
      <c r="HA19" s="586"/>
      <c r="HB19" s="586"/>
      <c r="HC19" s="586"/>
      <c r="HD19" s="586"/>
      <c r="HE19" s="586"/>
      <c r="HF19" s="586"/>
      <c r="HG19" s="586"/>
      <c r="HH19" s="586"/>
      <c r="HI19" s="586"/>
      <c r="HJ19" s="586"/>
      <c r="HK19" s="586"/>
      <c r="HL19" s="586"/>
      <c r="HM19" s="586"/>
      <c r="HN19" s="586"/>
      <c r="HO19" s="586"/>
      <c r="HP19" s="586"/>
      <c r="HQ19" s="586"/>
      <c r="HR19" s="586"/>
      <c r="HS19" s="586"/>
      <c r="HT19" s="586"/>
      <c r="HU19" s="586"/>
      <c r="HV19" s="586"/>
      <c r="HW19" s="586"/>
      <c r="HX19" s="586"/>
      <c r="HY19" s="586"/>
      <c r="HZ19" s="586"/>
      <c r="IA19" s="586"/>
      <c r="IB19" s="586"/>
      <c r="IC19" s="586"/>
      <c r="ID19" s="586"/>
      <c r="IE19" s="586"/>
      <c r="IF19" s="586"/>
      <c r="IG19" s="586"/>
      <c r="IH19" s="586"/>
      <c r="II19" s="586"/>
      <c r="IJ19" s="586"/>
      <c r="IK19" s="586"/>
      <c r="IL19" s="586"/>
      <c r="IM19" s="586"/>
      <c r="IN19" s="586"/>
      <c r="IO19" s="586"/>
      <c r="IP19" s="586"/>
      <c r="IQ19" s="586"/>
      <c r="IR19" s="586"/>
      <c r="IS19" s="586"/>
      <c r="IT19" s="586"/>
      <c r="IU19" s="586"/>
      <c r="IV19" s="586"/>
      <c r="IW19" s="586"/>
    </row>
    <row r="20" customFormat="false" ht="12.75" hidden="false" customHeight="false" outlineLevel="0" collapsed="false">
      <c r="A20" s="593" t="s">
        <v>419</v>
      </c>
      <c r="B20" s="598" t="n">
        <f aca="false">SUM(B18:B19)</f>
        <v>492312.886</v>
      </c>
      <c r="C20" s="602"/>
      <c r="D20" s="599"/>
      <c r="E20" s="599"/>
      <c r="F20" s="599"/>
      <c r="G20" s="598" t="n">
        <f aca="false">SUM(G18:G19)</f>
        <v>0</v>
      </c>
      <c r="H20" s="598" t="n">
        <f aca="false">SUM(H18:H19)</f>
        <v>24615.6443</v>
      </c>
      <c r="I20" s="598" t="n">
        <f aca="false">SUM(I18:I19)</f>
        <v>46418.72417</v>
      </c>
      <c r="J20" s="598" t="n">
        <f aca="false">SUM(J18:J19)</f>
        <v>41815.851753</v>
      </c>
      <c r="K20" s="598" t="n">
        <f aca="false">SUM(K18:K19)</f>
        <v>37697.492222</v>
      </c>
      <c r="L20" s="598" t="n">
        <f aca="false">SUM(L18:L19)</f>
        <v>33966.7429998</v>
      </c>
      <c r="M20" s="598" t="n">
        <f aca="false">SUM(M18:M19)</f>
        <v>30575.1527978</v>
      </c>
      <c r="N20" s="598" t="n">
        <f aca="false">SUM(N18:N19)</f>
        <v>28976.260274</v>
      </c>
      <c r="O20" s="598" t="n">
        <f aca="false">SUM(O18:O19)</f>
        <v>29024.7115626</v>
      </c>
      <c r="P20" s="598" t="n">
        <f aca="false">SUM(P18:P19)</f>
        <v>28976.260274</v>
      </c>
      <c r="Q20" s="598" t="n">
        <f aca="false">SUM(Q18:Q19)</f>
        <v>29024.7115626</v>
      </c>
      <c r="R20" s="598" t="n">
        <f aca="false">SUM(R18:R19)</f>
        <v>28976.260274</v>
      </c>
      <c r="S20" s="598" t="n">
        <f aca="false">SUM(S18:S19)</f>
        <v>29024.7115626</v>
      </c>
      <c r="T20" s="598" t="n">
        <f aca="false">SUM(T18:T19)</f>
        <v>28976.260274</v>
      </c>
      <c r="U20" s="598" t="n">
        <f aca="false">SUM(U18:U19)</f>
        <v>29024.7115626</v>
      </c>
      <c r="V20" s="598" t="n">
        <f aca="false">SUM(V18:V19)</f>
        <v>28976.260274</v>
      </c>
      <c r="W20" s="598" t="n">
        <f aca="false">SUM(W18:W19)</f>
        <v>14683.130137</v>
      </c>
      <c r="X20" s="598" t="n">
        <f aca="false">SUM(X18:X19)</f>
        <v>390</v>
      </c>
      <c r="Y20" s="598" t="n">
        <f aca="false">SUM(Y18:Y19)</f>
        <v>390</v>
      </c>
      <c r="Z20" s="598" t="n">
        <f aca="false">SUM(Z18:Z19)</f>
        <v>390</v>
      </c>
      <c r="AA20" s="598" t="n">
        <f aca="false">SUM(AA18:AA19)</f>
        <v>390</v>
      </c>
      <c r="AB20" s="598" t="n">
        <f aca="false">SUM(AB18:AB19)</f>
        <v>0</v>
      </c>
      <c r="AC20" s="598" t="n">
        <f aca="false">SUM(AC18:AC19)</f>
        <v>0</v>
      </c>
      <c r="AD20" s="584"/>
      <c r="AE20" s="584"/>
      <c r="AF20" s="579" t="n">
        <v>6</v>
      </c>
      <c r="AG20" s="589" t="n">
        <v>0.0623</v>
      </c>
      <c r="AH20" s="586"/>
      <c r="AI20" s="586"/>
      <c r="AJ20" s="586"/>
      <c r="AK20" s="586"/>
      <c r="AL20" s="586"/>
      <c r="AM20" s="586"/>
      <c r="AN20" s="586"/>
      <c r="AO20" s="586"/>
      <c r="AP20" s="586"/>
      <c r="AQ20" s="586"/>
      <c r="AR20" s="586"/>
      <c r="AS20" s="586"/>
      <c r="AT20" s="586"/>
      <c r="AU20" s="586"/>
      <c r="AV20" s="586"/>
      <c r="AW20" s="586"/>
      <c r="AX20" s="586"/>
      <c r="AY20" s="586"/>
      <c r="AZ20" s="586"/>
      <c r="BA20" s="586"/>
      <c r="BB20" s="586"/>
      <c r="BC20" s="586"/>
      <c r="BD20" s="586"/>
      <c r="BE20" s="586"/>
      <c r="BF20" s="586"/>
      <c r="BG20" s="586"/>
      <c r="BH20" s="586"/>
      <c r="BI20" s="586"/>
      <c r="BJ20" s="586"/>
      <c r="BK20" s="586"/>
      <c r="BL20" s="586"/>
      <c r="BM20" s="586"/>
      <c r="BN20" s="586"/>
      <c r="BO20" s="586"/>
      <c r="BP20" s="586"/>
      <c r="BQ20" s="586"/>
      <c r="BR20" s="586"/>
      <c r="BS20" s="586"/>
      <c r="BT20" s="586"/>
      <c r="BU20" s="586"/>
      <c r="BV20" s="586"/>
      <c r="BW20" s="586"/>
      <c r="BX20" s="586"/>
      <c r="BY20" s="586"/>
      <c r="BZ20" s="586"/>
      <c r="CA20" s="586"/>
      <c r="CB20" s="586"/>
      <c r="CC20" s="586"/>
      <c r="CD20" s="586"/>
      <c r="CE20" s="586"/>
      <c r="CF20" s="586"/>
      <c r="CG20" s="586"/>
      <c r="CH20" s="586"/>
      <c r="CI20" s="586"/>
      <c r="CJ20" s="586"/>
      <c r="CK20" s="586"/>
      <c r="CL20" s="586"/>
      <c r="CM20" s="586"/>
      <c r="CN20" s="586"/>
      <c r="CO20" s="586"/>
      <c r="CP20" s="586"/>
      <c r="CQ20" s="586"/>
      <c r="CR20" s="586"/>
      <c r="CS20" s="586"/>
      <c r="CT20" s="586"/>
      <c r="CU20" s="586"/>
      <c r="CV20" s="586"/>
      <c r="CW20" s="586"/>
      <c r="CX20" s="586"/>
      <c r="CY20" s="586"/>
      <c r="CZ20" s="586"/>
      <c r="DA20" s="586"/>
      <c r="DB20" s="586"/>
      <c r="DC20" s="586"/>
      <c r="DD20" s="586"/>
      <c r="DE20" s="586"/>
      <c r="DF20" s="586"/>
      <c r="DG20" s="586"/>
      <c r="DH20" s="586"/>
      <c r="DI20" s="586"/>
      <c r="DJ20" s="586"/>
      <c r="DK20" s="586"/>
      <c r="DL20" s="586"/>
      <c r="DM20" s="586"/>
      <c r="DN20" s="586"/>
      <c r="DO20" s="586"/>
      <c r="DP20" s="586"/>
      <c r="DQ20" s="586"/>
      <c r="DR20" s="586"/>
      <c r="DS20" s="586"/>
      <c r="DT20" s="586"/>
      <c r="DU20" s="586"/>
      <c r="DV20" s="586"/>
      <c r="DW20" s="586"/>
      <c r="DX20" s="586"/>
      <c r="DY20" s="586"/>
      <c r="DZ20" s="586"/>
      <c r="EA20" s="586"/>
      <c r="EB20" s="586"/>
      <c r="EC20" s="586"/>
      <c r="ED20" s="586"/>
      <c r="EE20" s="586"/>
      <c r="EF20" s="586"/>
      <c r="EG20" s="586"/>
      <c r="EH20" s="586"/>
      <c r="EI20" s="586"/>
      <c r="EJ20" s="586"/>
      <c r="EK20" s="586"/>
      <c r="EL20" s="586"/>
      <c r="EM20" s="586"/>
      <c r="EN20" s="586"/>
      <c r="EO20" s="586"/>
      <c r="EP20" s="586"/>
      <c r="EQ20" s="586"/>
      <c r="ER20" s="586"/>
      <c r="ES20" s="586"/>
      <c r="ET20" s="586"/>
      <c r="EU20" s="586"/>
      <c r="EV20" s="586"/>
      <c r="EW20" s="586"/>
      <c r="EX20" s="586"/>
      <c r="EY20" s="586"/>
      <c r="EZ20" s="586"/>
      <c r="FA20" s="586"/>
      <c r="FB20" s="586"/>
      <c r="FC20" s="586"/>
      <c r="FD20" s="586"/>
      <c r="FE20" s="586"/>
      <c r="FF20" s="586"/>
      <c r="FG20" s="586"/>
      <c r="FH20" s="586"/>
      <c r="FI20" s="586"/>
      <c r="FJ20" s="586"/>
      <c r="FK20" s="586"/>
      <c r="FL20" s="586"/>
      <c r="FM20" s="586"/>
      <c r="FN20" s="586"/>
      <c r="FO20" s="586"/>
      <c r="FP20" s="586"/>
      <c r="FQ20" s="586"/>
      <c r="FR20" s="586"/>
      <c r="FS20" s="586"/>
      <c r="FT20" s="586"/>
      <c r="FU20" s="586"/>
      <c r="FV20" s="586"/>
      <c r="FW20" s="586"/>
      <c r="FX20" s="586"/>
      <c r="FY20" s="586"/>
      <c r="FZ20" s="586"/>
      <c r="GA20" s="586"/>
      <c r="GB20" s="586"/>
      <c r="GC20" s="586"/>
      <c r="GD20" s="586"/>
      <c r="GE20" s="586"/>
      <c r="GF20" s="586"/>
      <c r="GG20" s="586"/>
      <c r="GH20" s="586"/>
      <c r="GI20" s="586"/>
      <c r="GJ20" s="586"/>
      <c r="GK20" s="586"/>
      <c r="GL20" s="586"/>
      <c r="GM20" s="586"/>
      <c r="GN20" s="586"/>
      <c r="GO20" s="586"/>
      <c r="GP20" s="586"/>
      <c r="GQ20" s="586"/>
      <c r="GR20" s="586"/>
      <c r="GS20" s="586"/>
      <c r="GT20" s="586"/>
      <c r="GU20" s="586"/>
      <c r="GV20" s="586"/>
      <c r="GW20" s="586"/>
      <c r="GX20" s="586"/>
      <c r="GY20" s="586"/>
      <c r="GZ20" s="586"/>
      <c r="HA20" s="586"/>
      <c r="HB20" s="586"/>
      <c r="HC20" s="586"/>
      <c r="HD20" s="586"/>
      <c r="HE20" s="586"/>
      <c r="HF20" s="586"/>
      <c r="HG20" s="586"/>
      <c r="HH20" s="586"/>
      <c r="HI20" s="586"/>
      <c r="HJ20" s="586"/>
      <c r="HK20" s="586"/>
      <c r="HL20" s="586"/>
      <c r="HM20" s="586"/>
      <c r="HN20" s="586"/>
      <c r="HO20" s="586"/>
      <c r="HP20" s="586"/>
      <c r="HQ20" s="586"/>
      <c r="HR20" s="586"/>
      <c r="HS20" s="586"/>
      <c r="HT20" s="586"/>
      <c r="HU20" s="586"/>
      <c r="HV20" s="586"/>
      <c r="HW20" s="586"/>
      <c r="HX20" s="586"/>
      <c r="HY20" s="586"/>
      <c r="HZ20" s="586"/>
      <c r="IA20" s="586"/>
      <c r="IB20" s="586"/>
      <c r="IC20" s="586"/>
      <c r="ID20" s="586"/>
      <c r="IE20" s="586"/>
      <c r="IF20" s="586"/>
      <c r="IG20" s="586"/>
      <c r="IH20" s="586"/>
      <c r="II20" s="586"/>
      <c r="IJ20" s="586"/>
      <c r="IK20" s="586"/>
      <c r="IL20" s="586"/>
      <c r="IM20" s="586"/>
      <c r="IN20" s="586"/>
      <c r="IO20" s="586"/>
      <c r="IP20" s="586"/>
      <c r="IQ20" s="586"/>
      <c r="IR20" s="586"/>
      <c r="IS20" s="586"/>
      <c r="IT20" s="586"/>
      <c r="IU20" s="586"/>
      <c r="IV20" s="586"/>
      <c r="IW20" s="586"/>
    </row>
    <row r="21" customFormat="false" ht="12.75" hidden="false" customHeight="false" outlineLevel="0" collapsed="false">
      <c r="A21" s="586"/>
      <c r="B21" s="598"/>
      <c r="C21" s="599"/>
      <c r="D21" s="599"/>
      <c r="E21" s="599"/>
      <c r="F21" s="599"/>
      <c r="G21" s="598"/>
      <c r="H21" s="598"/>
      <c r="I21" s="598"/>
      <c r="J21" s="598"/>
      <c r="K21" s="598"/>
      <c r="L21" s="598"/>
      <c r="M21" s="598"/>
      <c r="N21" s="598"/>
      <c r="O21" s="598"/>
      <c r="P21" s="598"/>
      <c r="Q21" s="598"/>
      <c r="R21" s="598"/>
      <c r="S21" s="598"/>
      <c r="T21" s="598"/>
      <c r="U21" s="598"/>
      <c r="V21" s="598"/>
      <c r="W21" s="598"/>
      <c r="X21" s="598"/>
      <c r="Y21" s="598"/>
      <c r="Z21" s="598"/>
      <c r="AA21" s="598"/>
      <c r="AB21" s="598"/>
      <c r="AC21" s="598"/>
      <c r="AD21" s="584"/>
      <c r="AE21" s="584"/>
      <c r="AF21" s="579" t="n">
        <v>7</v>
      </c>
      <c r="AG21" s="589" t="n">
        <v>0.059</v>
      </c>
      <c r="AH21" s="586"/>
      <c r="AI21" s="586"/>
      <c r="AJ21" s="586"/>
      <c r="AK21" s="586"/>
      <c r="AL21" s="586"/>
      <c r="AM21" s="586"/>
      <c r="AN21" s="586"/>
      <c r="AO21" s="586"/>
      <c r="AP21" s="586"/>
      <c r="AQ21" s="586"/>
      <c r="AR21" s="586"/>
      <c r="AS21" s="586"/>
      <c r="AT21" s="586"/>
      <c r="AU21" s="586"/>
      <c r="AV21" s="586"/>
      <c r="AW21" s="586"/>
      <c r="AX21" s="586"/>
      <c r="AY21" s="586"/>
      <c r="AZ21" s="586"/>
      <c r="BA21" s="586"/>
      <c r="BB21" s="586"/>
      <c r="BC21" s="586"/>
      <c r="BD21" s="586"/>
      <c r="BE21" s="586"/>
      <c r="BF21" s="586"/>
      <c r="BG21" s="586"/>
      <c r="BH21" s="586"/>
      <c r="BI21" s="586"/>
      <c r="BJ21" s="586"/>
      <c r="BK21" s="586"/>
      <c r="BL21" s="586"/>
      <c r="BM21" s="586"/>
      <c r="BN21" s="586"/>
      <c r="BO21" s="586"/>
      <c r="BP21" s="586"/>
      <c r="BQ21" s="586"/>
      <c r="BR21" s="586"/>
      <c r="BS21" s="586"/>
      <c r="BT21" s="586"/>
      <c r="BU21" s="586"/>
      <c r="BV21" s="586"/>
      <c r="BW21" s="586"/>
      <c r="BX21" s="586"/>
      <c r="BY21" s="586"/>
      <c r="BZ21" s="586"/>
      <c r="CA21" s="586"/>
      <c r="CB21" s="586"/>
      <c r="CC21" s="586"/>
      <c r="CD21" s="586"/>
      <c r="CE21" s="586"/>
      <c r="CF21" s="586"/>
      <c r="CG21" s="586"/>
      <c r="CH21" s="586"/>
      <c r="CI21" s="586"/>
      <c r="CJ21" s="586"/>
      <c r="CK21" s="586"/>
      <c r="CL21" s="586"/>
      <c r="CM21" s="586"/>
      <c r="CN21" s="586"/>
      <c r="CO21" s="586"/>
      <c r="CP21" s="586"/>
      <c r="CQ21" s="586"/>
      <c r="CR21" s="586"/>
      <c r="CS21" s="586"/>
      <c r="CT21" s="586"/>
      <c r="CU21" s="586"/>
      <c r="CV21" s="586"/>
      <c r="CW21" s="586"/>
      <c r="CX21" s="586"/>
      <c r="CY21" s="586"/>
      <c r="CZ21" s="586"/>
      <c r="DA21" s="586"/>
      <c r="DB21" s="586"/>
      <c r="DC21" s="586"/>
      <c r="DD21" s="586"/>
      <c r="DE21" s="586"/>
      <c r="DF21" s="586"/>
      <c r="DG21" s="586"/>
      <c r="DH21" s="586"/>
      <c r="DI21" s="586"/>
      <c r="DJ21" s="586"/>
      <c r="DK21" s="586"/>
      <c r="DL21" s="586"/>
      <c r="DM21" s="586"/>
      <c r="DN21" s="586"/>
      <c r="DO21" s="586"/>
      <c r="DP21" s="586"/>
      <c r="DQ21" s="586"/>
      <c r="DR21" s="586"/>
      <c r="DS21" s="586"/>
      <c r="DT21" s="586"/>
      <c r="DU21" s="586"/>
      <c r="DV21" s="586"/>
      <c r="DW21" s="586"/>
      <c r="DX21" s="586"/>
      <c r="DY21" s="586"/>
      <c r="DZ21" s="586"/>
      <c r="EA21" s="586"/>
      <c r="EB21" s="586"/>
      <c r="EC21" s="586"/>
      <c r="ED21" s="586"/>
      <c r="EE21" s="586"/>
      <c r="EF21" s="586"/>
      <c r="EG21" s="586"/>
      <c r="EH21" s="586"/>
      <c r="EI21" s="586"/>
      <c r="EJ21" s="586"/>
      <c r="EK21" s="586"/>
      <c r="EL21" s="586"/>
      <c r="EM21" s="586"/>
      <c r="EN21" s="586"/>
      <c r="EO21" s="586"/>
      <c r="EP21" s="586"/>
      <c r="EQ21" s="586"/>
      <c r="ER21" s="586"/>
      <c r="ES21" s="586"/>
      <c r="ET21" s="586"/>
      <c r="EU21" s="586"/>
      <c r="EV21" s="586"/>
      <c r="EW21" s="586"/>
      <c r="EX21" s="586"/>
      <c r="EY21" s="586"/>
      <c r="EZ21" s="586"/>
      <c r="FA21" s="586"/>
      <c r="FB21" s="586"/>
      <c r="FC21" s="586"/>
      <c r="FD21" s="586"/>
      <c r="FE21" s="586"/>
      <c r="FF21" s="586"/>
      <c r="FG21" s="586"/>
      <c r="FH21" s="586"/>
      <c r="FI21" s="586"/>
      <c r="FJ21" s="586"/>
      <c r="FK21" s="586"/>
      <c r="FL21" s="586"/>
      <c r="FM21" s="586"/>
      <c r="FN21" s="586"/>
      <c r="FO21" s="586"/>
      <c r="FP21" s="586"/>
      <c r="FQ21" s="586"/>
      <c r="FR21" s="586"/>
      <c r="FS21" s="586"/>
      <c r="FT21" s="586"/>
      <c r="FU21" s="586"/>
      <c r="FV21" s="586"/>
      <c r="FW21" s="586"/>
      <c r="FX21" s="586"/>
      <c r="FY21" s="586"/>
      <c r="FZ21" s="586"/>
      <c r="GA21" s="586"/>
      <c r="GB21" s="586"/>
      <c r="GC21" s="586"/>
      <c r="GD21" s="586"/>
      <c r="GE21" s="586"/>
      <c r="GF21" s="586"/>
      <c r="GG21" s="586"/>
      <c r="GH21" s="586"/>
      <c r="GI21" s="586"/>
      <c r="GJ21" s="586"/>
      <c r="GK21" s="586"/>
      <c r="GL21" s="586"/>
      <c r="GM21" s="586"/>
      <c r="GN21" s="586"/>
      <c r="GO21" s="586"/>
      <c r="GP21" s="586"/>
      <c r="GQ21" s="586"/>
      <c r="GR21" s="586"/>
      <c r="GS21" s="586"/>
      <c r="GT21" s="586"/>
      <c r="GU21" s="586"/>
      <c r="GV21" s="586"/>
      <c r="GW21" s="586"/>
      <c r="GX21" s="586"/>
      <c r="GY21" s="586"/>
      <c r="GZ21" s="586"/>
      <c r="HA21" s="586"/>
      <c r="HB21" s="586"/>
      <c r="HC21" s="586"/>
      <c r="HD21" s="586"/>
      <c r="HE21" s="586"/>
      <c r="HF21" s="586"/>
      <c r="HG21" s="586"/>
      <c r="HH21" s="586"/>
      <c r="HI21" s="586"/>
      <c r="HJ21" s="586"/>
      <c r="HK21" s="586"/>
      <c r="HL21" s="586"/>
      <c r="HM21" s="586"/>
      <c r="HN21" s="586"/>
      <c r="HO21" s="586"/>
      <c r="HP21" s="586"/>
      <c r="HQ21" s="586"/>
      <c r="HR21" s="586"/>
      <c r="HS21" s="586"/>
      <c r="HT21" s="586"/>
      <c r="HU21" s="586"/>
      <c r="HV21" s="586"/>
      <c r="HW21" s="586"/>
      <c r="HX21" s="586"/>
      <c r="HY21" s="586"/>
      <c r="HZ21" s="586"/>
      <c r="IA21" s="586"/>
      <c r="IB21" s="586"/>
      <c r="IC21" s="586"/>
      <c r="ID21" s="586"/>
      <c r="IE21" s="586"/>
      <c r="IF21" s="586"/>
      <c r="IG21" s="586"/>
      <c r="IH21" s="586"/>
      <c r="II21" s="586"/>
      <c r="IJ21" s="586"/>
      <c r="IK21" s="586"/>
      <c r="IL21" s="586"/>
      <c r="IM21" s="586"/>
      <c r="IN21" s="586"/>
      <c r="IO21" s="586"/>
      <c r="IP21" s="586"/>
      <c r="IQ21" s="586"/>
      <c r="IR21" s="586"/>
      <c r="IS21" s="586"/>
      <c r="IT21" s="586"/>
      <c r="IU21" s="586"/>
      <c r="IV21" s="586"/>
      <c r="IW21" s="586"/>
    </row>
    <row r="22" customFormat="false" ht="12.75" hidden="false" customHeight="false" outlineLevel="0" collapsed="false">
      <c r="A22" s="1" t="s">
        <v>420</v>
      </c>
      <c r="B22" s="598"/>
      <c r="C22" s="599"/>
      <c r="D22" s="599"/>
      <c r="E22" s="599"/>
      <c r="F22" s="599"/>
      <c r="G22" s="598" t="n">
        <f aca="false">B20-G20</f>
        <v>492312.886</v>
      </c>
      <c r="H22" s="598" t="n">
        <f aca="false">G22-H20</f>
        <v>467697.2417</v>
      </c>
      <c r="I22" s="598" t="n">
        <f aca="false">H22-I20</f>
        <v>421278.51753</v>
      </c>
      <c r="J22" s="598" t="n">
        <f aca="false">I22-J20</f>
        <v>379462.665777</v>
      </c>
      <c r="K22" s="598" t="n">
        <f aca="false">J22-K20</f>
        <v>341765.173555</v>
      </c>
      <c r="L22" s="598" t="n">
        <f aca="false">K22-L20</f>
        <v>307798.4305552</v>
      </c>
      <c r="M22" s="598" t="n">
        <f aca="false">L22-M20</f>
        <v>277223.2777574</v>
      </c>
      <c r="N22" s="598" t="n">
        <f aca="false">M22-N20</f>
        <v>248247.0174834</v>
      </c>
      <c r="O22" s="598" t="n">
        <f aca="false">N22-O20</f>
        <v>219222.3059208</v>
      </c>
      <c r="P22" s="598" t="n">
        <f aca="false">O22-P20</f>
        <v>190246.0456468</v>
      </c>
      <c r="Q22" s="598" t="n">
        <f aca="false">P22-Q20</f>
        <v>161221.3340842</v>
      </c>
      <c r="R22" s="598" t="n">
        <f aca="false">Q22-R20</f>
        <v>132245.0738102</v>
      </c>
      <c r="S22" s="598" t="n">
        <f aca="false">R22-S20</f>
        <v>103220.3622476</v>
      </c>
      <c r="T22" s="598" t="n">
        <f aca="false">S22-T20</f>
        <v>74244.1019736</v>
      </c>
      <c r="U22" s="598" t="n">
        <f aca="false">T22-U20</f>
        <v>45219.390411</v>
      </c>
      <c r="V22" s="598" t="n">
        <f aca="false">U22-V20</f>
        <v>16243.130137</v>
      </c>
      <c r="W22" s="598" t="n">
        <f aca="false">V22-W20</f>
        <v>1559.99999999997</v>
      </c>
      <c r="X22" s="598" t="n">
        <f aca="false">W22-X20</f>
        <v>1169.99999999997</v>
      </c>
      <c r="Y22" s="598" t="n">
        <f aca="false">X22-Y20</f>
        <v>779.999999999971</v>
      </c>
      <c r="Z22" s="598" t="n">
        <f aca="false">Y22-Z20</f>
        <v>389.999999999971</v>
      </c>
      <c r="AA22" s="598" t="n">
        <f aca="false">Z22-AA20</f>
        <v>-2.91038304567337E-011</v>
      </c>
      <c r="AB22" s="598" t="n">
        <f aca="false">AA22-AB20</f>
        <v>-2.91038304567337E-011</v>
      </c>
      <c r="AC22" s="598" t="n">
        <f aca="false">AB22-AC20</f>
        <v>-2.91038304567337E-011</v>
      </c>
      <c r="AD22" s="584"/>
      <c r="AE22" s="584"/>
      <c r="AF22" s="579" t="n">
        <v>8</v>
      </c>
      <c r="AG22" s="589" t="n">
        <v>0.0591</v>
      </c>
      <c r="AH22" s="586"/>
      <c r="AI22" s="586"/>
      <c r="AJ22" s="586"/>
      <c r="AK22" s="586"/>
      <c r="AL22" s="586"/>
      <c r="AM22" s="586"/>
      <c r="AN22" s="586"/>
      <c r="AO22" s="586"/>
      <c r="AP22" s="586"/>
      <c r="AQ22" s="586"/>
      <c r="AR22" s="586"/>
      <c r="AS22" s="586"/>
      <c r="AT22" s="586"/>
      <c r="AU22" s="586"/>
      <c r="AV22" s="586"/>
      <c r="AW22" s="586"/>
      <c r="AX22" s="586"/>
      <c r="AY22" s="586"/>
      <c r="AZ22" s="586"/>
      <c r="BA22" s="586"/>
      <c r="BB22" s="586"/>
      <c r="BC22" s="586"/>
      <c r="BD22" s="586"/>
      <c r="BE22" s="586"/>
      <c r="BF22" s="586"/>
      <c r="BG22" s="586"/>
      <c r="BH22" s="586"/>
      <c r="BI22" s="586"/>
      <c r="BJ22" s="586"/>
      <c r="BK22" s="586"/>
      <c r="BL22" s="586"/>
      <c r="BM22" s="586"/>
      <c r="BN22" s="586"/>
      <c r="BO22" s="586"/>
      <c r="BP22" s="586"/>
      <c r="BQ22" s="586"/>
      <c r="BR22" s="586"/>
      <c r="BS22" s="586"/>
      <c r="BT22" s="586"/>
      <c r="BU22" s="586"/>
      <c r="BV22" s="586"/>
      <c r="BW22" s="586"/>
      <c r="BX22" s="586"/>
      <c r="BY22" s="586"/>
      <c r="BZ22" s="586"/>
      <c r="CA22" s="586"/>
      <c r="CB22" s="586"/>
      <c r="CC22" s="586"/>
      <c r="CD22" s="586"/>
      <c r="CE22" s="586"/>
      <c r="CF22" s="586"/>
      <c r="CG22" s="586"/>
      <c r="CH22" s="586"/>
      <c r="CI22" s="586"/>
      <c r="CJ22" s="586"/>
      <c r="CK22" s="586"/>
      <c r="CL22" s="586"/>
      <c r="CM22" s="586"/>
      <c r="CN22" s="586"/>
      <c r="CO22" s="586"/>
      <c r="CP22" s="586"/>
      <c r="CQ22" s="586"/>
      <c r="CR22" s="586"/>
      <c r="CS22" s="586"/>
      <c r="CT22" s="586"/>
      <c r="CU22" s="586"/>
      <c r="CV22" s="586"/>
      <c r="CW22" s="586"/>
      <c r="CX22" s="586"/>
      <c r="CY22" s="586"/>
      <c r="CZ22" s="586"/>
      <c r="DA22" s="586"/>
      <c r="DB22" s="586"/>
      <c r="DC22" s="586"/>
      <c r="DD22" s="586"/>
      <c r="DE22" s="586"/>
      <c r="DF22" s="586"/>
      <c r="DG22" s="586"/>
      <c r="DH22" s="586"/>
      <c r="DI22" s="586"/>
      <c r="DJ22" s="586"/>
      <c r="DK22" s="586"/>
      <c r="DL22" s="586"/>
      <c r="DM22" s="586"/>
      <c r="DN22" s="586"/>
      <c r="DO22" s="586"/>
      <c r="DP22" s="586"/>
      <c r="DQ22" s="586"/>
      <c r="DR22" s="586"/>
      <c r="DS22" s="586"/>
      <c r="DT22" s="586"/>
      <c r="DU22" s="586"/>
      <c r="DV22" s="586"/>
      <c r="DW22" s="586"/>
      <c r="DX22" s="586"/>
      <c r="DY22" s="586"/>
      <c r="DZ22" s="586"/>
      <c r="EA22" s="586"/>
      <c r="EB22" s="586"/>
      <c r="EC22" s="586"/>
      <c r="ED22" s="586"/>
      <c r="EE22" s="586"/>
      <c r="EF22" s="586"/>
      <c r="EG22" s="586"/>
      <c r="EH22" s="586"/>
      <c r="EI22" s="586"/>
      <c r="EJ22" s="586"/>
      <c r="EK22" s="586"/>
      <c r="EL22" s="586"/>
      <c r="EM22" s="586"/>
      <c r="EN22" s="586"/>
      <c r="EO22" s="586"/>
      <c r="EP22" s="586"/>
      <c r="EQ22" s="586"/>
      <c r="ER22" s="586"/>
      <c r="ES22" s="586"/>
      <c r="ET22" s="586"/>
      <c r="EU22" s="586"/>
      <c r="EV22" s="586"/>
      <c r="EW22" s="586"/>
      <c r="EX22" s="586"/>
      <c r="EY22" s="586"/>
      <c r="EZ22" s="586"/>
      <c r="FA22" s="586"/>
      <c r="FB22" s="586"/>
      <c r="FC22" s="586"/>
      <c r="FD22" s="586"/>
      <c r="FE22" s="586"/>
      <c r="FF22" s="586"/>
      <c r="FG22" s="586"/>
      <c r="FH22" s="586"/>
      <c r="FI22" s="586"/>
      <c r="FJ22" s="586"/>
      <c r="FK22" s="586"/>
      <c r="FL22" s="586"/>
      <c r="FM22" s="586"/>
      <c r="FN22" s="586"/>
      <c r="FO22" s="586"/>
      <c r="FP22" s="586"/>
      <c r="FQ22" s="586"/>
      <c r="FR22" s="586"/>
      <c r="FS22" s="586"/>
      <c r="FT22" s="586"/>
      <c r="FU22" s="586"/>
      <c r="FV22" s="586"/>
      <c r="FW22" s="586"/>
      <c r="FX22" s="586"/>
      <c r="FY22" s="586"/>
      <c r="FZ22" s="586"/>
      <c r="GA22" s="586"/>
      <c r="GB22" s="586"/>
      <c r="GC22" s="586"/>
      <c r="GD22" s="586"/>
      <c r="GE22" s="586"/>
      <c r="GF22" s="586"/>
      <c r="GG22" s="586"/>
      <c r="GH22" s="586"/>
      <c r="GI22" s="586"/>
      <c r="GJ22" s="586"/>
      <c r="GK22" s="586"/>
      <c r="GL22" s="586"/>
      <c r="GM22" s="586"/>
      <c r="GN22" s="586"/>
      <c r="GO22" s="586"/>
      <c r="GP22" s="586"/>
      <c r="GQ22" s="586"/>
      <c r="GR22" s="586"/>
      <c r="GS22" s="586"/>
      <c r="GT22" s="586"/>
      <c r="GU22" s="586"/>
      <c r="GV22" s="586"/>
      <c r="GW22" s="586"/>
      <c r="GX22" s="586"/>
      <c r="GY22" s="586"/>
      <c r="GZ22" s="586"/>
      <c r="HA22" s="586"/>
      <c r="HB22" s="586"/>
      <c r="HC22" s="586"/>
      <c r="HD22" s="586"/>
      <c r="HE22" s="586"/>
      <c r="HF22" s="586"/>
      <c r="HG22" s="586"/>
      <c r="HH22" s="586"/>
      <c r="HI22" s="586"/>
      <c r="HJ22" s="586"/>
      <c r="HK22" s="586"/>
      <c r="HL22" s="586"/>
      <c r="HM22" s="586"/>
      <c r="HN22" s="586"/>
      <c r="HO22" s="586"/>
      <c r="HP22" s="586"/>
      <c r="HQ22" s="586"/>
      <c r="HR22" s="586"/>
      <c r="HS22" s="586"/>
      <c r="HT22" s="586"/>
      <c r="HU22" s="586"/>
      <c r="HV22" s="586"/>
      <c r="HW22" s="586"/>
      <c r="HX22" s="586"/>
      <c r="HY22" s="586"/>
      <c r="HZ22" s="586"/>
      <c r="IA22" s="586"/>
      <c r="IB22" s="586"/>
      <c r="IC22" s="586"/>
      <c r="ID22" s="586"/>
      <c r="IE22" s="586"/>
      <c r="IF22" s="586"/>
      <c r="IG22" s="586"/>
      <c r="IH22" s="586"/>
      <c r="II22" s="586"/>
      <c r="IJ22" s="586"/>
      <c r="IK22" s="586"/>
      <c r="IL22" s="586"/>
      <c r="IM22" s="586"/>
      <c r="IN22" s="586"/>
      <c r="IO22" s="586"/>
      <c r="IP22" s="586"/>
      <c r="IQ22" s="586"/>
      <c r="IR22" s="586"/>
      <c r="IS22" s="586"/>
      <c r="IT22" s="586"/>
      <c r="IU22" s="586"/>
      <c r="IV22" s="586"/>
      <c r="IW22" s="586"/>
    </row>
    <row r="23" customFormat="false" ht="12.75" hidden="false" customHeight="false" outlineLevel="0" collapsed="false">
      <c r="A23" s="603"/>
      <c r="B23" s="604"/>
      <c r="C23" s="605"/>
      <c r="D23" s="605"/>
      <c r="E23" s="605"/>
      <c r="F23" s="605"/>
      <c r="AD23" s="584"/>
      <c r="AE23" s="584"/>
      <c r="AF23" s="579" t="n">
        <v>9</v>
      </c>
      <c r="AG23" s="589" t="n">
        <v>0.059</v>
      </c>
      <c r="AH23" s="586"/>
      <c r="AI23" s="586"/>
      <c r="AJ23" s="586"/>
      <c r="AK23" s="586"/>
      <c r="AL23" s="586"/>
      <c r="AM23" s="586"/>
      <c r="AN23" s="586"/>
      <c r="AO23" s="586"/>
      <c r="AP23" s="586"/>
      <c r="AQ23" s="586"/>
      <c r="AR23" s="586"/>
      <c r="AS23" s="586"/>
      <c r="AT23" s="586"/>
      <c r="AU23" s="586"/>
      <c r="AV23" s="586"/>
      <c r="AW23" s="586"/>
      <c r="AX23" s="586"/>
      <c r="AY23" s="586"/>
      <c r="AZ23" s="586"/>
      <c r="BA23" s="586"/>
      <c r="BB23" s="586"/>
      <c r="BC23" s="586"/>
      <c r="BD23" s="586"/>
      <c r="BE23" s="586"/>
      <c r="BF23" s="586"/>
      <c r="BG23" s="586"/>
      <c r="BH23" s="586"/>
      <c r="BI23" s="586"/>
      <c r="BJ23" s="586"/>
      <c r="BK23" s="586"/>
      <c r="BL23" s="586"/>
      <c r="BM23" s="586"/>
      <c r="BN23" s="586"/>
      <c r="BO23" s="586"/>
      <c r="BP23" s="586"/>
      <c r="BQ23" s="586"/>
      <c r="BR23" s="586"/>
      <c r="BS23" s="586"/>
      <c r="BT23" s="586"/>
      <c r="BU23" s="586"/>
      <c r="BV23" s="586"/>
      <c r="BW23" s="586"/>
      <c r="BX23" s="586"/>
      <c r="BY23" s="586"/>
      <c r="BZ23" s="586"/>
      <c r="CA23" s="586"/>
      <c r="CB23" s="586"/>
      <c r="CC23" s="586"/>
      <c r="CD23" s="586"/>
      <c r="CE23" s="586"/>
      <c r="CF23" s="586"/>
      <c r="CG23" s="586"/>
      <c r="CH23" s="586"/>
      <c r="CI23" s="586"/>
      <c r="CJ23" s="586"/>
      <c r="CK23" s="586"/>
      <c r="CL23" s="586"/>
      <c r="CM23" s="586"/>
      <c r="CN23" s="586"/>
      <c r="CO23" s="586"/>
      <c r="CP23" s="586"/>
      <c r="CQ23" s="586"/>
      <c r="CR23" s="586"/>
      <c r="CS23" s="586"/>
      <c r="CT23" s="586"/>
      <c r="CU23" s="586"/>
      <c r="CV23" s="586"/>
      <c r="CW23" s="586"/>
      <c r="CX23" s="586"/>
      <c r="CY23" s="586"/>
      <c r="CZ23" s="586"/>
      <c r="DA23" s="586"/>
      <c r="DB23" s="586"/>
      <c r="DC23" s="586"/>
      <c r="DD23" s="586"/>
      <c r="DE23" s="586"/>
      <c r="DF23" s="586"/>
      <c r="DG23" s="586"/>
      <c r="DH23" s="586"/>
      <c r="DI23" s="586"/>
      <c r="DJ23" s="586"/>
      <c r="DK23" s="586"/>
      <c r="DL23" s="586"/>
      <c r="DM23" s="586"/>
      <c r="DN23" s="586"/>
      <c r="DO23" s="586"/>
      <c r="DP23" s="586"/>
      <c r="DQ23" s="586"/>
      <c r="DR23" s="586"/>
      <c r="DS23" s="586"/>
      <c r="DT23" s="586"/>
      <c r="DU23" s="586"/>
      <c r="DV23" s="586"/>
      <c r="DW23" s="586"/>
      <c r="DX23" s="586"/>
      <c r="DY23" s="586"/>
      <c r="DZ23" s="586"/>
      <c r="EA23" s="586"/>
      <c r="EB23" s="586"/>
      <c r="EC23" s="586"/>
      <c r="ED23" s="586"/>
      <c r="EE23" s="586"/>
      <c r="EF23" s="586"/>
      <c r="EG23" s="586"/>
      <c r="EH23" s="586"/>
      <c r="EI23" s="586"/>
      <c r="EJ23" s="586"/>
      <c r="EK23" s="586"/>
      <c r="EL23" s="586"/>
      <c r="EM23" s="586"/>
      <c r="EN23" s="586"/>
      <c r="EO23" s="586"/>
      <c r="EP23" s="586"/>
      <c r="EQ23" s="586"/>
      <c r="ER23" s="586"/>
      <c r="ES23" s="586"/>
      <c r="ET23" s="586"/>
      <c r="EU23" s="586"/>
      <c r="EV23" s="586"/>
      <c r="EW23" s="586"/>
      <c r="EX23" s="586"/>
      <c r="EY23" s="586"/>
      <c r="EZ23" s="586"/>
      <c r="FA23" s="586"/>
      <c r="FB23" s="586"/>
      <c r="FC23" s="586"/>
      <c r="FD23" s="586"/>
      <c r="FE23" s="586"/>
      <c r="FF23" s="586"/>
      <c r="FG23" s="586"/>
      <c r="FH23" s="586"/>
      <c r="FI23" s="586"/>
      <c r="FJ23" s="586"/>
      <c r="FK23" s="586"/>
      <c r="FL23" s="586"/>
      <c r="FM23" s="586"/>
      <c r="FN23" s="586"/>
      <c r="FO23" s="586"/>
      <c r="FP23" s="586"/>
      <c r="FQ23" s="586"/>
      <c r="FR23" s="586"/>
      <c r="FS23" s="586"/>
      <c r="FT23" s="586"/>
      <c r="FU23" s="586"/>
      <c r="FV23" s="586"/>
      <c r="FW23" s="586"/>
      <c r="FX23" s="586"/>
      <c r="FY23" s="586"/>
      <c r="FZ23" s="586"/>
      <c r="GA23" s="586"/>
      <c r="GB23" s="586"/>
      <c r="GC23" s="586"/>
      <c r="GD23" s="586"/>
      <c r="GE23" s="586"/>
      <c r="GF23" s="586"/>
      <c r="GG23" s="586"/>
      <c r="GH23" s="586"/>
      <c r="GI23" s="586"/>
      <c r="GJ23" s="586"/>
      <c r="GK23" s="586"/>
      <c r="GL23" s="586"/>
      <c r="GM23" s="586"/>
      <c r="GN23" s="586"/>
      <c r="GO23" s="586"/>
      <c r="GP23" s="586"/>
      <c r="GQ23" s="586"/>
      <c r="GR23" s="586"/>
      <c r="GS23" s="586"/>
      <c r="GT23" s="586"/>
      <c r="GU23" s="586"/>
      <c r="GV23" s="586"/>
      <c r="GW23" s="586"/>
      <c r="GX23" s="586"/>
      <c r="GY23" s="586"/>
      <c r="GZ23" s="586"/>
      <c r="HA23" s="586"/>
      <c r="HB23" s="586"/>
      <c r="HC23" s="586"/>
      <c r="HD23" s="586"/>
      <c r="HE23" s="586"/>
      <c r="HF23" s="586"/>
      <c r="HG23" s="586"/>
      <c r="HH23" s="586"/>
      <c r="HI23" s="586"/>
      <c r="HJ23" s="586"/>
      <c r="HK23" s="586"/>
      <c r="HL23" s="586"/>
      <c r="HM23" s="586"/>
      <c r="HN23" s="586"/>
      <c r="HO23" s="586"/>
      <c r="HP23" s="586"/>
      <c r="HQ23" s="586"/>
      <c r="HR23" s="586"/>
      <c r="HS23" s="586"/>
      <c r="HT23" s="586"/>
      <c r="HU23" s="586"/>
      <c r="HV23" s="586"/>
      <c r="HW23" s="586"/>
      <c r="HX23" s="586"/>
      <c r="HY23" s="586"/>
      <c r="HZ23" s="586"/>
      <c r="IA23" s="586"/>
      <c r="IB23" s="586"/>
      <c r="IC23" s="586"/>
      <c r="ID23" s="586"/>
      <c r="IE23" s="586"/>
      <c r="IF23" s="586"/>
      <c r="IG23" s="586"/>
      <c r="IH23" s="586"/>
      <c r="II23" s="586"/>
      <c r="IJ23" s="586"/>
      <c r="IK23" s="586"/>
      <c r="IL23" s="586"/>
      <c r="IM23" s="586"/>
      <c r="IN23" s="586"/>
      <c r="IO23" s="586"/>
      <c r="IP23" s="586"/>
      <c r="IQ23" s="586"/>
      <c r="IR23" s="586"/>
      <c r="IS23" s="586"/>
      <c r="IT23" s="586"/>
      <c r="IU23" s="586"/>
      <c r="IV23" s="586"/>
      <c r="IW23" s="586"/>
    </row>
    <row r="24" customFormat="false" ht="12.75" hidden="false" customHeight="false" outlineLevel="0" collapsed="false">
      <c r="A24" s="581" t="s">
        <v>421</v>
      </c>
      <c r="B24" s="606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584"/>
      <c r="AE24" s="584"/>
      <c r="AF24" s="579" t="n">
        <v>10</v>
      </c>
      <c r="AG24" s="589" t="n">
        <v>0.0591</v>
      </c>
      <c r="AH24" s="586"/>
      <c r="AI24" s="586"/>
      <c r="AJ24" s="586"/>
      <c r="AK24" s="586"/>
      <c r="AL24" s="586"/>
      <c r="AM24" s="586"/>
      <c r="AN24" s="586"/>
      <c r="AO24" s="586"/>
      <c r="AP24" s="586"/>
      <c r="AQ24" s="586"/>
      <c r="AR24" s="586"/>
      <c r="AS24" s="586"/>
      <c r="AT24" s="586"/>
      <c r="AU24" s="586"/>
      <c r="AV24" s="586"/>
      <c r="AW24" s="586"/>
      <c r="AX24" s="586"/>
      <c r="AY24" s="586"/>
      <c r="AZ24" s="586"/>
      <c r="BA24" s="586"/>
      <c r="BB24" s="586"/>
      <c r="BC24" s="586"/>
      <c r="BD24" s="586"/>
      <c r="BE24" s="586"/>
      <c r="BF24" s="586"/>
      <c r="BG24" s="586"/>
      <c r="BH24" s="586"/>
      <c r="BI24" s="586"/>
      <c r="BJ24" s="586"/>
      <c r="BK24" s="586"/>
      <c r="BL24" s="586"/>
      <c r="BM24" s="586"/>
      <c r="BN24" s="586"/>
      <c r="BO24" s="586"/>
      <c r="BP24" s="586"/>
      <c r="BQ24" s="586"/>
      <c r="BR24" s="586"/>
      <c r="BS24" s="586"/>
      <c r="BT24" s="586"/>
      <c r="BU24" s="586"/>
      <c r="BV24" s="586"/>
      <c r="BW24" s="586"/>
      <c r="BX24" s="586"/>
      <c r="BY24" s="586"/>
      <c r="BZ24" s="586"/>
      <c r="CA24" s="586"/>
      <c r="CB24" s="586"/>
      <c r="CC24" s="586"/>
      <c r="CD24" s="586"/>
      <c r="CE24" s="586"/>
      <c r="CF24" s="586"/>
      <c r="CG24" s="586"/>
      <c r="CH24" s="586"/>
      <c r="CI24" s="586"/>
      <c r="CJ24" s="586"/>
      <c r="CK24" s="586"/>
      <c r="CL24" s="586"/>
      <c r="CM24" s="586"/>
      <c r="CN24" s="586"/>
      <c r="CO24" s="586"/>
      <c r="CP24" s="586"/>
      <c r="CQ24" s="586"/>
      <c r="CR24" s="586"/>
      <c r="CS24" s="586"/>
      <c r="CT24" s="586"/>
      <c r="CU24" s="586"/>
      <c r="CV24" s="586"/>
      <c r="CW24" s="586"/>
      <c r="CX24" s="586"/>
      <c r="CY24" s="586"/>
      <c r="CZ24" s="586"/>
      <c r="DA24" s="586"/>
      <c r="DB24" s="586"/>
      <c r="DC24" s="586"/>
      <c r="DD24" s="586"/>
      <c r="DE24" s="586"/>
      <c r="DF24" s="586"/>
      <c r="DG24" s="586"/>
      <c r="DH24" s="586"/>
      <c r="DI24" s="586"/>
      <c r="DJ24" s="586"/>
      <c r="DK24" s="586"/>
      <c r="DL24" s="586"/>
      <c r="DM24" s="586"/>
      <c r="DN24" s="586"/>
      <c r="DO24" s="586"/>
      <c r="DP24" s="586"/>
      <c r="DQ24" s="586"/>
      <c r="DR24" s="586"/>
      <c r="DS24" s="586"/>
      <c r="DT24" s="586"/>
      <c r="DU24" s="586"/>
      <c r="DV24" s="586"/>
      <c r="DW24" s="586"/>
      <c r="DX24" s="586"/>
      <c r="DY24" s="586"/>
      <c r="DZ24" s="586"/>
      <c r="EA24" s="586"/>
      <c r="EB24" s="586"/>
      <c r="EC24" s="586"/>
      <c r="ED24" s="586"/>
      <c r="EE24" s="586"/>
      <c r="EF24" s="586"/>
      <c r="EG24" s="586"/>
      <c r="EH24" s="586"/>
      <c r="EI24" s="586"/>
      <c r="EJ24" s="586"/>
      <c r="EK24" s="586"/>
      <c r="EL24" s="586"/>
      <c r="EM24" s="586"/>
      <c r="EN24" s="586"/>
      <c r="EO24" s="586"/>
      <c r="EP24" s="586"/>
      <c r="EQ24" s="586"/>
      <c r="ER24" s="586"/>
      <c r="ES24" s="586"/>
      <c r="ET24" s="586"/>
      <c r="EU24" s="586"/>
      <c r="EV24" s="586"/>
      <c r="EW24" s="586"/>
      <c r="EX24" s="586"/>
      <c r="EY24" s="586"/>
      <c r="EZ24" s="586"/>
      <c r="FA24" s="586"/>
      <c r="FB24" s="586"/>
      <c r="FC24" s="586"/>
      <c r="FD24" s="586"/>
      <c r="FE24" s="586"/>
      <c r="FF24" s="586"/>
      <c r="FG24" s="586"/>
      <c r="FH24" s="586"/>
      <c r="FI24" s="586"/>
      <c r="FJ24" s="586"/>
      <c r="FK24" s="586"/>
      <c r="FL24" s="586"/>
      <c r="FM24" s="586"/>
      <c r="FN24" s="586"/>
      <c r="FO24" s="586"/>
      <c r="FP24" s="586"/>
      <c r="FQ24" s="586"/>
      <c r="FR24" s="586"/>
      <c r="FS24" s="586"/>
      <c r="FT24" s="586"/>
      <c r="FU24" s="586"/>
      <c r="FV24" s="586"/>
      <c r="FW24" s="586"/>
      <c r="FX24" s="586"/>
      <c r="FY24" s="586"/>
      <c r="FZ24" s="586"/>
      <c r="GA24" s="586"/>
      <c r="GB24" s="586"/>
      <c r="GC24" s="586"/>
      <c r="GD24" s="586"/>
      <c r="GE24" s="586"/>
      <c r="GF24" s="586"/>
      <c r="GG24" s="586"/>
      <c r="GH24" s="586"/>
      <c r="GI24" s="586"/>
      <c r="GJ24" s="586"/>
      <c r="GK24" s="586"/>
      <c r="GL24" s="586"/>
      <c r="GM24" s="586"/>
      <c r="GN24" s="586"/>
      <c r="GO24" s="586"/>
      <c r="GP24" s="586"/>
      <c r="GQ24" s="586"/>
      <c r="GR24" s="586"/>
      <c r="GS24" s="586"/>
      <c r="GT24" s="586"/>
      <c r="GU24" s="586"/>
      <c r="GV24" s="586"/>
      <c r="GW24" s="586"/>
      <c r="GX24" s="586"/>
      <c r="GY24" s="586"/>
      <c r="GZ24" s="586"/>
      <c r="HA24" s="586"/>
      <c r="HB24" s="586"/>
      <c r="HC24" s="586"/>
      <c r="HD24" s="586"/>
      <c r="HE24" s="586"/>
      <c r="HF24" s="586"/>
      <c r="HG24" s="586"/>
      <c r="HH24" s="586"/>
      <c r="HI24" s="586"/>
      <c r="HJ24" s="586"/>
      <c r="HK24" s="586"/>
      <c r="HL24" s="586"/>
      <c r="HM24" s="586"/>
      <c r="HN24" s="586"/>
      <c r="HO24" s="586"/>
      <c r="HP24" s="586"/>
      <c r="HQ24" s="586"/>
      <c r="HR24" s="586"/>
      <c r="HS24" s="586"/>
      <c r="HT24" s="586"/>
      <c r="HU24" s="586"/>
      <c r="HV24" s="586"/>
      <c r="HW24" s="586"/>
      <c r="HX24" s="586"/>
      <c r="HY24" s="586"/>
      <c r="HZ24" s="586"/>
      <c r="IA24" s="586"/>
      <c r="IB24" s="586"/>
      <c r="IC24" s="586"/>
      <c r="ID24" s="586"/>
      <c r="IE24" s="586"/>
      <c r="IF24" s="586"/>
      <c r="IG24" s="586"/>
      <c r="IH24" s="586"/>
      <c r="II24" s="586"/>
      <c r="IJ24" s="586"/>
      <c r="IK24" s="586"/>
      <c r="IL24" s="586"/>
      <c r="IM24" s="586"/>
      <c r="IN24" s="586"/>
      <c r="IO24" s="586"/>
      <c r="IP24" s="586"/>
      <c r="IQ24" s="586"/>
      <c r="IR24" s="586"/>
      <c r="IS24" s="586"/>
      <c r="IT24" s="586"/>
      <c r="IU24" s="586"/>
      <c r="IV24" s="586"/>
      <c r="IW24" s="586"/>
    </row>
    <row r="25" customFormat="false" ht="12.75" hidden="false" customHeight="false" outlineLevel="0" collapsed="false">
      <c r="A25" s="581"/>
      <c r="B25" s="587" t="s">
        <v>415</v>
      </c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584"/>
      <c r="AE25" s="584"/>
      <c r="AF25" s="579" t="n">
        <v>11</v>
      </c>
      <c r="AG25" s="589" t="n">
        <v>0.059</v>
      </c>
      <c r="AH25" s="586"/>
      <c r="AI25" s="586"/>
      <c r="AJ25" s="586"/>
      <c r="AK25" s="586"/>
      <c r="AL25" s="586"/>
      <c r="AM25" s="586"/>
      <c r="AN25" s="586"/>
      <c r="AO25" s="586"/>
      <c r="AP25" s="586"/>
      <c r="AQ25" s="586"/>
      <c r="AR25" s="586"/>
      <c r="AS25" s="586"/>
      <c r="AT25" s="586"/>
      <c r="AU25" s="586"/>
      <c r="AV25" s="586"/>
      <c r="AW25" s="586"/>
      <c r="AX25" s="586"/>
      <c r="AY25" s="586"/>
      <c r="AZ25" s="586"/>
      <c r="BA25" s="586"/>
      <c r="BB25" s="586"/>
      <c r="BC25" s="586"/>
      <c r="BD25" s="586"/>
      <c r="BE25" s="586"/>
      <c r="BF25" s="586"/>
      <c r="BG25" s="586"/>
      <c r="BH25" s="586"/>
      <c r="BI25" s="586"/>
      <c r="BJ25" s="586"/>
      <c r="BK25" s="586"/>
      <c r="BL25" s="586"/>
      <c r="BM25" s="586"/>
      <c r="BN25" s="586"/>
      <c r="BO25" s="586"/>
      <c r="BP25" s="586"/>
      <c r="BQ25" s="586"/>
      <c r="BR25" s="586"/>
      <c r="BS25" s="586"/>
      <c r="BT25" s="586"/>
      <c r="BU25" s="586"/>
      <c r="BV25" s="586"/>
      <c r="BW25" s="586"/>
      <c r="BX25" s="586"/>
      <c r="BY25" s="586"/>
      <c r="BZ25" s="586"/>
      <c r="CA25" s="586"/>
      <c r="CB25" s="586"/>
      <c r="CC25" s="586"/>
      <c r="CD25" s="586"/>
      <c r="CE25" s="586"/>
      <c r="CF25" s="586"/>
      <c r="CG25" s="586"/>
      <c r="CH25" s="586"/>
      <c r="CI25" s="586"/>
      <c r="CJ25" s="586"/>
      <c r="CK25" s="586"/>
      <c r="CL25" s="586"/>
      <c r="CM25" s="586"/>
      <c r="CN25" s="586"/>
      <c r="CO25" s="586"/>
      <c r="CP25" s="586"/>
      <c r="CQ25" s="586"/>
      <c r="CR25" s="586"/>
      <c r="CS25" s="586"/>
      <c r="CT25" s="586"/>
      <c r="CU25" s="586"/>
      <c r="CV25" s="586"/>
      <c r="CW25" s="586"/>
      <c r="CX25" s="586"/>
      <c r="CY25" s="586"/>
      <c r="CZ25" s="586"/>
      <c r="DA25" s="586"/>
      <c r="DB25" s="586"/>
      <c r="DC25" s="586"/>
      <c r="DD25" s="586"/>
      <c r="DE25" s="586"/>
      <c r="DF25" s="586"/>
      <c r="DG25" s="586"/>
      <c r="DH25" s="586"/>
      <c r="DI25" s="586"/>
      <c r="DJ25" s="586"/>
      <c r="DK25" s="586"/>
      <c r="DL25" s="586"/>
      <c r="DM25" s="586"/>
      <c r="DN25" s="586"/>
      <c r="DO25" s="586"/>
      <c r="DP25" s="586"/>
      <c r="DQ25" s="586"/>
      <c r="DR25" s="586"/>
      <c r="DS25" s="586"/>
      <c r="DT25" s="586"/>
      <c r="DU25" s="586"/>
      <c r="DV25" s="586"/>
      <c r="DW25" s="586"/>
      <c r="DX25" s="586"/>
      <c r="DY25" s="586"/>
      <c r="DZ25" s="586"/>
      <c r="EA25" s="586"/>
      <c r="EB25" s="586"/>
      <c r="EC25" s="586"/>
      <c r="ED25" s="586"/>
      <c r="EE25" s="586"/>
      <c r="EF25" s="586"/>
      <c r="EG25" s="586"/>
      <c r="EH25" s="586"/>
      <c r="EI25" s="586"/>
      <c r="EJ25" s="586"/>
      <c r="EK25" s="586"/>
      <c r="EL25" s="586"/>
      <c r="EM25" s="586"/>
      <c r="EN25" s="586"/>
      <c r="EO25" s="586"/>
      <c r="EP25" s="586"/>
      <c r="EQ25" s="586"/>
      <c r="ER25" s="586"/>
      <c r="ES25" s="586"/>
      <c r="ET25" s="586"/>
      <c r="EU25" s="586"/>
      <c r="EV25" s="586"/>
      <c r="EW25" s="586"/>
      <c r="EX25" s="586"/>
      <c r="EY25" s="586"/>
      <c r="EZ25" s="586"/>
      <c r="FA25" s="586"/>
      <c r="FB25" s="586"/>
      <c r="FC25" s="586"/>
      <c r="FD25" s="586"/>
      <c r="FE25" s="586"/>
      <c r="FF25" s="586"/>
      <c r="FG25" s="586"/>
      <c r="FH25" s="586"/>
      <c r="FI25" s="586"/>
      <c r="FJ25" s="586"/>
      <c r="FK25" s="586"/>
      <c r="FL25" s="586"/>
      <c r="FM25" s="586"/>
      <c r="FN25" s="586"/>
      <c r="FO25" s="586"/>
      <c r="FP25" s="586"/>
      <c r="FQ25" s="586"/>
      <c r="FR25" s="586"/>
      <c r="FS25" s="586"/>
      <c r="FT25" s="586"/>
      <c r="FU25" s="586"/>
      <c r="FV25" s="586"/>
      <c r="FW25" s="586"/>
      <c r="FX25" s="586"/>
      <c r="FY25" s="586"/>
      <c r="FZ25" s="586"/>
      <c r="GA25" s="586"/>
      <c r="GB25" s="586"/>
      <c r="GC25" s="586"/>
      <c r="GD25" s="586"/>
      <c r="GE25" s="586"/>
      <c r="GF25" s="586"/>
      <c r="GG25" s="586"/>
      <c r="GH25" s="586"/>
      <c r="GI25" s="586"/>
      <c r="GJ25" s="586"/>
      <c r="GK25" s="586"/>
      <c r="GL25" s="586"/>
      <c r="GM25" s="586"/>
      <c r="GN25" s="586"/>
      <c r="GO25" s="586"/>
      <c r="GP25" s="586"/>
      <c r="GQ25" s="586"/>
      <c r="GR25" s="586"/>
      <c r="GS25" s="586"/>
      <c r="GT25" s="586"/>
      <c r="GU25" s="586"/>
      <c r="GV25" s="586"/>
      <c r="GW25" s="586"/>
      <c r="GX25" s="586"/>
      <c r="GY25" s="586"/>
      <c r="GZ25" s="586"/>
      <c r="HA25" s="586"/>
      <c r="HB25" s="586"/>
      <c r="HC25" s="586"/>
      <c r="HD25" s="586"/>
      <c r="HE25" s="586"/>
      <c r="HF25" s="586"/>
      <c r="HG25" s="586"/>
      <c r="HH25" s="586"/>
      <c r="HI25" s="586"/>
      <c r="HJ25" s="586"/>
      <c r="HK25" s="586"/>
      <c r="HL25" s="586"/>
      <c r="HM25" s="586"/>
      <c r="HN25" s="586"/>
      <c r="HO25" s="586"/>
      <c r="HP25" s="586"/>
      <c r="HQ25" s="586"/>
      <c r="HR25" s="586"/>
      <c r="HS25" s="586"/>
      <c r="HT25" s="586"/>
      <c r="HU25" s="586"/>
      <c r="HV25" s="586"/>
      <c r="HW25" s="586"/>
      <c r="HX25" s="586"/>
      <c r="HY25" s="586"/>
      <c r="HZ25" s="586"/>
      <c r="IA25" s="586"/>
      <c r="IB25" s="586"/>
      <c r="IC25" s="586"/>
      <c r="ID25" s="586"/>
      <c r="IE25" s="586"/>
      <c r="IF25" s="586"/>
      <c r="IG25" s="586"/>
      <c r="IH25" s="586"/>
      <c r="II25" s="586"/>
      <c r="IJ25" s="586"/>
      <c r="IK25" s="586"/>
      <c r="IL25" s="586"/>
      <c r="IM25" s="586"/>
      <c r="IN25" s="586"/>
      <c r="IO25" s="586"/>
      <c r="IP25" s="586"/>
      <c r="IQ25" s="586"/>
      <c r="IR25" s="586"/>
      <c r="IS25" s="586"/>
      <c r="IT25" s="586"/>
      <c r="IU25" s="586"/>
      <c r="IV25" s="586"/>
      <c r="IW25" s="586"/>
    </row>
    <row r="26" customFormat="false" ht="12.75" hidden="false" customHeight="false" outlineLevel="0" collapsed="false">
      <c r="A26" s="590" t="s">
        <v>416</v>
      </c>
      <c r="B26" s="591" t="n">
        <f aca="false">Assumptions!$D$41</f>
        <v>15</v>
      </c>
      <c r="C26" s="592"/>
      <c r="D26" s="592"/>
      <c r="E26" s="592"/>
      <c r="F26" s="592"/>
      <c r="G26" s="406" t="n">
        <f aca="false">G15</f>
        <v>0</v>
      </c>
      <c r="H26" s="406" t="n">
        <f aca="false">H15</f>
        <v>0.05</v>
      </c>
      <c r="I26" s="406" t="n">
        <f aca="false">I15</f>
        <v>0.095</v>
      </c>
      <c r="J26" s="406" t="n">
        <f aca="false">J15</f>
        <v>0.0855</v>
      </c>
      <c r="K26" s="406" t="n">
        <f aca="false">K15</f>
        <v>0.077</v>
      </c>
      <c r="L26" s="406" t="n">
        <f aca="false">L15</f>
        <v>0.0693</v>
      </c>
      <c r="M26" s="406" t="n">
        <f aca="false">M15</f>
        <v>0.0623</v>
      </c>
      <c r="N26" s="406" t="n">
        <f aca="false">N15</f>
        <v>0.059</v>
      </c>
      <c r="O26" s="406" t="n">
        <f aca="false">O15</f>
        <v>0.0591</v>
      </c>
      <c r="P26" s="406" t="n">
        <f aca="false">P15</f>
        <v>0.059</v>
      </c>
      <c r="Q26" s="406" t="n">
        <f aca="false">Q15</f>
        <v>0.0591</v>
      </c>
      <c r="R26" s="406" t="n">
        <f aca="false">R15</f>
        <v>0.059</v>
      </c>
      <c r="S26" s="406" t="n">
        <f aca="false">S15</f>
        <v>0.0591</v>
      </c>
      <c r="T26" s="406" t="n">
        <f aca="false">T15</f>
        <v>0.059</v>
      </c>
      <c r="U26" s="406" t="n">
        <f aca="false">U15</f>
        <v>0.0591</v>
      </c>
      <c r="V26" s="406" t="n">
        <f aca="false">V15</f>
        <v>0.059</v>
      </c>
      <c r="W26" s="406" t="n">
        <f aca="false">W15</f>
        <v>0.0295</v>
      </c>
      <c r="X26" s="406" t="n">
        <f aca="false">X15</f>
        <v>0</v>
      </c>
      <c r="Y26" s="406" t="n">
        <f aca="false">Y15</f>
        <v>0</v>
      </c>
      <c r="Z26" s="406" t="n">
        <f aca="false">Z15</f>
        <v>0</v>
      </c>
      <c r="AA26" s="406" t="n">
        <f aca="false">AA15</f>
        <v>0</v>
      </c>
      <c r="AB26" s="406" t="n">
        <f aca="false">AB15</f>
        <v>0</v>
      </c>
      <c r="AC26" s="406" t="n">
        <f aca="false">AC15</f>
        <v>0</v>
      </c>
      <c r="AD26" s="584"/>
      <c r="AE26" s="584"/>
      <c r="AF26" s="579" t="n">
        <v>12</v>
      </c>
      <c r="AG26" s="589" t="n">
        <v>0.0591</v>
      </c>
      <c r="AH26" s="586"/>
      <c r="AI26" s="586"/>
      <c r="AJ26" s="586"/>
      <c r="AK26" s="586"/>
      <c r="AL26" s="586"/>
      <c r="AM26" s="586"/>
      <c r="AN26" s="586"/>
      <c r="AO26" s="586"/>
      <c r="AP26" s="586"/>
      <c r="AQ26" s="586"/>
      <c r="AR26" s="586"/>
      <c r="AS26" s="586"/>
      <c r="AT26" s="586"/>
      <c r="AU26" s="586"/>
      <c r="AV26" s="586"/>
      <c r="AW26" s="586"/>
      <c r="AX26" s="586"/>
      <c r="AY26" s="586"/>
      <c r="AZ26" s="586"/>
      <c r="BA26" s="586"/>
      <c r="BB26" s="586"/>
      <c r="BC26" s="586"/>
      <c r="BD26" s="586"/>
      <c r="BE26" s="586"/>
      <c r="BF26" s="586"/>
      <c r="BG26" s="586"/>
      <c r="BH26" s="586"/>
      <c r="BI26" s="586"/>
      <c r="BJ26" s="586"/>
      <c r="BK26" s="586"/>
      <c r="BL26" s="586"/>
      <c r="BM26" s="586"/>
      <c r="BN26" s="586"/>
      <c r="BO26" s="586"/>
      <c r="BP26" s="586"/>
      <c r="BQ26" s="586"/>
      <c r="BR26" s="586"/>
      <c r="BS26" s="586"/>
      <c r="BT26" s="586"/>
      <c r="BU26" s="586"/>
      <c r="BV26" s="586"/>
      <c r="BW26" s="586"/>
      <c r="BX26" s="586"/>
      <c r="BY26" s="586"/>
      <c r="BZ26" s="586"/>
      <c r="CA26" s="586"/>
      <c r="CB26" s="586"/>
      <c r="CC26" s="586"/>
      <c r="CD26" s="586"/>
      <c r="CE26" s="586"/>
      <c r="CF26" s="586"/>
      <c r="CG26" s="586"/>
      <c r="CH26" s="586"/>
      <c r="CI26" s="586"/>
      <c r="CJ26" s="586"/>
      <c r="CK26" s="586"/>
      <c r="CL26" s="586"/>
      <c r="CM26" s="586"/>
      <c r="CN26" s="586"/>
      <c r="CO26" s="586"/>
      <c r="CP26" s="586"/>
      <c r="CQ26" s="586"/>
      <c r="CR26" s="586"/>
      <c r="CS26" s="586"/>
      <c r="CT26" s="586"/>
      <c r="CU26" s="586"/>
      <c r="CV26" s="586"/>
      <c r="CW26" s="586"/>
      <c r="CX26" s="586"/>
      <c r="CY26" s="586"/>
      <c r="CZ26" s="586"/>
      <c r="DA26" s="586"/>
      <c r="DB26" s="586"/>
      <c r="DC26" s="586"/>
      <c r="DD26" s="586"/>
      <c r="DE26" s="586"/>
      <c r="DF26" s="586"/>
      <c r="DG26" s="586"/>
      <c r="DH26" s="586"/>
      <c r="DI26" s="586"/>
      <c r="DJ26" s="586"/>
      <c r="DK26" s="586"/>
      <c r="DL26" s="586"/>
      <c r="DM26" s="586"/>
      <c r="DN26" s="586"/>
      <c r="DO26" s="586"/>
      <c r="DP26" s="586"/>
      <c r="DQ26" s="586"/>
      <c r="DR26" s="586"/>
      <c r="DS26" s="586"/>
      <c r="DT26" s="586"/>
      <c r="DU26" s="586"/>
      <c r="DV26" s="586"/>
      <c r="DW26" s="586"/>
      <c r="DX26" s="586"/>
      <c r="DY26" s="586"/>
      <c r="DZ26" s="586"/>
      <c r="EA26" s="586"/>
      <c r="EB26" s="586"/>
      <c r="EC26" s="586"/>
      <c r="ED26" s="586"/>
      <c r="EE26" s="586"/>
      <c r="EF26" s="586"/>
      <c r="EG26" s="586"/>
      <c r="EH26" s="586"/>
      <c r="EI26" s="586"/>
      <c r="EJ26" s="586"/>
      <c r="EK26" s="586"/>
      <c r="EL26" s="586"/>
      <c r="EM26" s="586"/>
      <c r="EN26" s="586"/>
      <c r="EO26" s="586"/>
      <c r="EP26" s="586"/>
      <c r="EQ26" s="586"/>
      <c r="ER26" s="586"/>
      <c r="ES26" s="586"/>
      <c r="ET26" s="586"/>
      <c r="EU26" s="586"/>
      <c r="EV26" s="586"/>
      <c r="EW26" s="586"/>
      <c r="EX26" s="586"/>
      <c r="EY26" s="586"/>
      <c r="EZ26" s="586"/>
      <c r="FA26" s="586"/>
      <c r="FB26" s="586"/>
      <c r="FC26" s="586"/>
      <c r="FD26" s="586"/>
      <c r="FE26" s="586"/>
      <c r="FF26" s="586"/>
      <c r="FG26" s="586"/>
      <c r="FH26" s="586"/>
      <c r="FI26" s="586"/>
      <c r="FJ26" s="586"/>
      <c r="FK26" s="586"/>
      <c r="FL26" s="586"/>
      <c r="FM26" s="586"/>
      <c r="FN26" s="586"/>
      <c r="FO26" s="586"/>
      <c r="FP26" s="586"/>
      <c r="FQ26" s="586"/>
      <c r="FR26" s="586"/>
      <c r="FS26" s="586"/>
      <c r="FT26" s="586"/>
      <c r="FU26" s="586"/>
      <c r="FV26" s="586"/>
      <c r="FW26" s="586"/>
      <c r="FX26" s="586"/>
      <c r="FY26" s="586"/>
      <c r="FZ26" s="586"/>
      <c r="GA26" s="586"/>
      <c r="GB26" s="586"/>
      <c r="GC26" s="586"/>
      <c r="GD26" s="586"/>
      <c r="GE26" s="586"/>
      <c r="GF26" s="586"/>
      <c r="GG26" s="586"/>
      <c r="GH26" s="586"/>
      <c r="GI26" s="586"/>
      <c r="GJ26" s="586"/>
      <c r="GK26" s="586"/>
      <c r="GL26" s="586"/>
      <c r="GM26" s="586"/>
      <c r="GN26" s="586"/>
      <c r="GO26" s="586"/>
      <c r="GP26" s="586"/>
      <c r="GQ26" s="586"/>
      <c r="GR26" s="586"/>
      <c r="GS26" s="586"/>
      <c r="GT26" s="586"/>
      <c r="GU26" s="586"/>
      <c r="GV26" s="586"/>
      <c r="GW26" s="586"/>
      <c r="GX26" s="586"/>
      <c r="GY26" s="586"/>
      <c r="GZ26" s="586"/>
      <c r="HA26" s="586"/>
      <c r="HB26" s="586"/>
      <c r="HC26" s="586"/>
      <c r="HD26" s="586"/>
      <c r="HE26" s="586"/>
      <c r="HF26" s="586"/>
      <c r="HG26" s="586"/>
      <c r="HH26" s="586"/>
      <c r="HI26" s="586"/>
      <c r="HJ26" s="586"/>
      <c r="HK26" s="586"/>
      <c r="HL26" s="586"/>
      <c r="HM26" s="586"/>
      <c r="HN26" s="586"/>
      <c r="HO26" s="586"/>
      <c r="HP26" s="586"/>
      <c r="HQ26" s="586"/>
      <c r="HR26" s="586"/>
      <c r="HS26" s="586"/>
      <c r="HT26" s="586"/>
      <c r="HU26" s="586"/>
      <c r="HV26" s="586"/>
      <c r="HW26" s="586"/>
      <c r="HX26" s="586"/>
      <c r="HY26" s="586"/>
      <c r="HZ26" s="586"/>
      <c r="IA26" s="586"/>
      <c r="IB26" s="586"/>
      <c r="IC26" s="586"/>
      <c r="ID26" s="586"/>
      <c r="IE26" s="586"/>
      <c r="IF26" s="586"/>
      <c r="IG26" s="586"/>
      <c r="IH26" s="586"/>
      <c r="II26" s="586"/>
      <c r="IJ26" s="586"/>
      <c r="IK26" s="586"/>
      <c r="IL26" s="586"/>
      <c r="IM26" s="586"/>
      <c r="IN26" s="586"/>
      <c r="IO26" s="586"/>
      <c r="IP26" s="586"/>
      <c r="IQ26" s="586"/>
      <c r="IR26" s="586"/>
      <c r="IS26" s="586"/>
      <c r="IT26" s="586"/>
      <c r="IU26" s="586"/>
      <c r="IV26" s="586"/>
      <c r="IW26" s="586"/>
    </row>
    <row r="27" customFormat="false" ht="12.75" hidden="false" customHeight="false" outlineLevel="0" collapsed="false">
      <c r="A27" s="593" t="s">
        <v>417</v>
      </c>
      <c r="B27" s="594" t="n">
        <f aca="false">Assumptions!$D$42</f>
        <v>20</v>
      </c>
      <c r="C27" s="592"/>
      <c r="D27" s="592"/>
      <c r="E27" s="592"/>
      <c r="F27" s="592"/>
      <c r="G27" s="406" t="n">
        <f aca="false">G16</f>
        <v>0</v>
      </c>
      <c r="H27" s="406" t="n">
        <f aca="false">H16</f>
        <v>0.05</v>
      </c>
      <c r="I27" s="406" t="n">
        <f aca="false">I16</f>
        <v>0.05</v>
      </c>
      <c r="J27" s="406" t="n">
        <f aca="false">J16</f>
        <v>0.05</v>
      </c>
      <c r="K27" s="406" t="n">
        <f aca="false">K16</f>
        <v>0.05</v>
      </c>
      <c r="L27" s="406" t="n">
        <f aca="false">L16</f>
        <v>0.05</v>
      </c>
      <c r="M27" s="406" t="n">
        <f aca="false">M16</f>
        <v>0.05</v>
      </c>
      <c r="N27" s="406" t="n">
        <f aca="false">N16</f>
        <v>0.05</v>
      </c>
      <c r="O27" s="406" t="n">
        <f aca="false">O16</f>
        <v>0.05</v>
      </c>
      <c r="P27" s="406" t="n">
        <f aca="false">P16</f>
        <v>0.05</v>
      </c>
      <c r="Q27" s="406" t="n">
        <f aca="false">Q16</f>
        <v>0.05</v>
      </c>
      <c r="R27" s="406" t="n">
        <f aca="false">R16</f>
        <v>0.05</v>
      </c>
      <c r="S27" s="406" t="n">
        <f aca="false">S16</f>
        <v>0.05</v>
      </c>
      <c r="T27" s="406" t="n">
        <f aca="false">T16</f>
        <v>0.05</v>
      </c>
      <c r="U27" s="406" t="n">
        <f aca="false">U16</f>
        <v>0.05</v>
      </c>
      <c r="V27" s="406" t="n">
        <f aca="false">V16</f>
        <v>0.05</v>
      </c>
      <c r="W27" s="406" t="n">
        <f aca="false">W16</f>
        <v>0.05</v>
      </c>
      <c r="X27" s="406" t="n">
        <f aca="false">X16</f>
        <v>0.05</v>
      </c>
      <c r="Y27" s="406" t="n">
        <f aca="false">Y16</f>
        <v>0.05</v>
      </c>
      <c r="Z27" s="406" t="n">
        <f aca="false">Z16</f>
        <v>0.05</v>
      </c>
      <c r="AA27" s="406" t="n">
        <f aca="false">AA16</f>
        <v>0.05</v>
      </c>
      <c r="AB27" s="406" t="n">
        <f aca="false">AB16</f>
        <v>0</v>
      </c>
      <c r="AC27" s="406" t="n">
        <f aca="false">AC16</f>
        <v>0</v>
      </c>
      <c r="AD27" s="584"/>
      <c r="AE27" s="584"/>
      <c r="AF27" s="579" t="n">
        <v>13</v>
      </c>
      <c r="AG27" s="589" t="n">
        <v>0.059</v>
      </c>
      <c r="AH27" s="586"/>
      <c r="AI27" s="586"/>
      <c r="AJ27" s="586"/>
      <c r="AK27" s="586"/>
      <c r="AL27" s="586"/>
      <c r="AM27" s="586"/>
      <c r="AN27" s="586"/>
      <c r="AO27" s="586"/>
      <c r="AP27" s="586"/>
      <c r="AQ27" s="586"/>
      <c r="AR27" s="586"/>
      <c r="AS27" s="586"/>
      <c r="AT27" s="586"/>
      <c r="AU27" s="586"/>
      <c r="AV27" s="586"/>
      <c r="AW27" s="586"/>
      <c r="AX27" s="586"/>
      <c r="AY27" s="586"/>
      <c r="AZ27" s="586"/>
      <c r="BA27" s="586"/>
      <c r="BB27" s="586"/>
      <c r="BC27" s="586"/>
      <c r="BD27" s="586"/>
      <c r="BE27" s="586"/>
      <c r="BF27" s="586"/>
      <c r="BG27" s="586"/>
      <c r="BH27" s="586"/>
      <c r="BI27" s="586"/>
      <c r="BJ27" s="586"/>
      <c r="BK27" s="586"/>
      <c r="BL27" s="586"/>
      <c r="BM27" s="586"/>
      <c r="BN27" s="586"/>
      <c r="BO27" s="586"/>
      <c r="BP27" s="586"/>
      <c r="BQ27" s="586"/>
      <c r="BR27" s="586"/>
      <c r="BS27" s="586"/>
      <c r="BT27" s="586"/>
      <c r="BU27" s="586"/>
      <c r="BV27" s="586"/>
      <c r="BW27" s="586"/>
      <c r="BX27" s="586"/>
      <c r="BY27" s="586"/>
      <c r="BZ27" s="586"/>
      <c r="CA27" s="586"/>
      <c r="CB27" s="586"/>
      <c r="CC27" s="586"/>
      <c r="CD27" s="586"/>
      <c r="CE27" s="586"/>
      <c r="CF27" s="586"/>
      <c r="CG27" s="586"/>
      <c r="CH27" s="586"/>
      <c r="CI27" s="586"/>
      <c r="CJ27" s="586"/>
      <c r="CK27" s="586"/>
      <c r="CL27" s="586"/>
      <c r="CM27" s="586"/>
      <c r="CN27" s="586"/>
      <c r="CO27" s="586"/>
      <c r="CP27" s="586"/>
      <c r="CQ27" s="586"/>
      <c r="CR27" s="586"/>
      <c r="CS27" s="586"/>
      <c r="CT27" s="586"/>
      <c r="CU27" s="586"/>
      <c r="CV27" s="586"/>
      <c r="CW27" s="586"/>
      <c r="CX27" s="586"/>
      <c r="CY27" s="586"/>
      <c r="CZ27" s="586"/>
      <c r="DA27" s="586"/>
      <c r="DB27" s="586"/>
      <c r="DC27" s="586"/>
      <c r="DD27" s="586"/>
      <c r="DE27" s="586"/>
      <c r="DF27" s="586"/>
      <c r="DG27" s="586"/>
      <c r="DH27" s="586"/>
      <c r="DI27" s="586"/>
      <c r="DJ27" s="586"/>
      <c r="DK27" s="586"/>
      <c r="DL27" s="586"/>
      <c r="DM27" s="586"/>
      <c r="DN27" s="586"/>
      <c r="DO27" s="586"/>
      <c r="DP27" s="586"/>
      <c r="DQ27" s="586"/>
      <c r="DR27" s="586"/>
      <c r="DS27" s="586"/>
      <c r="DT27" s="586"/>
      <c r="DU27" s="586"/>
      <c r="DV27" s="586"/>
      <c r="DW27" s="586"/>
      <c r="DX27" s="586"/>
      <c r="DY27" s="586"/>
      <c r="DZ27" s="586"/>
      <c r="EA27" s="586"/>
      <c r="EB27" s="586"/>
      <c r="EC27" s="586"/>
      <c r="ED27" s="586"/>
      <c r="EE27" s="586"/>
      <c r="EF27" s="586"/>
      <c r="EG27" s="586"/>
      <c r="EH27" s="586"/>
      <c r="EI27" s="586"/>
      <c r="EJ27" s="586"/>
      <c r="EK27" s="586"/>
      <c r="EL27" s="586"/>
      <c r="EM27" s="586"/>
      <c r="EN27" s="586"/>
      <c r="EO27" s="586"/>
      <c r="EP27" s="586"/>
      <c r="EQ27" s="586"/>
      <c r="ER27" s="586"/>
      <c r="ES27" s="586"/>
      <c r="ET27" s="586"/>
      <c r="EU27" s="586"/>
      <c r="EV27" s="586"/>
      <c r="EW27" s="586"/>
      <c r="EX27" s="586"/>
      <c r="EY27" s="586"/>
      <c r="EZ27" s="586"/>
      <c r="FA27" s="586"/>
      <c r="FB27" s="586"/>
      <c r="FC27" s="586"/>
      <c r="FD27" s="586"/>
      <c r="FE27" s="586"/>
      <c r="FF27" s="586"/>
      <c r="FG27" s="586"/>
      <c r="FH27" s="586"/>
      <c r="FI27" s="586"/>
      <c r="FJ27" s="586"/>
      <c r="FK27" s="586"/>
      <c r="FL27" s="586"/>
      <c r="FM27" s="586"/>
      <c r="FN27" s="586"/>
      <c r="FO27" s="586"/>
      <c r="FP27" s="586"/>
      <c r="FQ27" s="586"/>
      <c r="FR27" s="586"/>
      <c r="FS27" s="586"/>
      <c r="FT27" s="586"/>
      <c r="FU27" s="586"/>
      <c r="FV27" s="586"/>
      <c r="FW27" s="586"/>
      <c r="FX27" s="586"/>
      <c r="FY27" s="586"/>
      <c r="FZ27" s="586"/>
      <c r="GA27" s="586"/>
      <c r="GB27" s="586"/>
      <c r="GC27" s="586"/>
      <c r="GD27" s="586"/>
      <c r="GE27" s="586"/>
      <c r="GF27" s="586"/>
      <c r="GG27" s="586"/>
      <c r="GH27" s="586"/>
      <c r="GI27" s="586"/>
      <c r="GJ27" s="586"/>
      <c r="GK27" s="586"/>
      <c r="GL27" s="586"/>
      <c r="GM27" s="586"/>
      <c r="GN27" s="586"/>
      <c r="GO27" s="586"/>
      <c r="GP27" s="586"/>
      <c r="GQ27" s="586"/>
      <c r="GR27" s="586"/>
      <c r="GS27" s="586"/>
      <c r="GT27" s="586"/>
      <c r="GU27" s="586"/>
      <c r="GV27" s="586"/>
      <c r="GW27" s="586"/>
      <c r="GX27" s="586"/>
      <c r="GY27" s="586"/>
      <c r="GZ27" s="586"/>
      <c r="HA27" s="586"/>
      <c r="HB27" s="586"/>
      <c r="HC27" s="586"/>
      <c r="HD27" s="586"/>
      <c r="HE27" s="586"/>
      <c r="HF27" s="586"/>
      <c r="HG27" s="586"/>
      <c r="HH27" s="586"/>
      <c r="HI27" s="586"/>
      <c r="HJ27" s="586"/>
      <c r="HK27" s="586"/>
      <c r="HL27" s="586"/>
      <c r="HM27" s="586"/>
      <c r="HN27" s="586"/>
      <c r="HO27" s="586"/>
      <c r="HP27" s="586"/>
      <c r="HQ27" s="586"/>
      <c r="HR27" s="586"/>
      <c r="HS27" s="586"/>
      <c r="HT27" s="586"/>
      <c r="HU27" s="586"/>
      <c r="HV27" s="586"/>
      <c r="HW27" s="586"/>
      <c r="HX27" s="586"/>
      <c r="HY27" s="586"/>
      <c r="HZ27" s="586"/>
      <c r="IA27" s="586"/>
      <c r="IB27" s="586"/>
      <c r="IC27" s="586"/>
      <c r="ID27" s="586"/>
      <c r="IE27" s="586"/>
      <c r="IF27" s="586"/>
      <c r="IG27" s="586"/>
      <c r="IH27" s="586"/>
      <c r="II27" s="586"/>
      <c r="IJ27" s="586"/>
      <c r="IK27" s="586"/>
      <c r="IL27" s="586"/>
      <c r="IM27" s="586"/>
      <c r="IN27" s="586"/>
      <c r="IO27" s="586"/>
      <c r="IP27" s="586"/>
      <c r="IQ27" s="586"/>
      <c r="IR27" s="586"/>
      <c r="IS27" s="586"/>
      <c r="IT27" s="586"/>
      <c r="IU27" s="586"/>
      <c r="IV27" s="586"/>
      <c r="IW27" s="586"/>
    </row>
    <row r="28" customFormat="false" ht="12.75" hidden="false" customHeight="false" outlineLevel="0" collapsed="false">
      <c r="A28" s="603"/>
      <c r="B28" s="591"/>
      <c r="G28" s="406"/>
      <c r="H28" s="406"/>
      <c r="I28" s="406"/>
      <c r="J28" s="406"/>
      <c r="K28" s="406"/>
      <c r="L28" s="406"/>
      <c r="M28" s="406"/>
      <c r="N28" s="406"/>
      <c r="O28" s="406"/>
      <c r="P28" s="406"/>
      <c r="Q28" s="406"/>
      <c r="R28" s="406"/>
      <c r="S28" s="406"/>
      <c r="T28" s="406"/>
      <c r="U28" s="406"/>
      <c r="V28" s="406"/>
      <c r="W28" s="406"/>
      <c r="X28" s="406"/>
      <c r="Y28" s="406"/>
      <c r="Z28" s="406"/>
      <c r="AA28" s="406"/>
      <c r="AB28" s="406"/>
      <c r="AC28" s="406"/>
      <c r="AD28" s="584"/>
      <c r="AE28" s="584"/>
      <c r="AF28" s="579" t="n">
        <v>14</v>
      </c>
      <c r="AG28" s="589" t="n">
        <v>0.0591</v>
      </c>
      <c r="AH28" s="586"/>
      <c r="AI28" s="586"/>
      <c r="AJ28" s="586"/>
      <c r="AK28" s="586"/>
      <c r="AL28" s="586"/>
      <c r="AM28" s="586"/>
      <c r="AN28" s="586"/>
      <c r="AO28" s="586"/>
      <c r="AP28" s="586"/>
      <c r="AQ28" s="586"/>
      <c r="AR28" s="586"/>
      <c r="AS28" s="586"/>
      <c r="AT28" s="586"/>
      <c r="AU28" s="586"/>
      <c r="AV28" s="586"/>
      <c r="AW28" s="586"/>
      <c r="AX28" s="586"/>
      <c r="AY28" s="586"/>
      <c r="AZ28" s="586"/>
      <c r="BA28" s="586"/>
      <c r="BB28" s="586"/>
      <c r="BC28" s="586"/>
      <c r="BD28" s="586"/>
      <c r="BE28" s="586"/>
      <c r="BF28" s="586"/>
      <c r="BG28" s="586"/>
      <c r="BH28" s="586"/>
      <c r="BI28" s="586"/>
      <c r="BJ28" s="586"/>
      <c r="BK28" s="586"/>
      <c r="BL28" s="586"/>
      <c r="BM28" s="586"/>
      <c r="BN28" s="586"/>
      <c r="BO28" s="586"/>
      <c r="BP28" s="586"/>
      <c r="BQ28" s="586"/>
      <c r="BR28" s="586"/>
      <c r="BS28" s="586"/>
      <c r="BT28" s="586"/>
      <c r="BU28" s="586"/>
      <c r="BV28" s="586"/>
      <c r="BW28" s="586"/>
      <c r="BX28" s="586"/>
      <c r="BY28" s="586"/>
      <c r="BZ28" s="586"/>
      <c r="CA28" s="586"/>
      <c r="CB28" s="586"/>
      <c r="CC28" s="586"/>
      <c r="CD28" s="586"/>
      <c r="CE28" s="586"/>
      <c r="CF28" s="586"/>
      <c r="CG28" s="586"/>
      <c r="CH28" s="586"/>
      <c r="CI28" s="586"/>
      <c r="CJ28" s="586"/>
      <c r="CK28" s="586"/>
      <c r="CL28" s="586"/>
      <c r="CM28" s="586"/>
      <c r="CN28" s="586"/>
      <c r="CO28" s="586"/>
      <c r="CP28" s="586"/>
      <c r="CQ28" s="586"/>
      <c r="CR28" s="586"/>
      <c r="CS28" s="586"/>
      <c r="CT28" s="586"/>
      <c r="CU28" s="586"/>
      <c r="CV28" s="586"/>
      <c r="CW28" s="586"/>
      <c r="CX28" s="586"/>
      <c r="CY28" s="586"/>
      <c r="CZ28" s="586"/>
      <c r="DA28" s="586"/>
      <c r="DB28" s="586"/>
      <c r="DC28" s="586"/>
      <c r="DD28" s="586"/>
      <c r="DE28" s="586"/>
      <c r="DF28" s="586"/>
      <c r="DG28" s="586"/>
      <c r="DH28" s="586"/>
      <c r="DI28" s="586"/>
      <c r="DJ28" s="586"/>
      <c r="DK28" s="586"/>
      <c r="DL28" s="586"/>
      <c r="DM28" s="586"/>
      <c r="DN28" s="586"/>
      <c r="DO28" s="586"/>
      <c r="DP28" s="586"/>
      <c r="DQ28" s="586"/>
      <c r="DR28" s="586"/>
      <c r="DS28" s="586"/>
      <c r="DT28" s="586"/>
      <c r="DU28" s="586"/>
      <c r="DV28" s="586"/>
      <c r="DW28" s="586"/>
      <c r="DX28" s="586"/>
      <c r="DY28" s="586"/>
      <c r="DZ28" s="586"/>
      <c r="EA28" s="586"/>
      <c r="EB28" s="586"/>
      <c r="EC28" s="586"/>
      <c r="ED28" s="586"/>
      <c r="EE28" s="586"/>
      <c r="EF28" s="586"/>
      <c r="EG28" s="586"/>
      <c r="EH28" s="586"/>
      <c r="EI28" s="586"/>
      <c r="EJ28" s="586"/>
      <c r="EK28" s="586"/>
      <c r="EL28" s="586"/>
      <c r="EM28" s="586"/>
      <c r="EN28" s="586"/>
      <c r="EO28" s="586"/>
      <c r="EP28" s="586"/>
      <c r="EQ28" s="586"/>
      <c r="ER28" s="586"/>
      <c r="ES28" s="586"/>
      <c r="ET28" s="586"/>
      <c r="EU28" s="586"/>
      <c r="EV28" s="586"/>
      <c r="EW28" s="586"/>
      <c r="EX28" s="586"/>
      <c r="EY28" s="586"/>
      <c r="EZ28" s="586"/>
      <c r="FA28" s="586"/>
      <c r="FB28" s="586"/>
      <c r="FC28" s="586"/>
      <c r="FD28" s="586"/>
      <c r="FE28" s="586"/>
      <c r="FF28" s="586"/>
      <c r="FG28" s="586"/>
      <c r="FH28" s="586"/>
      <c r="FI28" s="586"/>
      <c r="FJ28" s="586"/>
      <c r="FK28" s="586"/>
      <c r="FL28" s="586"/>
      <c r="FM28" s="586"/>
      <c r="FN28" s="586"/>
      <c r="FO28" s="586"/>
      <c r="FP28" s="586"/>
      <c r="FQ28" s="586"/>
      <c r="FR28" s="586"/>
      <c r="FS28" s="586"/>
      <c r="FT28" s="586"/>
      <c r="FU28" s="586"/>
      <c r="FV28" s="586"/>
      <c r="FW28" s="586"/>
      <c r="FX28" s="586"/>
      <c r="FY28" s="586"/>
      <c r="FZ28" s="586"/>
      <c r="GA28" s="586"/>
      <c r="GB28" s="586"/>
      <c r="GC28" s="586"/>
      <c r="GD28" s="586"/>
      <c r="GE28" s="586"/>
      <c r="GF28" s="586"/>
      <c r="GG28" s="586"/>
      <c r="GH28" s="586"/>
      <c r="GI28" s="586"/>
      <c r="GJ28" s="586"/>
      <c r="GK28" s="586"/>
      <c r="GL28" s="586"/>
      <c r="GM28" s="586"/>
      <c r="GN28" s="586"/>
      <c r="GO28" s="586"/>
      <c r="GP28" s="586"/>
      <c r="GQ28" s="586"/>
      <c r="GR28" s="586"/>
      <c r="GS28" s="586"/>
      <c r="GT28" s="586"/>
      <c r="GU28" s="586"/>
      <c r="GV28" s="586"/>
      <c r="GW28" s="586"/>
      <c r="GX28" s="586"/>
      <c r="GY28" s="586"/>
      <c r="GZ28" s="586"/>
      <c r="HA28" s="586"/>
      <c r="HB28" s="586"/>
      <c r="HC28" s="586"/>
      <c r="HD28" s="586"/>
      <c r="HE28" s="586"/>
      <c r="HF28" s="586"/>
      <c r="HG28" s="586"/>
      <c r="HH28" s="586"/>
      <c r="HI28" s="586"/>
      <c r="HJ28" s="586"/>
      <c r="HK28" s="586"/>
      <c r="HL28" s="586"/>
      <c r="HM28" s="586"/>
      <c r="HN28" s="586"/>
      <c r="HO28" s="586"/>
      <c r="HP28" s="586"/>
      <c r="HQ28" s="586"/>
      <c r="HR28" s="586"/>
      <c r="HS28" s="586"/>
      <c r="HT28" s="586"/>
      <c r="HU28" s="586"/>
      <c r="HV28" s="586"/>
      <c r="HW28" s="586"/>
      <c r="HX28" s="586"/>
      <c r="HY28" s="586"/>
      <c r="HZ28" s="586"/>
      <c r="IA28" s="586"/>
      <c r="IB28" s="586"/>
      <c r="IC28" s="586"/>
      <c r="ID28" s="586"/>
      <c r="IE28" s="586"/>
      <c r="IF28" s="586"/>
      <c r="IG28" s="586"/>
      <c r="IH28" s="586"/>
      <c r="II28" s="586"/>
      <c r="IJ28" s="586"/>
      <c r="IK28" s="586"/>
      <c r="IL28" s="586"/>
      <c r="IM28" s="586"/>
      <c r="IN28" s="586"/>
      <c r="IO28" s="586"/>
      <c r="IP28" s="586"/>
      <c r="IQ28" s="586"/>
      <c r="IR28" s="586"/>
      <c r="IS28" s="586"/>
      <c r="IT28" s="586"/>
      <c r="IU28" s="586"/>
      <c r="IV28" s="586"/>
      <c r="IW28" s="586"/>
    </row>
    <row r="29" customFormat="false" ht="12.75" hidden="false" customHeight="false" outlineLevel="0" collapsed="false">
      <c r="B29" s="587"/>
      <c r="AD29" s="584"/>
      <c r="AE29" s="584"/>
      <c r="AF29" s="579" t="n">
        <v>15</v>
      </c>
      <c r="AG29" s="589" t="n">
        <v>0.059</v>
      </c>
      <c r="AH29" s="586"/>
      <c r="AI29" s="586"/>
      <c r="AJ29" s="586"/>
      <c r="AK29" s="586"/>
      <c r="AL29" s="586"/>
      <c r="AM29" s="586"/>
      <c r="AN29" s="586"/>
      <c r="AO29" s="586"/>
      <c r="AP29" s="586"/>
      <c r="AQ29" s="586"/>
      <c r="AR29" s="586"/>
      <c r="AS29" s="586"/>
      <c r="AT29" s="586"/>
      <c r="AU29" s="586"/>
      <c r="AV29" s="586"/>
      <c r="AW29" s="586"/>
      <c r="AX29" s="586"/>
      <c r="AY29" s="586"/>
      <c r="AZ29" s="586"/>
      <c r="BA29" s="586"/>
      <c r="BB29" s="586"/>
      <c r="BC29" s="586"/>
      <c r="BD29" s="586"/>
      <c r="BE29" s="586"/>
      <c r="BF29" s="586"/>
      <c r="BG29" s="586"/>
      <c r="BH29" s="586"/>
      <c r="BI29" s="586"/>
      <c r="BJ29" s="586"/>
      <c r="BK29" s="586"/>
      <c r="BL29" s="586"/>
      <c r="BM29" s="586"/>
      <c r="BN29" s="586"/>
      <c r="BO29" s="586"/>
      <c r="BP29" s="586"/>
      <c r="BQ29" s="586"/>
      <c r="BR29" s="586"/>
      <c r="BS29" s="586"/>
      <c r="BT29" s="586"/>
      <c r="BU29" s="586"/>
      <c r="BV29" s="586"/>
      <c r="BW29" s="586"/>
      <c r="BX29" s="586"/>
      <c r="BY29" s="586"/>
      <c r="BZ29" s="586"/>
      <c r="CA29" s="586"/>
      <c r="CB29" s="586"/>
      <c r="CC29" s="586"/>
      <c r="CD29" s="586"/>
      <c r="CE29" s="586"/>
      <c r="CF29" s="586"/>
      <c r="CG29" s="586"/>
      <c r="CH29" s="586"/>
      <c r="CI29" s="586"/>
      <c r="CJ29" s="586"/>
      <c r="CK29" s="586"/>
      <c r="CL29" s="586"/>
      <c r="CM29" s="586"/>
      <c r="CN29" s="586"/>
      <c r="CO29" s="586"/>
      <c r="CP29" s="586"/>
      <c r="CQ29" s="586"/>
      <c r="CR29" s="586"/>
      <c r="CS29" s="586"/>
      <c r="CT29" s="586"/>
      <c r="CU29" s="586"/>
      <c r="CV29" s="586"/>
      <c r="CW29" s="586"/>
      <c r="CX29" s="586"/>
      <c r="CY29" s="586"/>
      <c r="CZ29" s="586"/>
      <c r="DA29" s="586"/>
      <c r="DB29" s="586"/>
      <c r="DC29" s="586"/>
      <c r="DD29" s="586"/>
      <c r="DE29" s="586"/>
      <c r="DF29" s="586"/>
      <c r="DG29" s="586"/>
      <c r="DH29" s="586"/>
      <c r="DI29" s="586"/>
      <c r="DJ29" s="586"/>
      <c r="DK29" s="586"/>
      <c r="DL29" s="586"/>
      <c r="DM29" s="586"/>
      <c r="DN29" s="586"/>
      <c r="DO29" s="586"/>
      <c r="DP29" s="586"/>
      <c r="DQ29" s="586"/>
      <c r="DR29" s="586"/>
      <c r="DS29" s="586"/>
      <c r="DT29" s="586"/>
      <c r="DU29" s="586"/>
      <c r="DV29" s="586"/>
      <c r="DW29" s="586"/>
      <c r="DX29" s="586"/>
      <c r="DY29" s="586"/>
      <c r="DZ29" s="586"/>
      <c r="EA29" s="586"/>
      <c r="EB29" s="586"/>
      <c r="EC29" s="586"/>
      <c r="ED29" s="586"/>
      <c r="EE29" s="586"/>
      <c r="EF29" s="586"/>
      <c r="EG29" s="586"/>
      <c r="EH29" s="586"/>
      <c r="EI29" s="586"/>
      <c r="EJ29" s="586"/>
      <c r="EK29" s="586"/>
      <c r="EL29" s="586"/>
      <c r="EM29" s="586"/>
      <c r="EN29" s="586"/>
      <c r="EO29" s="586"/>
      <c r="EP29" s="586"/>
      <c r="EQ29" s="586"/>
      <c r="ER29" s="586"/>
      <c r="ES29" s="586"/>
      <c r="ET29" s="586"/>
      <c r="EU29" s="586"/>
      <c r="EV29" s="586"/>
      <c r="EW29" s="586"/>
      <c r="EX29" s="586"/>
      <c r="EY29" s="586"/>
      <c r="EZ29" s="586"/>
      <c r="FA29" s="586"/>
      <c r="FB29" s="586"/>
      <c r="FC29" s="586"/>
      <c r="FD29" s="586"/>
      <c r="FE29" s="586"/>
      <c r="FF29" s="586"/>
      <c r="FG29" s="586"/>
      <c r="FH29" s="586"/>
      <c r="FI29" s="586"/>
      <c r="FJ29" s="586"/>
      <c r="FK29" s="586"/>
      <c r="FL29" s="586"/>
      <c r="FM29" s="586"/>
      <c r="FN29" s="586"/>
      <c r="FO29" s="586"/>
      <c r="FP29" s="586"/>
      <c r="FQ29" s="586"/>
      <c r="FR29" s="586"/>
      <c r="FS29" s="586"/>
      <c r="FT29" s="586"/>
      <c r="FU29" s="586"/>
      <c r="FV29" s="586"/>
      <c r="FW29" s="586"/>
      <c r="FX29" s="586"/>
      <c r="FY29" s="586"/>
      <c r="FZ29" s="586"/>
      <c r="GA29" s="586"/>
      <c r="GB29" s="586"/>
      <c r="GC29" s="586"/>
      <c r="GD29" s="586"/>
      <c r="GE29" s="586"/>
      <c r="GF29" s="586"/>
      <c r="GG29" s="586"/>
      <c r="GH29" s="586"/>
      <c r="GI29" s="586"/>
      <c r="GJ29" s="586"/>
      <c r="GK29" s="586"/>
      <c r="GL29" s="586"/>
      <c r="GM29" s="586"/>
      <c r="GN29" s="586"/>
      <c r="GO29" s="586"/>
      <c r="GP29" s="586"/>
      <c r="GQ29" s="586"/>
      <c r="GR29" s="586"/>
      <c r="GS29" s="586"/>
      <c r="GT29" s="586"/>
      <c r="GU29" s="586"/>
      <c r="GV29" s="586"/>
      <c r="GW29" s="586"/>
      <c r="GX29" s="586"/>
      <c r="GY29" s="586"/>
      <c r="GZ29" s="586"/>
      <c r="HA29" s="586"/>
      <c r="HB29" s="586"/>
      <c r="HC29" s="586"/>
      <c r="HD29" s="586"/>
      <c r="HE29" s="586"/>
      <c r="HF29" s="586"/>
      <c r="HG29" s="586"/>
      <c r="HH29" s="586"/>
      <c r="HI29" s="586"/>
      <c r="HJ29" s="586"/>
      <c r="HK29" s="586"/>
      <c r="HL29" s="586"/>
      <c r="HM29" s="586"/>
      <c r="HN29" s="586"/>
      <c r="HO29" s="586"/>
      <c r="HP29" s="586"/>
      <c r="HQ29" s="586"/>
      <c r="HR29" s="586"/>
      <c r="HS29" s="586"/>
      <c r="HT29" s="586"/>
      <c r="HU29" s="586"/>
      <c r="HV29" s="586"/>
      <c r="HW29" s="586"/>
      <c r="HX29" s="586"/>
      <c r="HY29" s="586"/>
      <c r="HZ29" s="586"/>
      <c r="IA29" s="586"/>
      <c r="IB29" s="586"/>
      <c r="IC29" s="586"/>
      <c r="ID29" s="586"/>
      <c r="IE29" s="586"/>
      <c r="IF29" s="586"/>
      <c r="IG29" s="586"/>
      <c r="IH29" s="586"/>
      <c r="II29" s="586"/>
      <c r="IJ29" s="586"/>
      <c r="IK29" s="586"/>
      <c r="IL29" s="586"/>
      <c r="IM29" s="586"/>
      <c r="IN29" s="586"/>
      <c r="IO29" s="586"/>
      <c r="IP29" s="586"/>
      <c r="IQ29" s="586"/>
      <c r="IR29" s="586"/>
      <c r="IS29" s="586"/>
      <c r="IT29" s="586"/>
      <c r="IU29" s="586"/>
      <c r="IV29" s="586"/>
      <c r="IW29" s="586"/>
    </row>
    <row r="30" customFormat="false" ht="12.75" hidden="false" customHeight="false" outlineLevel="0" collapsed="false">
      <c r="A30" s="590" t="s">
        <v>418</v>
      </c>
      <c r="B30" s="598" t="n">
        <f aca="false">B18</f>
        <v>484512.886</v>
      </c>
      <c r="C30" s="599"/>
      <c r="D30" s="599"/>
      <c r="E30" s="599"/>
      <c r="F30" s="599"/>
      <c r="G30" s="598" t="n">
        <f aca="false">$B$30*G26</f>
        <v>0</v>
      </c>
      <c r="H30" s="598" t="n">
        <f aca="false">$B$30*H26</f>
        <v>24225.6443</v>
      </c>
      <c r="I30" s="598" t="n">
        <f aca="false">$B$30*I26</f>
        <v>46028.72417</v>
      </c>
      <c r="J30" s="598" t="n">
        <f aca="false">$B$30*J26</f>
        <v>41425.851753</v>
      </c>
      <c r="K30" s="598" t="n">
        <f aca="false">$B$30*K26</f>
        <v>37307.492222</v>
      </c>
      <c r="L30" s="598" t="n">
        <f aca="false">$B$30*L26</f>
        <v>33576.7429998</v>
      </c>
      <c r="M30" s="598" t="n">
        <f aca="false">$B$30*M26</f>
        <v>30185.1527978</v>
      </c>
      <c r="N30" s="598" t="n">
        <f aca="false">$B$30*N26</f>
        <v>28586.260274</v>
      </c>
      <c r="O30" s="598" t="n">
        <f aca="false">$B$30*O26</f>
        <v>28634.7115626</v>
      </c>
      <c r="P30" s="598" t="n">
        <f aca="false">$B$30*P26</f>
        <v>28586.260274</v>
      </c>
      <c r="Q30" s="598" t="n">
        <f aca="false">$B$30*Q26</f>
        <v>28634.7115626</v>
      </c>
      <c r="R30" s="598" t="n">
        <f aca="false">$B$30*R26</f>
        <v>28586.260274</v>
      </c>
      <c r="S30" s="598" t="n">
        <f aca="false">$B$30*S26</f>
        <v>28634.7115626</v>
      </c>
      <c r="T30" s="598" t="n">
        <f aca="false">$B$30*T26</f>
        <v>28586.260274</v>
      </c>
      <c r="U30" s="598" t="n">
        <f aca="false">$B$30*U26</f>
        <v>28634.7115626</v>
      </c>
      <c r="V30" s="598" t="n">
        <f aca="false">$B$30*V26</f>
        <v>28586.260274</v>
      </c>
      <c r="W30" s="598" t="n">
        <f aca="false">$B$30*W26</f>
        <v>14293.130137</v>
      </c>
      <c r="X30" s="598" t="n">
        <f aca="false">$B$30*X26</f>
        <v>0</v>
      </c>
      <c r="Y30" s="598" t="n">
        <f aca="false">$B$30*Y26</f>
        <v>0</v>
      </c>
      <c r="Z30" s="598" t="n">
        <f aca="false">$B$30*Z26</f>
        <v>0</v>
      </c>
      <c r="AA30" s="598" t="n">
        <f aca="false">$B$30*AA26</f>
        <v>0</v>
      </c>
      <c r="AB30" s="598" t="n">
        <f aca="false">$B$30*AB26</f>
        <v>0</v>
      </c>
      <c r="AC30" s="598" t="n">
        <f aca="false">$B$30*AC26</f>
        <v>0</v>
      </c>
      <c r="AD30" s="607"/>
      <c r="AE30" s="607"/>
      <c r="AF30" s="579" t="n">
        <v>16</v>
      </c>
      <c r="AG30" s="608" t="n">
        <v>0.0295</v>
      </c>
      <c r="AH30" s="607"/>
      <c r="AI30" s="607"/>
      <c r="AJ30" s="607"/>
      <c r="AK30" s="607"/>
      <c r="AL30" s="607"/>
      <c r="AM30" s="607"/>
      <c r="AN30" s="607"/>
      <c r="AO30" s="607"/>
      <c r="AP30" s="607"/>
      <c r="AQ30" s="607"/>
      <c r="AR30" s="607"/>
      <c r="AS30" s="607"/>
      <c r="AT30" s="607"/>
      <c r="AU30" s="607"/>
      <c r="AV30" s="607"/>
      <c r="AW30" s="607"/>
      <c r="AX30" s="607"/>
      <c r="AY30" s="607"/>
      <c r="AZ30" s="607"/>
      <c r="BA30" s="607"/>
      <c r="BB30" s="607"/>
      <c r="BC30" s="607"/>
      <c r="BD30" s="607"/>
      <c r="BE30" s="607"/>
      <c r="BF30" s="607"/>
      <c r="BG30" s="607"/>
      <c r="BH30" s="607"/>
      <c r="BI30" s="607"/>
      <c r="BJ30" s="607"/>
      <c r="BK30" s="607"/>
      <c r="BL30" s="607"/>
      <c r="BM30" s="607"/>
      <c r="BN30" s="607"/>
      <c r="BO30" s="607"/>
      <c r="BP30" s="607"/>
      <c r="BQ30" s="607"/>
      <c r="BR30" s="607"/>
      <c r="BS30" s="607"/>
      <c r="BT30" s="607"/>
      <c r="BU30" s="607"/>
      <c r="BV30" s="607"/>
      <c r="BW30" s="607"/>
      <c r="BX30" s="607"/>
      <c r="BY30" s="607"/>
      <c r="BZ30" s="607"/>
      <c r="CA30" s="607"/>
      <c r="CB30" s="607"/>
      <c r="CC30" s="607"/>
      <c r="CD30" s="607"/>
      <c r="CE30" s="607"/>
      <c r="CF30" s="607"/>
      <c r="CG30" s="607"/>
      <c r="CH30" s="607"/>
      <c r="CI30" s="607"/>
      <c r="CJ30" s="607"/>
      <c r="CK30" s="607"/>
      <c r="CL30" s="607"/>
      <c r="CM30" s="607"/>
      <c r="CN30" s="607"/>
      <c r="CO30" s="607"/>
      <c r="CP30" s="607"/>
      <c r="CQ30" s="607"/>
      <c r="CR30" s="607"/>
      <c r="CS30" s="607"/>
      <c r="CT30" s="607"/>
      <c r="CU30" s="607"/>
      <c r="CV30" s="607"/>
      <c r="CW30" s="607"/>
      <c r="CX30" s="607"/>
      <c r="CY30" s="607"/>
      <c r="CZ30" s="607"/>
      <c r="DA30" s="607"/>
      <c r="DB30" s="607"/>
      <c r="DC30" s="607"/>
      <c r="DD30" s="607"/>
      <c r="DE30" s="607"/>
      <c r="DF30" s="607"/>
      <c r="DG30" s="607"/>
      <c r="DH30" s="607"/>
      <c r="DI30" s="607"/>
      <c r="DJ30" s="607"/>
      <c r="DK30" s="607"/>
      <c r="DL30" s="607"/>
      <c r="DM30" s="607"/>
      <c r="DN30" s="607"/>
      <c r="DO30" s="607"/>
      <c r="DP30" s="607"/>
      <c r="DQ30" s="607"/>
      <c r="DR30" s="607"/>
      <c r="DS30" s="607"/>
      <c r="DT30" s="607"/>
      <c r="DU30" s="607"/>
      <c r="DV30" s="607"/>
      <c r="DW30" s="607"/>
      <c r="DX30" s="607"/>
      <c r="DY30" s="607"/>
      <c r="DZ30" s="607"/>
      <c r="EA30" s="607"/>
      <c r="EB30" s="607"/>
      <c r="EC30" s="607"/>
      <c r="ED30" s="607"/>
      <c r="EE30" s="607"/>
      <c r="EF30" s="607"/>
      <c r="EG30" s="607"/>
      <c r="EH30" s="607"/>
      <c r="EI30" s="607"/>
      <c r="EJ30" s="607"/>
      <c r="EK30" s="607"/>
      <c r="EL30" s="607"/>
      <c r="EM30" s="607"/>
      <c r="EN30" s="607"/>
      <c r="EO30" s="607"/>
      <c r="EP30" s="607"/>
      <c r="EQ30" s="607"/>
      <c r="ER30" s="607"/>
      <c r="ES30" s="607"/>
      <c r="ET30" s="607"/>
      <c r="EU30" s="607"/>
      <c r="EV30" s="607"/>
      <c r="EW30" s="607"/>
      <c r="EX30" s="607"/>
      <c r="EY30" s="607"/>
      <c r="EZ30" s="607"/>
      <c r="FA30" s="607"/>
      <c r="FB30" s="607"/>
      <c r="FC30" s="607"/>
      <c r="FD30" s="607"/>
      <c r="FE30" s="607"/>
      <c r="FF30" s="607"/>
      <c r="FG30" s="607"/>
      <c r="FH30" s="607"/>
      <c r="FI30" s="607"/>
      <c r="FJ30" s="607"/>
      <c r="FK30" s="607"/>
      <c r="FL30" s="607"/>
      <c r="FM30" s="607"/>
      <c r="FN30" s="607"/>
      <c r="FO30" s="607"/>
      <c r="FP30" s="607"/>
      <c r="FQ30" s="607"/>
      <c r="FR30" s="607"/>
      <c r="FS30" s="607"/>
      <c r="FT30" s="607"/>
      <c r="FU30" s="607"/>
      <c r="FV30" s="607"/>
      <c r="FW30" s="607"/>
      <c r="FX30" s="607"/>
      <c r="FY30" s="607"/>
      <c r="FZ30" s="607"/>
      <c r="GA30" s="607"/>
      <c r="GB30" s="607"/>
      <c r="GC30" s="607"/>
      <c r="GD30" s="607"/>
      <c r="GE30" s="607"/>
      <c r="GF30" s="607"/>
      <c r="GG30" s="607"/>
      <c r="GH30" s="607"/>
      <c r="GI30" s="607"/>
      <c r="GJ30" s="607"/>
      <c r="GK30" s="607"/>
      <c r="GL30" s="607"/>
      <c r="GM30" s="607"/>
      <c r="GN30" s="607"/>
      <c r="GO30" s="607"/>
      <c r="GP30" s="607"/>
      <c r="GQ30" s="607"/>
      <c r="GR30" s="607"/>
      <c r="GS30" s="607"/>
      <c r="GT30" s="607"/>
      <c r="GU30" s="607"/>
      <c r="GV30" s="607"/>
      <c r="GW30" s="607"/>
      <c r="GX30" s="607"/>
      <c r="GY30" s="607"/>
      <c r="GZ30" s="607"/>
      <c r="HA30" s="607"/>
      <c r="HB30" s="607"/>
      <c r="HC30" s="607"/>
      <c r="HD30" s="607"/>
      <c r="HE30" s="607"/>
      <c r="HF30" s="607"/>
      <c r="HG30" s="607"/>
      <c r="HH30" s="607"/>
      <c r="HI30" s="607"/>
      <c r="HJ30" s="607"/>
      <c r="HK30" s="607"/>
      <c r="HL30" s="607"/>
      <c r="HM30" s="607"/>
      <c r="HN30" s="607"/>
      <c r="HO30" s="607"/>
      <c r="HP30" s="607"/>
      <c r="HQ30" s="607"/>
      <c r="HR30" s="607"/>
      <c r="HS30" s="607"/>
      <c r="HT30" s="607"/>
      <c r="HU30" s="607"/>
      <c r="HV30" s="607"/>
      <c r="HW30" s="607"/>
      <c r="HX30" s="607"/>
      <c r="HY30" s="607"/>
      <c r="HZ30" s="607"/>
      <c r="IA30" s="607"/>
      <c r="IB30" s="607"/>
      <c r="IC30" s="607"/>
      <c r="ID30" s="607"/>
      <c r="IE30" s="607"/>
      <c r="IF30" s="607"/>
      <c r="IG30" s="607"/>
      <c r="IH30" s="607"/>
      <c r="II30" s="607"/>
      <c r="IJ30" s="607"/>
      <c r="IK30" s="607"/>
      <c r="IL30" s="607"/>
      <c r="IM30" s="607"/>
      <c r="IN30" s="607"/>
      <c r="IO30" s="607"/>
      <c r="IP30" s="607"/>
      <c r="IQ30" s="607"/>
      <c r="IR30" s="607"/>
      <c r="IS30" s="607"/>
      <c r="IT30" s="607"/>
      <c r="IU30" s="607"/>
      <c r="IV30" s="607"/>
      <c r="IW30" s="607"/>
    </row>
    <row r="31" customFormat="false" ht="15" hidden="false" customHeight="false" outlineLevel="0" collapsed="false">
      <c r="A31" s="593" t="s">
        <v>417</v>
      </c>
      <c r="B31" s="601" t="n">
        <f aca="false">B19</f>
        <v>7800</v>
      </c>
      <c r="C31" s="599"/>
      <c r="D31" s="599"/>
      <c r="E31" s="599"/>
      <c r="F31" s="599"/>
      <c r="G31" s="601" t="n">
        <f aca="false">$B31*G27</f>
        <v>0</v>
      </c>
      <c r="H31" s="601" t="n">
        <f aca="false">$B31*H27</f>
        <v>390</v>
      </c>
      <c r="I31" s="601" t="n">
        <f aca="false">$B31*I27</f>
        <v>390</v>
      </c>
      <c r="J31" s="601" t="n">
        <f aca="false">$B31*J27</f>
        <v>390</v>
      </c>
      <c r="K31" s="601" t="n">
        <f aca="false">$B31*K27</f>
        <v>390</v>
      </c>
      <c r="L31" s="601" t="n">
        <f aca="false">$B31*L27</f>
        <v>390</v>
      </c>
      <c r="M31" s="601" t="n">
        <f aca="false">$B31*M27</f>
        <v>390</v>
      </c>
      <c r="N31" s="601" t="n">
        <f aca="false">$B31*N27</f>
        <v>390</v>
      </c>
      <c r="O31" s="601" t="n">
        <f aca="false">$B31*O27</f>
        <v>390</v>
      </c>
      <c r="P31" s="601" t="n">
        <f aca="false">$B31*P27</f>
        <v>390</v>
      </c>
      <c r="Q31" s="601" t="n">
        <f aca="false">$B31*Q27</f>
        <v>390</v>
      </c>
      <c r="R31" s="601" t="n">
        <f aca="false">$B31*R27</f>
        <v>390</v>
      </c>
      <c r="S31" s="601" t="n">
        <f aca="false">$B31*S27</f>
        <v>390</v>
      </c>
      <c r="T31" s="601" t="n">
        <f aca="false">$B31*T27</f>
        <v>390</v>
      </c>
      <c r="U31" s="601" t="n">
        <f aca="false">$B31*U27</f>
        <v>390</v>
      </c>
      <c r="V31" s="601" t="n">
        <f aca="false">$B31*V27</f>
        <v>390</v>
      </c>
      <c r="W31" s="601" t="n">
        <f aca="false">$B31*W27</f>
        <v>390</v>
      </c>
      <c r="X31" s="601" t="n">
        <f aca="false">$B31*X27</f>
        <v>390</v>
      </c>
      <c r="Y31" s="601" t="n">
        <f aca="false">$B31*Y27</f>
        <v>390</v>
      </c>
      <c r="Z31" s="601" t="n">
        <f aca="false">$B31*Z27</f>
        <v>390</v>
      </c>
      <c r="AA31" s="601" t="n">
        <f aca="false">$B31*AA27</f>
        <v>390</v>
      </c>
      <c r="AB31" s="601" t="n">
        <f aca="false">$B31*AB27</f>
        <v>0</v>
      </c>
      <c r="AC31" s="601" t="n">
        <f aca="false">$B31*AC27</f>
        <v>0</v>
      </c>
      <c r="AD31" s="584"/>
      <c r="AE31" s="584"/>
      <c r="AF31" s="609"/>
      <c r="AG31" s="610" t="n">
        <f aca="false">SUM(AG15:AG30)</f>
        <v>1</v>
      </c>
      <c r="AH31" s="586"/>
      <c r="AI31" s="586"/>
      <c r="AJ31" s="586"/>
      <c r="AK31" s="586"/>
      <c r="AL31" s="586"/>
      <c r="AM31" s="586"/>
      <c r="AN31" s="586"/>
      <c r="AO31" s="586"/>
      <c r="AP31" s="586"/>
      <c r="AQ31" s="586"/>
      <c r="AR31" s="586"/>
      <c r="AS31" s="586"/>
      <c r="AT31" s="586"/>
      <c r="AU31" s="586"/>
      <c r="AV31" s="586"/>
      <c r="AW31" s="586"/>
      <c r="AX31" s="586"/>
      <c r="AY31" s="586"/>
      <c r="AZ31" s="586"/>
      <c r="BA31" s="586"/>
      <c r="BB31" s="586"/>
      <c r="BC31" s="586"/>
      <c r="BD31" s="586"/>
      <c r="BE31" s="586"/>
      <c r="BF31" s="586"/>
      <c r="BG31" s="586"/>
      <c r="BH31" s="586"/>
      <c r="BI31" s="586"/>
      <c r="BJ31" s="586"/>
      <c r="BK31" s="586"/>
      <c r="BL31" s="586"/>
      <c r="BM31" s="586"/>
      <c r="BN31" s="586"/>
      <c r="BO31" s="586"/>
      <c r="BP31" s="586"/>
      <c r="BQ31" s="586"/>
      <c r="BR31" s="586"/>
      <c r="BS31" s="586"/>
      <c r="BT31" s="586"/>
      <c r="BU31" s="586"/>
      <c r="BV31" s="586"/>
      <c r="BW31" s="586"/>
      <c r="BX31" s="586"/>
      <c r="BY31" s="586"/>
      <c r="BZ31" s="586"/>
      <c r="CA31" s="586"/>
      <c r="CB31" s="586"/>
      <c r="CC31" s="586"/>
      <c r="CD31" s="586"/>
      <c r="CE31" s="586"/>
      <c r="CF31" s="586"/>
      <c r="CG31" s="586"/>
      <c r="CH31" s="586"/>
      <c r="CI31" s="586"/>
      <c r="CJ31" s="586"/>
      <c r="CK31" s="586"/>
      <c r="CL31" s="586"/>
      <c r="CM31" s="586"/>
      <c r="CN31" s="586"/>
      <c r="CO31" s="586"/>
      <c r="CP31" s="586"/>
      <c r="CQ31" s="586"/>
      <c r="CR31" s="586"/>
      <c r="CS31" s="586"/>
      <c r="CT31" s="586"/>
      <c r="CU31" s="586"/>
      <c r="CV31" s="586"/>
      <c r="CW31" s="586"/>
      <c r="CX31" s="586"/>
      <c r="CY31" s="586"/>
      <c r="CZ31" s="586"/>
      <c r="DA31" s="586"/>
      <c r="DB31" s="586"/>
      <c r="DC31" s="586"/>
      <c r="DD31" s="586"/>
      <c r="DE31" s="586"/>
      <c r="DF31" s="586"/>
      <c r="DG31" s="586"/>
      <c r="DH31" s="586"/>
      <c r="DI31" s="586"/>
      <c r="DJ31" s="586"/>
      <c r="DK31" s="586"/>
      <c r="DL31" s="586"/>
      <c r="DM31" s="586"/>
      <c r="DN31" s="586"/>
      <c r="DO31" s="586"/>
      <c r="DP31" s="586"/>
      <c r="DQ31" s="586"/>
      <c r="DR31" s="586"/>
      <c r="DS31" s="586"/>
      <c r="DT31" s="586"/>
      <c r="DU31" s="586"/>
      <c r="DV31" s="586"/>
      <c r="DW31" s="586"/>
      <c r="DX31" s="586"/>
      <c r="DY31" s="586"/>
      <c r="DZ31" s="586"/>
      <c r="EA31" s="586"/>
      <c r="EB31" s="586"/>
      <c r="EC31" s="586"/>
      <c r="ED31" s="586"/>
      <c r="EE31" s="586"/>
      <c r="EF31" s="586"/>
      <c r="EG31" s="586"/>
      <c r="EH31" s="586"/>
      <c r="EI31" s="586"/>
      <c r="EJ31" s="586"/>
      <c r="EK31" s="586"/>
      <c r="EL31" s="586"/>
      <c r="EM31" s="586"/>
      <c r="EN31" s="586"/>
      <c r="EO31" s="586"/>
      <c r="EP31" s="586"/>
      <c r="EQ31" s="586"/>
      <c r="ER31" s="586"/>
      <c r="ES31" s="586"/>
      <c r="ET31" s="586"/>
      <c r="EU31" s="586"/>
      <c r="EV31" s="586"/>
      <c r="EW31" s="586"/>
      <c r="EX31" s="586"/>
      <c r="EY31" s="586"/>
      <c r="EZ31" s="586"/>
      <c r="FA31" s="586"/>
      <c r="FB31" s="586"/>
      <c r="FC31" s="586"/>
      <c r="FD31" s="586"/>
      <c r="FE31" s="586"/>
      <c r="FF31" s="586"/>
      <c r="FG31" s="586"/>
      <c r="FH31" s="586"/>
      <c r="FI31" s="586"/>
      <c r="FJ31" s="586"/>
      <c r="FK31" s="586"/>
      <c r="FL31" s="586"/>
      <c r="FM31" s="586"/>
      <c r="FN31" s="586"/>
      <c r="FO31" s="586"/>
      <c r="FP31" s="586"/>
      <c r="FQ31" s="586"/>
      <c r="FR31" s="586"/>
      <c r="FS31" s="586"/>
      <c r="FT31" s="586"/>
      <c r="FU31" s="586"/>
      <c r="FV31" s="586"/>
      <c r="FW31" s="586"/>
      <c r="FX31" s="586"/>
      <c r="FY31" s="586"/>
      <c r="FZ31" s="586"/>
      <c r="GA31" s="586"/>
      <c r="GB31" s="586"/>
      <c r="GC31" s="586"/>
      <c r="GD31" s="586"/>
      <c r="GE31" s="586"/>
      <c r="GF31" s="586"/>
      <c r="GG31" s="586"/>
      <c r="GH31" s="586"/>
      <c r="GI31" s="586"/>
      <c r="GJ31" s="586"/>
      <c r="GK31" s="586"/>
      <c r="GL31" s="586"/>
      <c r="GM31" s="586"/>
      <c r="GN31" s="586"/>
      <c r="GO31" s="586"/>
      <c r="GP31" s="586"/>
      <c r="GQ31" s="586"/>
      <c r="GR31" s="586"/>
      <c r="GS31" s="586"/>
      <c r="GT31" s="586"/>
      <c r="GU31" s="586"/>
      <c r="GV31" s="586"/>
      <c r="GW31" s="586"/>
      <c r="GX31" s="586"/>
      <c r="GY31" s="586"/>
      <c r="GZ31" s="586"/>
      <c r="HA31" s="586"/>
      <c r="HB31" s="586"/>
      <c r="HC31" s="586"/>
      <c r="HD31" s="586"/>
      <c r="HE31" s="586"/>
      <c r="HF31" s="586"/>
      <c r="HG31" s="586"/>
      <c r="HH31" s="586"/>
      <c r="HI31" s="586"/>
      <c r="HJ31" s="586"/>
      <c r="HK31" s="586"/>
      <c r="HL31" s="586"/>
      <c r="HM31" s="586"/>
      <c r="HN31" s="586"/>
      <c r="HO31" s="586"/>
      <c r="HP31" s="586"/>
      <c r="HQ31" s="586"/>
      <c r="HR31" s="586"/>
      <c r="HS31" s="586"/>
      <c r="HT31" s="586"/>
      <c r="HU31" s="586"/>
      <c r="HV31" s="586"/>
      <c r="HW31" s="586"/>
      <c r="HX31" s="586"/>
      <c r="HY31" s="586"/>
      <c r="HZ31" s="586"/>
      <c r="IA31" s="586"/>
      <c r="IB31" s="586"/>
      <c r="IC31" s="586"/>
      <c r="ID31" s="586"/>
      <c r="IE31" s="586"/>
      <c r="IF31" s="586"/>
      <c r="IG31" s="586"/>
      <c r="IH31" s="586"/>
      <c r="II31" s="586"/>
      <c r="IJ31" s="586"/>
      <c r="IK31" s="586"/>
      <c r="IL31" s="586"/>
      <c r="IM31" s="586"/>
      <c r="IN31" s="586"/>
      <c r="IO31" s="586"/>
      <c r="IP31" s="586"/>
      <c r="IQ31" s="586"/>
      <c r="IR31" s="586"/>
      <c r="IS31" s="586"/>
      <c r="IT31" s="586"/>
      <c r="IU31" s="586"/>
      <c r="IV31" s="586"/>
      <c r="IW31" s="586"/>
    </row>
    <row r="32" customFormat="false" ht="12.75" hidden="false" customHeight="false" outlineLevel="0" collapsed="false">
      <c r="A32" s="603" t="s">
        <v>419</v>
      </c>
      <c r="B32" s="598" t="n">
        <f aca="false">SUM(B30:B31)</f>
        <v>492312.886</v>
      </c>
      <c r="C32" s="599"/>
      <c r="D32" s="599"/>
      <c r="E32" s="599"/>
      <c r="F32" s="599"/>
      <c r="G32" s="598" t="n">
        <f aca="false">SUM(G30:G31)</f>
        <v>0</v>
      </c>
      <c r="H32" s="598" t="n">
        <f aca="false">SUM(H30:H31)</f>
        <v>24615.6443</v>
      </c>
      <c r="I32" s="598" t="n">
        <f aca="false">SUM(I30:I31)</f>
        <v>46418.72417</v>
      </c>
      <c r="J32" s="598" t="n">
        <f aca="false">SUM(J30:J31)</f>
        <v>41815.851753</v>
      </c>
      <c r="K32" s="598" t="n">
        <f aca="false">SUM(K30:K31)</f>
        <v>37697.492222</v>
      </c>
      <c r="L32" s="598" t="n">
        <f aca="false">SUM(L30:L31)</f>
        <v>33966.7429998</v>
      </c>
      <c r="M32" s="598" t="n">
        <f aca="false">SUM(M30:M31)</f>
        <v>30575.1527978</v>
      </c>
      <c r="N32" s="598" t="n">
        <f aca="false">SUM(N30:N31)</f>
        <v>28976.260274</v>
      </c>
      <c r="O32" s="598" t="n">
        <f aca="false">SUM(O30:O31)</f>
        <v>29024.7115626</v>
      </c>
      <c r="P32" s="598" t="n">
        <f aca="false">SUM(P30:P31)</f>
        <v>28976.260274</v>
      </c>
      <c r="Q32" s="598" t="n">
        <f aca="false">SUM(Q30:Q31)</f>
        <v>29024.7115626</v>
      </c>
      <c r="R32" s="598" t="n">
        <f aca="false">SUM(R30:R31)</f>
        <v>28976.260274</v>
      </c>
      <c r="S32" s="598" t="n">
        <f aca="false">SUM(S30:S31)</f>
        <v>29024.7115626</v>
      </c>
      <c r="T32" s="598" t="n">
        <f aca="false">SUM(T30:T31)</f>
        <v>28976.260274</v>
      </c>
      <c r="U32" s="598" t="n">
        <f aca="false">SUM(U30:U31)</f>
        <v>29024.7115626</v>
      </c>
      <c r="V32" s="598" t="n">
        <f aca="false">SUM(V30:V31)</f>
        <v>28976.260274</v>
      </c>
      <c r="W32" s="598" t="n">
        <f aca="false">SUM(W30:W31)</f>
        <v>14683.130137</v>
      </c>
      <c r="X32" s="598" t="n">
        <f aca="false">SUM(X30:X31)</f>
        <v>390</v>
      </c>
      <c r="Y32" s="598" t="n">
        <f aca="false">SUM(Y30:Y31)</f>
        <v>390</v>
      </c>
      <c r="Z32" s="598" t="n">
        <f aca="false">SUM(Z30:Z31)</f>
        <v>390</v>
      </c>
      <c r="AA32" s="598" t="n">
        <f aca="false">SUM(AA30:AA31)</f>
        <v>390</v>
      </c>
      <c r="AB32" s="598" t="n">
        <f aca="false">SUM(AB30:AB31)</f>
        <v>0</v>
      </c>
      <c r="AC32" s="598" t="n">
        <f aca="false">SUM(AC30:AC31)</f>
        <v>0</v>
      </c>
      <c r="AD32" s="584"/>
      <c r="AE32" s="584"/>
      <c r="AF32" s="586"/>
      <c r="AG32" s="586"/>
      <c r="AH32" s="586"/>
      <c r="AI32" s="586"/>
      <c r="AJ32" s="586"/>
      <c r="AK32" s="586"/>
      <c r="AL32" s="586"/>
      <c r="AM32" s="586"/>
      <c r="AN32" s="586"/>
      <c r="AO32" s="586"/>
      <c r="AP32" s="586"/>
      <c r="AQ32" s="586"/>
      <c r="AR32" s="586"/>
      <c r="AS32" s="586"/>
      <c r="AT32" s="586"/>
      <c r="AU32" s="586"/>
      <c r="AV32" s="586"/>
      <c r="AW32" s="586"/>
      <c r="AX32" s="586"/>
      <c r="AY32" s="586"/>
      <c r="AZ32" s="586"/>
      <c r="BA32" s="586"/>
      <c r="BB32" s="586"/>
      <c r="BC32" s="586"/>
      <c r="BD32" s="586"/>
      <c r="BE32" s="586"/>
      <c r="BF32" s="586"/>
      <c r="BG32" s="586"/>
      <c r="BH32" s="586"/>
      <c r="BI32" s="586"/>
      <c r="BJ32" s="586"/>
      <c r="BK32" s="586"/>
      <c r="BL32" s="586"/>
      <c r="BM32" s="586"/>
      <c r="BN32" s="586"/>
      <c r="BO32" s="586"/>
      <c r="BP32" s="586"/>
      <c r="BQ32" s="586"/>
      <c r="BR32" s="586"/>
      <c r="BS32" s="586"/>
      <c r="BT32" s="586"/>
      <c r="BU32" s="586"/>
      <c r="BV32" s="586"/>
      <c r="BW32" s="586"/>
      <c r="BX32" s="586"/>
      <c r="BY32" s="586"/>
      <c r="BZ32" s="586"/>
      <c r="CA32" s="586"/>
      <c r="CB32" s="586"/>
      <c r="CC32" s="586"/>
      <c r="CD32" s="586"/>
      <c r="CE32" s="586"/>
      <c r="CF32" s="586"/>
      <c r="CG32" s="586"/>
      <c r="CH32" s="586"/>
      <c r="CI32" s="586"/>
      <c r="CJ32" s="586"/>
      <c r="CK32" s="586"/>
      <c r="CL32" s="586"/>
      <c r="CM32" s="586"/>
      <c r="CN32" s="586"/>
      <c r="CO32" s="586"/>
      <c r="CP32" s="586"/>
      <c r="CQ32" s="586"/>
      <c r="CR32" s="586"/>
      <c r="CS32" s="586"/>
      <c r="CT32" s="586"/>
      <c r="CU32" s="586"/>
      <c r="CV32" s="586"/>
      <c r="CW32" s="586"/>
      <c r="CX32" s="586"/>
      <c r="CY32" s="586"/>
      <c r="CZ32" s="586"/>
      <c r="DA32" s="586"/>
      <c r="DB32" s="586"/>
      <c r="DC32" s="586"/>
      <c r="DD32" s="586"/>
      <c r="DE32" s="586"/>
      <c r="DF32" s="586"/>
      <c r="DG32" s="586"/>
      <c r="DH32" s="586"/>
      <c r="DI32" s="586"/>
      <c r="DJ32" s="586"/>
      <c r="DK32" s="586"/>
      <c r="DL32" s="586"/>
      <c r="DM32" s="586"/>
      <c r="DN32" s="586"/>
      <c r="DO32" s="586"/>
      <c r="DP32" s="586"/>
      <c r="DQ32" s="586"/>
      <c r="DR32" s="586"/>
      <c r="DS32" s="586"/>
      <c r="DT32" s="586"/>
      <c r="DU32" s="586"/>
      <c r="DV32" s="586"/>
      <c r="DW32" s="586"/>
      <c r="DX32" s="586"/>
      <c r="DY32" s="586"/>
      <c r="DZ32" s="586"/>
      <c r="EA32" s="586"/>
      <c r="EB32" s="586"/>
      <c r="EC32" s="586"/>
      <c r="ED32" s="586"/>
      <c r="EE32" s="586"/>
      <c r="EF32" s="586"/>
      <c r="EG32" s="586"/>
      <c r="EH32" s="586"/>
      <c r="EI32" s="586"/>
      <c r="EJ32" s="586"/>
      <c r="EK32" s="586"/>
      <c r="EL32" s="586"/>
      <c r="EM32" s="586"/>
      <c r="EN32" s="586"/>
      <c r="EO32" s="586"/>
      <c r="EP32" s="586"/>
      <c r="EQ32" s="586"/>
      <c r="ER32" s="586"/>
      <c r="ES32" s="586"/>
      <c r="ET32" s="586"/>
      <c r="EU32" s="586"/>
      <c r="EV32" s="586"/>
      <c r="EW32" s="586"/>
      <c r="EX32" s="586"/>
      <c r="EY32" s="586"/>
      <c r="EZ32" s="586"/>
      <c r="FA32" s="586"/>
      <c r="FB32" s="586"/>
      <c r="FC32" s="586"/>
      <c r="FD32" s="586"/>
      <c r="FE32" s="586"/>
      <c r="FF32" s="586"/>
      <c r="FG32" s="586"/>
      <c r="FH32" s="586"/>
      <c r="FI32" s="586"/>
      <c r="FJ32" s="586"/>
      <c r="FK32" s="586"/>
      <c r="FL32" s="586"/>
      <c r="FM32" s="586"/>
      <c r="FN32" s="586"/>
      <c r="FO32" s="586"/>
      <c r="FP32" s="586"/>
      <c r="FQ32" s="586"/>
      <c r="FR32" s="586"/>
      <c r="FS32" s="586"/>
      <c r="FT32" s="586"/>
      <c r="FU32" s="586"/>
      <c r="FV32" s="586"/>
      <c r="FW32" s="586"/>
      <c r="FX32" s="586"/>
      <c r="FY32" s="586"/>
      <c r="FZ32" s="586"/>
      <c r="GA32" s="586"/>
      <c r="GB32" s="586"/>
      <c r="GC32" s="586"/>
      <c r="GD32" s="586"/>
      <c r="GE32" s="586"/>
      <c r="GF32" s="586"/>
      <c r="GG32" s="586"/>
      <c r="GH32" s="586"/>
      <c r="GI32" s="586"/>
      <c r="GJ32" s="586"/>
      <c r="GK32" s="586"/>
      <c r="GL32" s="586"/>
      <c r="GM32" s="586"/>
      <c r="GN32" s="586"/>
      <c r="GO32" s="586"/>
      <c r="GP32" s="586"/>
      <c r="GQ32" s="586"/>
      <c r="GR32" s="586"/>
      <c r="GS32" s="586"/>
      <c r="GT32" s="586"/>
      <c r="GU32" s="586"/>
      <c r="GV32" s="586"/>
      <c r="GW32" s="586"/>
      <c r="GX32" s="586"/>
      <c r="GY32" s="586"/>
      <c r="GZ32" s="586"/>
      <c r="HA32" s="586"/>
      <c r="HB32" s="586"/>
      <c r="HC32" s="586"/>
      <c r="HD32" s="586"/>
      <c r="HE32" s="586"/>
      <c r="HF32" s="586"/>
      <c r="HG32" s="586"/>
      <c r="HH32" s="586"/>
      <c r="HI32" s="586"/>
      <c r="HJ32" s="586"/>
      <c r="HK32" s="586"/>
      <c r="HL32" s="586"/>
      <c r="HM32" s="586"/>
      <c r="HN32" s="586"/>
      <c r="HO32" s="586"/>
      <c r="HP32" s="586"/>
      <c r="HQ32" s="586"/>
      <c r="HR32" s="586"/>
      <c r="HS32" s="586"/>
      <c r="HT32" s="586"/>
      <c r="HU32" s="586"/>
      <c r="HV32" s="586"/>
      <c r="HW32" s="586"/>
      <c r="HX32" s="586"/>
      <c r="HY32" s="586"/>
      <c r="HZ32" s="586"/>
      <c r="IA32" s="586"/>
      <c r="IB32" s="586"/>
      <c r="IC32" s="586"/>
      <c r="ID32" s="586"/>
      <c r="IE32" s="586"/>
      <c r="IF32" s="586"/>
      <c r="IG32" s="586"/>
      <c r="IH32" s="586"/>
      <c r="II32" s="586"/>
      <c r="IJ32" s="586"/>
      <c r="IK32" s="586"/>
      <c r="IL32" s="586"/>
      <c r="IM32" s="586"/>
      <c r="IN32" s="586"/>
      <c r="IO32" s="586"/>
      <c r="IP32" s="586"/>
      <c r="IQ32" s="586"/>
      <c r="IR32" s="586"/>
      <c r="IS32" s="586"/>
      <c r="IT32" s="586"/>
      <c r="IU32" s="586"/>
      <c r="IV32" s="586"/>
      <c r="IW32" s="586"/>
    </row>
    <row r="33" customFormat="false" ht="12.75" hidden="false" customHeight="false" outlineLevel="0" collapsed="false">
      <c r="A33" s="603"/>
      <c r="AD33" s="584"/>
      <c r="AE33" s="584"/>
      <c r="AF33" s="586"/>
      <c r="AG33" s="586"/>
      <c r="AH33" s="586"/>
      <c r="AI33" s="586"/>
      <c r="AJ33" s="586"/>
      <c r="AK33" s="586"/>
      <c r="AL33" s="586"/>
      <c r="AM33" s="586"/>
      <c r="AN33" s="586"/>
      <c r="AO33" s="586"/>
      <c r="AP33" s="586"/>
      <c r="AQ33" s="586"/>
      <c r="AR33" s="586"/>
      <c r="AS33" s="586"/>
      <c r="AT33" s="586"/>
      <c r="AU33" s="586"/>
      <c r="AV33" s="586"/>
      <c r="AW33" s="586"/>
      <c r="AX33" s="586"/>
      <c r="AY33" s="586"/>
      <c r="AZ33" s="586"/>
      <c r="BA33" s="586"/>
      <c r="BB33" s="586"/>
      <c r="BC33" s="586"/>
      <c r="BD33" s="586"/>
      <c r="BE33" s="586"/>
      <c r="BF33" s="586"/>
      <c r="BG33" s="586"/>
      <c r="BH33" s="586"/>
      <c r="BI33" s="586"/>
      <c r="BJ33" s="586"/>
      <c r="BK33" s="586"/>
      <c r="BL33" s="586"/>
      <c r="BM33" s="586"/>
      <c r="BN33" s="586"/>
      <c r="BO33" s="586"/>
      <c r="BP33" s="586"/>
      <c r="BQ33" s="586"/>
      <c r="BR33" s="586"/>
      <c r="BS33" s="586"/>
      <c r="BT33" s="586"/>
      <c r="BU33" s="586"/>
      <c r="BV33" s="586"/>
      <c r="BW33" s="586"/>
      <c r="BX33" s="586"/>
      <c r="BY33" s="586"/>
      <c r="BZ33" s="586"/>
      <c r="CA33" s="586"/>
      <c r="CB33" s="586"/>
      <c r="CC33" s="586"/>
      <c r="CD33" s="586"/>
      <c r="CE33" s="586"/>
      <c r="CF33" s="586"/>
      <c r="CG33" s="586"/>
      <c r="CH33" s="586"/>
      <c r="CI33" s="586"/>
      <c r="CJ33" s="586"/>
      <c r="CK33" s="586"/>
      <c r="CL33" s="586"/>
      <c r="CM33" s="586"/>
      <c r="CN33" s="586"/>
      <c r="CO33" s="586"/>
      <c r="CP33" s="586"/>
      <c r="CQ33" s="586"/>
      <c r="CR33" s="586"/>
      <c r="CS33" s="586"/>
      <c r="CT33" s="586"/>
      <c r="CU33" s="586"/>
      <c r="CV33" s="586"/>
      <c r="CW33" s="586"/>
      <c r="CX33" s="586"/>
      <c r="CY33" s="586"/>
      <c r="CZ33" s="586"/>
      <c r="DA33" s="586"/>
      <c r="DB33" s="586"/>
      <c r="DC33" s="586"/>
      <c r="DD33" s="586"/>
      <c r="DE33" s="586"/>
      <c r="DF33" s="586"/>
      <c r="DG33" s="586"/>
      <c r="DH33" s="586"/>
      <c r="DI33" s="586"/>
      <c r="DJ33" s="586"/>
      <c r="DK33" s="586"/>
      <c r="DL33" s="586"/>
      <c r="DM33" s="586"/>
      <c r="DN33" s="586"/>
      <c r="DO33" s="586"/>
      <c r="DP33" s="586"/>
      <c r="DQ33" s="586"/>
      <c r="DR33" s="586"/>
      <c r="DS33" s="586"/>
      <c r="DT33" s="586"/>
      <c r="DU33" s="586"/>
      <c r="DV33" s="586"/>
      <c r="DW33" s="586"/>
      <c r="DX33" s="586"/>
      <c r="DY33" s="586"/>
      <c r="DZ33" s="586"/>
      <c r="EA33" s="586"/>
      <c r="EB33" s="586"/>
      <c r="EC33" s="586"/>
      <c r="ED33" s="586"/>
      <c r="EE33" s="586"/>
      <c r="EF33" s="586"/>
      <c r="EG33" s="586"/>
      <c r="EH33" s="586"/>
      <c r="EI33" s="586"/>
      <c r="EJ33" s="586"/>
      <c r="EK33" s="586"/>
      <c r="EL33" s="586"/>
      <c r="EM33" s="586"/>
      <c r="EN33" s="586"/>
      <c r="EO33" s="586"/>
      <c r="EP33" s="586"/>
      <c r="EQ33" s="586"/>
      <c r="ER33" s="586"/>
      <c r="ES33" s="586"/>
      <c r="ET33" s="586"/>
      <c r="EU33" s="586"/>
      <c r="EV33" s="586"/>
      <c r="EW33" s="586"/>
      <c r="EX33" s="586"/>
      <c r="EY33" s="586"/>
      <c r="EZ33" s="586"/>
      <c r="FA33" s="586"/>
      <c r="FB33" s="586"/>
      <c r="FC33" s="586"/>
      <c r="FD33" s="586"/>
      <c r="FE33" s="586"/>
      <c r="FF33" s="586"/>
      <c r="FG33" s="586"/>
      <c r="FH33" s="586"/>
      <c r="FI33" s="586"/>
      <c r="FJ33" s="586"/>
      <c r="FK33" s="586"/>
      <c r="FL33" s="586"/>
      <c r="FM33" s="586"/>
      <c r="FN33" s="586"/>
      <c r="FO33" s="586"/>
      <c r="FP33" s="586"/>
      <c r="FQ33" s="586"/>
      <c r="FR33" s="586"/>
      <c r="FS33" s="586"/>
      <c r="FT33" s="586"/>
      <c r="FU33" s="586"/>
      <c r="FV33" s="586"/>
      <c r="FW33" s="586"/>
      <c r="FX33" s="586"/>
      <c r="FY33" s="586"/>
      <c r="FZ33" s="586"/>
      <c r="GA33" s="586"/>
      <c r="GB33" s="586"/>
      <c r="GC33" s="586"/>
      <c r="GD33" s="586"/>
      <c r="GE33" s="586"/>
      <c r="GF33" s="586"/>
      <c r="GG33" s="586"/>
      <c r="GH33" s="586"/>
      <c r="GI33" s="586"/>
      <c r="GJ33" s="586"/>
      <c r="GK33" s="586"/>
      <c r="GL33" s="586"/>
      <c r="GM33" s="586"/>
      <c r="GN33" s="586"/>
      <c r="GO33" s="586"/>
      <c r="GP33" s="586"/>
      <c r="GQ33" s="586"/>
      <c r="GR33" s="586"/>
      <c r="GS33" s="586"/>
      <c r="GT33" s="586"/>
      <c r="GU33" s="586"/>
      <c r="GV33" s="586"/>
      <c r="GW33" s="586"/>
      <c r="GX33" s="586"/>
      <c r="GY33" s="586"/>
      <c r="GZ33" s="586"/>
      <c r="HA33" s="586"/>
      <c r="HB33" s="586"/>
      <c r="HC33" s="586"/>
      <c r="HD33" s="586"/>
      <c r="HE33" s="586"/>
      <c r="HF33" s="586"/>
      <c r="HG33" s="586"/>
      <c r="HH33" s="586"/>
      <c r="HI33" s="586"/>
      <c r="HJ33" s="586"/>
      <c r="HK33" s="586"/>
      <c r="HL33" s="586"/>
      <c r="HM33" s="586"/>
      <c r="HN33" s="586"/>
      <c r="HO33" s="586"/>
      <c r="HP33" s="586"/>
      <c r="HQ33" s="586"/>
      <c r="HR33" s="586"/>
      <c r="HS33" s="586"/>
      <c r="HT33" s="586"/>
      <c r="HU33" s="586"/>
      <c r="HV33" s="586"/>
      <c r="HW33" s="586"/>
      <c r="HX33" s="586"/>
      <c r="HY33" s="586"/>
      <c r="HZ33" s="586"/>
      <c r="IA33" s="586"/>
      <c r="IB33" s="586"/>
      <c r="IC33" s="586"/>
      <c r="ID33" s="586"/>
      <c r="IE33" s="586"/>
      <c r="IF33" s="586"/>
      <c r="IG33" s="586"/>
      <c r="IH33" s="586"/>
      <c r="II33" s="586"/>
      <c r="IJ33" s="586"/>
      <c r="IK33" s="586"/>
      <c r="IL33" s="586"/>
      <c r="IM33" s="586"/>
      <c r="IN33" s="586"/>
      <c r="IO33" s="586"/>
      <c r="IP33" s="586"/>
      <c r="IQ33" s="586"/>
      <c r="IR33" s="586"/>
      <c r="IS33" s="586"/>
      <c r="IT33" s="586"/>
      <c r="IU33" s="586"/>
      <c r="IV33" s="586"/>
      <c r="IW33" s="586"/>
    </row>
    <row r="34" customFormat="false" ht="12.75" hidden="false" customHeight="false" outlineLevel="0" collapsed="false">
      <c r="A34" s="1" t="s">
        <v>420</v>
      </c>
      <c r="D34" s="611"/>
      <c r="G34" s="102" t="n">
        <f aca="false">B32-G32</f>
        <v>492312.886</v>
      </c>
      <c r="H34" s="102" t="n">
        <f aca="false">G34-H32</f>
        <v>467697.2417</v>
      </c>
      <c r="I34" s="102" t="n">
        <f aca="false">H34-I32</f>
        <v>421278.51753</v>
      </c>
      <c r="J34" s="102" t="n">
        <f aca="false">I34-J32</f>
        <v>379462.665777</v>
      </c>
      <c r="K34" s="102" t="n">
        <f aca="false">J34-K32</f>
        <v>341765.173555</v>
      </c>
      <c r="L34" s="102" t="n">
        <f aca="false">K34-L32</f>
        <v>307798.4305552</v>
      </c>
      <c r="M34" s="102" t="n">
        <f aca="false">L34-M32</f>
        <v>277223.2777574</v>
      </c>
      <c r="N34" s="102" t="n">
        <f aca="false">M34-N32</f>
        <v>248247.0174834</v>
      </c>
      <c r="O34" s="102" t="n">
        <f aca="false">N34-O32</f>
        <v>219222.3059208</v>
      </c>
      <c r="P34" s="102" t="n">
        <f aca="false">O34-P32</f>
        <v>190246.0456468</v>
      </c>
      <c r="Q34" s="102" t="n">
        <f aca="false">P34-Q32</f>
        <v>161221.3340842</v>
      </c>
      <c r="R34" s="102" t="n">
        <f aca="false">Q34-R32</f>
        <v>132245.0738102</v>
      </c>
      <c r="S34" s="102" t="n">
        <f aca="false">R34-S32</f>
        <v>103220.3622476</v>
      </c>
      <c r="T34" s="102" t="n">
        <f aca="false">S34-T32</f>
        <v>74244.1019736</v>
      </c>
      <c r="U34" s="102" t="n">
        <f aca="false">T34-U32</f>
        <v>45219.390411</v>
      </c>
      <c r="V34" s="102" t="n">
        <f aca="false">U34-V32</f>
        <v>16243.130137</v>
      </c>
      <c r="W34" s="102" t="n">
        <f aca="false">V34-W32</f>
        <v>1559.99999999997</v>
      </c>
      <c r="X34" s="102" t="n">
        <f aca="false">W34-X32</f>
        <v>1169.99999999997</v>
      </c>
      <c r="Y34" s="102" t="n">
        <f aca="false">X34-Y32</f>
        <v>779.999999999971</v>
      </c>
      <c r="Z34" s="102" t="n">
        <f aca="false">Y34-Z32</f>
        <v>389.999999999971</v>
      </c>
      <c r="AA34" s="102" t="n">
        <f aca="false">Z34-AA32</f>
        <v>-2.91038304567337E-011</v>
      </c>
      <c r="AB34" s="102" t="n">
        <f aca="false">AA34-AB32</f>
        <v>-2.91038304567337E-011</v>
      </c>
      <c r="AC34" s="102" t="n">
        <f aca="false">AB34-AC32</f>
        <v>-2.91038304567337E-011</v>
      </c>
      <c r="AD34" s="584"/>
      <c r="AE34" s="584"/>
      <c r="AF34" s="586"/>
      <c r="AG34" s="586"/>
      <c r="AH34" s="586"/>
      <c r="AI34" s="586"/>
      <c r="AJ34" s="586"/>
      <c r="AK34" s="586"/>
      <c r="AL34" s="586"/>
      <c r="AM34" s="586"/>
      <c r="AN34" s="586"/>
      <c r="AO34" s="586"/>
      <c r="AP34" s="586"/>
      <c r="AQ34" s="586"/>
      <c r="AR34" s="586"/>
      <c r="AS34" s="586"/>
      <c r="AT34" s="586"/>
      <c r="AU34" s="586"/>
      <c r="AV34" s="586"/>
      <c r="AW34" s="586"/>
      <c r="AX34" s="586"/>
      <c r="AY34" s="586"/>
      <c r="AZ34" s="586"/>
      <c r="BA34" s="586"/>
      <c r="BB34" s="586"/>
      <c r="BC34" s="586"/>
      <c r="BD34" s="586"/>
      <c r="BE34" s="586"/>
      <c r="BF34" s="586"/>
      <c r="BG34" s="586"/>
      <c r="BH34" s="586"/>
      <c r="BI34" s="586"/>
      <c r="BJ34" s="586"/>
      <c r="BK34" s="586"/>
      <c r="BL34" s="586"/>
      <c r="BM34" s="586"/>
      <c r="BN34" s="586"/>
      <c r="BO34" s="586"/>
      <c r="BP34" s="586"/>
      <c r="BQ34" s="586"/>
      <c r="BR34" s="586"/>
      <c r="BS34" s="586"/>
      <c r="BT34" s="586"/>
      <c r="BU34" s="586"/>
      <c r="BV34" s="586"/>
      <c r="BW34" s="586"/>
      <c r="BX34" s="586"/>
      <c r="BY34" s="586"/>
      <c r="BZ34" s="586"/>
      <c r="CA34" s="586"/>
      <c r="CB34" s="586"/>
      <c r="CC34" s="586"/>
      <c r="CD34" s="586"/>
      <c r="CE34" s="586"/>
      <c r="CF34" s="586"/>
      <c r="CG34" s="586"/>
      <c r="CH34" s="586"/>
      <c r="CI34" s="586"/>
      <c r="CJ34" s="586"/>
      <c r="CK34" s="586"/>
      <c r="CL34" s="586"/>
      <c r="CM34" s="586"/>
      <c r="CN34" s="586"/>
      <c r="CO34" s="586"/>
      <c r="CP34" s="586"/>
      <c r="CQ34" s="586"/>
      <c r="CR34" s="586"/>
      <c r="CS34" s="586"/>
      <c r="CT34" s="586"/>
      <c r="CU34" s="586"/>
      <c r="CV34" s="586"/>
      <c r="CW34" s="586"/>
      <c r="CX34" s="586"/>
      <c r="CY34" s="586"/>
      <c r="CZ34" s="586"/>
      <c r="DA34" s="586"/>
      <c r="DB34" s="586"/>
      <c r="DC34" s="586"/>
      <c r="DD34" s="586"/>
      <c r="DE34" s="586"/>
      <c r="DF34" s="586"/>
      <c r="DG34" s="586"/>
      <c r="DH34" s="586"/>
      <c r="DI34" s="586"/>
      <c r="DJ34" s="586"/>
      <c r="DK34" s="586"/>
      <c r="DL34" s="586"/>
      <c r="DM34" s="586"/>
      <c r="DN34" s="586"/>
      <c r="DO34" s="586"/>
      <c r="DP34" s="586"/>
      <c r="DQ34" s="586"/>
      <c r="DR34" s="586"/>
      <c r="DS34" s="586"/>
      <c r="DT34" s="586"/>
      <c r="DU34" s="586"/>
      <c r="DV34" s="586"/>
      <c r="DW34" s="586"/>
      <c r="DX34" s="586"/>
      <c r="DY34" s="586"/>
      <c r="DZ34" s="586"/>
      <c r="EA34" s="586"/>
      <c r="EB34" s="586"/>
      <c r="EC34" s="586"/>
      <c r="ED34" s="586"/>
      <c r="EE34" s="586"/>
      <c r="EF34" s="586"/>
      <c r="EG34" s="586"/>
      <c r="EH34" s="586"/>
      <c r="EI34" s="586"/>
      <c r="EJ34" s="586"/>
      <c r="EK34" s="586"/>
      <c r="EL34" s="586"/>
      <c r="EM34" s="586"/>
      <c r="EN34" s="586"/>
      <c r="EO34" s="586"/>
      <c r="EP34" s="586"/>
      <c r="EQ34" s="586"/>
      <c r="ER34" s="586"/>
      <c r="ES34" s="586"/>
      <c r="ET34" s="586"/>
      <c r="EU34" s="586"/>
      <c r="EV34" s="586"/>
      <c r="EW34" s="586"/>
      <c r="EX34" s="586"/>
      <c r="EY34" s="586"/>
      <c r="EZ34" s="586"/>
      <c r="FA34" s="586"/>
      <c r="FB34" s="586"/>
      <c r="FC34" s="586"/>
      <c r="FD34" s="586"/>
      <c r="FE34" s="586"/>
      <c r="FF34" s="586"/>
      <c r="FG34" s="586"/>
      <c r="FH34" s="586"/>
      <c r="FI34" s="586"/>
      <c r="FJ34" s="586"/>
      <c r="FK34" s="586"/>
      <c r="FL34" s="586"/>
      <c r="FM34" s="586"/>
      <c r="FN34" s="586"/>
      <c r="FO34" s="586"/>
      <c r="FP34" s="586"/>
      <c r="FQ34" s="586"/>
      <c r="FR34" s="586"/>
      <c r="FS34" s="586"/>
      <c r="FT34" s="586"/>
      <c r="FU34" s="586"/>
      <c r="FV34" s="586"/>
      <c r="FW34" s="586"/>
      <c r="FX34" s="586"/>
      <c r="FY34" s="586"/>
      <c r="FZ34" s="586"/>
      <c r="GA34" s="586"/>
      <c r="GB34" s="586"/>
      <c r="GC34" s="586"/>
      <c r="GD34" s="586"/>
      <c r="GE34" s="586"/>
      <c r="GF34" s="586"/>
      <c r="GG34" s="586"/>
      <c r="GH34" s="586"/>
      <c r="GI34" s="586"/>
      <c r="GJ34" s="586"/>
      <c r="GK34" s="586"/>
      <c r="GL34" s="586"/>
      <c r="GM34" s="586"/>
      <c r="GN34" s="586"/>
      <c r="GO34" s="586"/>
      <c r="GP34" s="586"/>
      <c r="GQ34" s="586"/>
      <c r="GR34" s="586"/>
      <c r="GS34" s="586"/>
      <c r="GT34" s="586"/>
      <c r="GU34" s="586"/>
      <c r="GV34" s="586"/>
      <c r="GW34" s="586"/>
      <c r="GX34" s="586"/>
      <c r="GY34" s="586"/>
      <c r="GZ34" s="586"/>
      <c r="HA34" s="586"/>
      <c r="HB34" s="586"/>
      <c r="HC34" s="586"/>
      <c r="HD34" s="586"/>
      <c r="HE34" s="586"/>
      <c r="HF34" s="586"/>
      <c r="HG34" s="586"/>
      <c r="HH34" s="586"/>
      <c r="HI34" s="586"/>
      <c r="HJ34" s="586"/>
      <c r="HK34" s="586"/>
      <c r="HL34" s="586"/>
      <c r="HM34" s="586"/>
      <c r="HN34" s="586"/>
      <c r="HO34" s="586"/>
      <c r="HP34" s="586"/>
      <c r="HQ34" s="586"/>
      <c r="HR34" s="586"/>
      <c r="HS34" s="586"/>
      <c r="HT34" s="586"/>
      <c r="HU34" s="586"/>
      <c r="HV34" s="586"/>
      <c r="HW34" s="586"/>
      <c r="HX34" s="586"/>
      <c r="HY34" s="586"/>
      <c r="HZ34" s="586"/>
      <c r="IA34" s="586"/>
      <c r="IB34" s="586"/>
      <c r="IC34" s="586"/>
      <c r="ID34" s="586"/>
      <c r="IE34" s="586"/>
      <c r="IF34" s="586"/>
      <c r="IG34" s="586"/>
      <c r="IH34" s="586"/>
      <c r="II34" s="586"/>
      <c r="IJ34" s="586"/>
      <c r="IK34" s="586"/>
      <c r="IL34" s="586"/>
      <c r="IM34" s="586"/>
      <c r="IN34" s="586"/>
      <c r="IO34" s="586"/>
      <c r="IP34" s="586"/>
      <c r="IQ34" s="586"/>
      <c r="IR34" s="586"/>
      <c r="IS34" s="586"/>
      <c r="IT34" s="586"/>
      <c r="IU34" s="586"/>
      <c r="IV34" s="586"/>
      <c r="IW34" s="586"/>
    </row>
    <row r="35" customFormat="false" ht="12.75" hidden="false" customHeight="false" outlineLevel="0" collapsed="false">
      <c r="G35" s="430"/>
      <c r="AD35" s="584"/>
      <c r="AE35" s="584"/>
      <c r="AF35" s="586"/>
      <c r="AG35" s="586"/>
      <c r="AH35" s="586"/>
      <c r="AI35" s="586"/>
      <c r="AJ35" s="586"/>
      <c r="AK35" s="586"/>
      <c r="AL35" s="586"/>
      <c r="AM35" s="586"/>
      <c r="AN35" s="586"/>
      <c r="AO35" s="586"/>
      <c r="AP35" s="586"/>
      <c r="AQ35" s="586"/>
      <c r="AR35" s="586"/>
      <c r="AS35" s="586"/>
      <c r="AT35" s="586"/>
      <c r="AU35" s="586"/>
      <c r="AV35" s="586"/>
      <c r="AW35" s="586"/>
      <c r="AX35" s="586"/>
      <c r="AY35" s="586"/>
      <c r="AZ35" s="586"/>
      <c r="BA35" s="586"/>
      <c r="BB35" s="586"/>
      <c r="BC35" s="586"/>
      <c r="BD35" s="586"/>
      <c r="BE35" s="586"/>
      <c r="BF35" s="586"/>
      <c r="BG35" s="586"/>
      <c r="BH35" s="586"/>
      <c r="BI35" s="586"/>
      <c r="BJ35" s="586"/>
      <c r="BK35" s="586"/>
      <c r="BL35" s="586"/>
      <c r="BM35" s="586"/>
      <c r="BN35" s="586"/>
      <c r="BO35" s="586"/>
      <c r="BP35" s="586"/>
      <c r="BQ35" s="586"/>
      <c r="BR35" s="586"/>
      <c r="BS35" s="586"/>
      <c r="BT35" s="586"/>
      <c r="BU35" s="586"/>
      <c r="BV35" s="586"/>
      <c r="BW35" s="586"/>
      <c r="BX35" s="586"/>
      <c r="BY35" s="586"/>
      <c r="BZ35" s="586"/>
      <c r="CA35" s="586"/>
      <c r="CB35" s="586"/>
      <c r="CC35" s="586"/>
      <c r="CD35" s="586"/>
      <c r="CE35" s="586"/>
      <c r="CF35" s="586"/>
      <c r="CG35" s="586"/>
      <c r="CH35" s="586"/>
      <c r="CI35" s="586"/>
      <c r="CJ35" s="586"/>
      <c r="CK35" s="586"/>
      <c r="CL35" s="586"/>
      <c r="CM35" s="586"/>
      <c r="CN35" s="586"/>
      <c r="CO35" s="586"/>
      <c r="CP35" s="586"/>
      <c r="CQ35" s="586"/>
      <c r="CR35" s="586"/>
      <c r="CS35" s="586"/>
      <c r="CT35" s="586"/>
      <c r="CU35" s="586"/>
      <c r="CV35" s="586"/>
      <c r="CW35" s="586"/>
      <c r="CX35" s="586"/>
      <c r="CY35" s="586"/>
      <c r="CZ35" s="586"/>
      <c r="DA35" s="586"/>
      <c r="DB35" s="586"/>
      <c r="DC35" s="586"/>
      <c r="DD35" s="586"/>
      <c r="DE35" s="586"/>
      <c r="DF35" s="586"/>
      <c r="DG35" s="586"/>
      <c r="DH35" s="586"/>
      <c r="DI35" s="586"/>
      <c r="DJ35" s="586"/>
      <c r="DK35" s="586"/>
      <c r="DL35" s="586"/>
      <c r="DM35" s="586"/>
      <c r="DN35" s="586"/>
      <c r="DO35" s="586"/>
      <c r="DP35" s="586"/>
      <c r="DQ35" s="586"/>
      <c r="DR35" s="586"/>
      <c r="DS35" s="586"/>
      <c r="DT35" s="586"/>
      <c r="DU35" s="586"/>
      <c r="DV35" s="586"/>
      <c r="DW35" s="586"/>
      <c r="DX35" s="586"/>
      <c r="DY35" s="586"/>
      <c r="DZ35" s="586"/>
      <c r="EA35" s="586"/>
      <c r="EB35" s="586"/>
      <c r="EC35" s="586"/>
      <c r="ED35" s="586"/>
      <c r="EE35" s="586"/>
      <c r="EF35" s="586"/>
      <c r="EG35" s="586"/>
      <c r="EH35" s="586"/>
      <c r="EI35" s="586"/>
      <c r="EJ35" s="586"/>
      <c r="EK35" s="586"/>
      <c r="EL35" s="586"/>
      <c r="EM35" s="586"/>
      <c r="EN35" s="586"/>
      <c r="EO35" s="586"/>
      <c r="EP35" s="586"/>
      <c r="EQ35" s="586"/>
      <c r="ER35" s="586"/>
      <c r="ES35" s="586"/>
      <c r="ET35" s="586"/>
      <c r="EU35" s="586"/>
      <c r="EV35" s="586"/>
      <c r="EW35" s="586"/>
      <c r="EX35" s="586"/>
      <c r="EY35" s="586"/>
      <c r="EZ35" s="586"/>
      <c r="FA35" s="586"/>
      <c r="FB35" s="586"/>
      <c r="FC35" s="586"/>
      <c r="FD35" s="586"/>
      <c r="FE35" s="586"/>
      <c r="FF35" s="586"/>
      <c r="FG35" s="586"/>
      <c r="FH35" s="586"/>
      <c r="FI35" s="586"/>
      <c r="FJ35" s="586"/>
      <c r="FK35" s="586"/>
      <c r="FL35" s="586"/>
      <c r="FM35" s="586"/>
      <c r="FN35" s="586"/>
      <c r="FO35" s="586"/>
      <c r="FP35" s="586"/>
      <c r="FQ35" s="586"/>
      <c r="FR35" s="586"/>
      <c r="FS35" s="586"/>
      <c r="FT35" s="586"/>
      <c r="FU35" s="586"/>
      <c r="FV35" s="586"/>
      <c r="FW35" s="586"/>
      <c r="FX35" s="586"/>
      <c r="FY35" s="586"/>
      <c r="FZ35" s="586"/>
      <c r="GA35" s="586"/>
      <c r="GB35" s="586"/>
      <c r="GC35" s="586"/>
      <c r="GD35" s="586"/>
      <c r="GE35" s="586"/>
      <c r="GF35" s="586"/>
      <c r="GG35" s="586"/>
      <c r="GH35" s="586"/>
      <c r="GI35" s="586"/>
      <c r="GJ35" s="586"/>
      <c r="GK35" s="586"/>
      <c r="GL35" s="586"/>
      <c r="GM35" s="586"/>
      <c r="GN35" s="586"/>
      <c r="GO35" s="586"/>
      <c r="GP35" s="586"/>
      <c r="GQ35" s="586"/>
      <c r="GR35" s="586"/>
      <c r="GS35" s="586"/>
      <c r="GT35" s="586"/>
      <c r="GU35" s="586"/>
      <c r="GV35" s="586"/>
      <c r="GW35" s="586"/>
      <c r="GX35" s="586"/>
      <c r="GY35" s="586"/>
      <c r="GZ35" s="586"/>
      <c r="HA35" s="586"/>
      <c r="HB35" s="586"/>
      <c r="HC35" s="586"/>
      <c r="HD35" s="586"/>
      <c r="HE35" s="586"/>
      <c r="HF35" s="586"/>
      <c r="HG35" s="586"/>
      <c r="HH35" s="586"/>
      <c r="HI35" s="586"/>
      <c r="HJ35" s="586"/>
      <c r="HK35" s="586"/>
      <c r="HL35" s="586"/>
      <c r="HM35" s="586"/>
      <c r="HN35" s="586"/>
      <c r="HO35" s="586"/>
      <c r="HP35" s="586"/>
      <c r="HQ35" s="586"/>
      <c r="HR35" s="586"/>
      <c r="HS35" s="586"/>
      <c r="HT35" s="586"/>
      <c r="HU35" s="586"/>
      <c r="HV35" s="586"/>
      <c r="HW35" s="586"/>
      <c r="HX35" s="586"/>
      <c r="HY35" s="586"/>
      <c r="HZ35" s="586"/>
      <c r="IA35" s="586"/>
      <c r="IB35" s="586"/>
      <c r="IC35" s="586"/>
      <c r="ID35" s="586"/>
      <c r="IE35" s="586"/>
      <c r="IF35" s="586"/>
      <c r="IG35" s="586"/>
      <c r="IH35" s="586"/>
      <c r="II35" s="586"/>
      <c r="IJ35" s="586"/>
      <c r="IK35" s="586"/>
      <c r="IL35" s="586"/>
      <c r="IM35" s="586"/>
      <c r="IN35" s="586"/>
      <c r="IO35" s="586"/>
      <c r="IP35" s="586"/>
      <c r="IQ35" s="586"/>
      <c r="IR35" s="586"/>
      <c r="IS35" s="586"/>
      <c r="IT35" s="586"/>
      <c r="IU35" s="586"/>
      <c r="IV35" s="586"/>
      <c r="IW35" s="586"/>
    </row>
    <row r="36" customFormat="false" ht="12.75" hidden="false" customHeight="false" outlineLevel="0" collapsed="false">
      <c r="B36" s="586"/>
      <c r="C36" s="586"/>
      <c r="D36" s="612"/>
      <c r="E36" s="612"/>
      <c r="F36" s="612"/>
      <c r="G36" s="613" t="n">
        <v>0</v>
      </c>
      <c r="H36" s="613" t="n">
        <v>1</v>
      </c>
      <c r="I36" s="613" t="n">
        <v>2</v>
      </c>
      <c r="J36" s="613" t="n">
        <v>3</v>
      </c>
      <c r="K36" s="613" t="n">
        <v>4</v>
      </c>
      <c r="L36" s="613" t="n">
        <v>5</v>
      </c>
      <c r="M36" s="613" t="n">
        <v>6</v>
      </c>
      <c r="N36" s="613" t="n">
        <v>7</v>
      </c>
      <c r="O36" s="613" t="n">
        <v>8</v>
      </c>
      <c r="P36" s="613" t="n">
        <v>9</v>
      </c>
      <c r="Q36" s="613" t="n">
        <v>10</v>
      </c>
      <c r="R36" s="613" t="n">
        <v>11</v>
      </c>
      <c r="S36" s="613" t="n">
        <v>12</v>
      </c>
      <c r="T36" s="613" t="n">
        <v>13</v>
      </c>
      <c r="U36" s="613" t="n">
        <v>14</v>
      </c>
      <c r="V36" s="613" t="n">
        <v>15</v>
      </c>
      <c r="W36" s="613" t="n">
        <v>16</v>
      </c>
      <c r="X36" s="613" t="n">
        <v>17</v>
      </c>
      <c r="Y36" s="613" t="n">
        <v>18</v>
      </c>
      <c r="Z36" s="613" t="n">
        <v>19</v>
      </c>
      <c r="AA36" s="613" t="n">
        <v>20</v>
      </c>
      <c r="AB36" s="613" t="n">
        <v>21</v>
      </c>
      <c r="AC36" s="613" t="n">
        <v>22</v>
      </c>
      <c r="AD36" s="584"/>
      <c r="AE36" s="584"/>
      <c r="AF36" s="586"/>
      <c r="AG36" s="586"/>
      <c r="AH36" s="586"/>
      <c r="AI36" s="586"/>
      <c r="AJ36" s="586"/>
      <c r="AK36" s="586"/>
      <c r="AL36" s="586"/>
      <c r="AM36" s="586"/>
      <c r="AN36" s="586"/>
      <c r="AO36" s="586"/>
      <c r="AP36" s="586"/>
      <c r="AQ36" s="586"/>
      <c r="AR36" s="586"/>
      <c r="AS36" s="586"/>
      <c r="AT36" s="586"/>
      <c r="AU36" s="586"/>
      <c r="AV36" s="586"/>
      <c r="AW36" s="586"/>
      <c r="AX36" s="586"/>
      <c r="AY36" s="586"/>
      <c r="AZ36" s="586"/>
      <c r="BA36" s="586"/>
      <c r="BB36" s="586"/>
      <c r="BC36" s="586"/>
      <c r="BD36" s="586"/>
      <c r="BE36" s="586"/>
      <c r="BF36" s="586"/>
      <c r="BG36" s="586"/>
      <c r="BH36" s="586"/>
      <c r="BI36" s="586"/>
      <c r="BJ36" s="586"/>
      <c r="BK36" s="586"/>
      <c r="BL36" s="586"/>
      <c r="BM36" s="586"/>
      <c r="BN36" s="586"/>
      <c r="BO36" s="586"/>
      <c r="BP36" s="586"/>
      <c r="BQ36" s="586"/>
      <c r="BR36" s="586"/>
      <c r="BS36" s="586"/>
      <c r="BT36" s="586"/>
      <c r="BU36" s="586"/>
      <c r="BV36" s="586"/>
      <c r="BW36" s="586"/>
      <c r="BX36" s="586"/>
      <c r="BY36" s="586"/>
      <c r="BZ36" s="586"/>
      <c r="CA36" s="586"/>
      <c r="CB36" s="586"/>
      <c r="CC36" s="586"/>
      <c r="CD36" s="586"/>
      <c r="CE36" s="586"/>
      <c r="CF36" s="586"/>
      <c r="CG36" s="586"/>
      <c r="CH36" s="586"/>
      <c r="CI36" s="586"/>
      <c r="CJ36" s="586"/>
      <c r="CK36" s="586"/>
      <c r="CL36" s="586"/>
      <c r="CM36" s="586"/>
      <c r="CN36" s="586"/>
      <c r="CO36" s="586"/>
      <c r="CP36" s="586"/>
      <c r="CQ36" s="586"/>
      <c r="CR36" s="586"/>
      <c r="CS36" s="586"/>
      <c r="CT36" s="586"/>
      <c r="CU36" s="586"/>
      <c r="CV36" s="586"/>
      <c r="CW36" s="586"/>
      <c r="CX36" s="586"/>
      <c r="CY36" s="586"/>
      <c r="CZ36" s="586"/>
      <c r="DA36" s="586"/>
      <c r="DB36" s="586"/>
      <c r="DC36" s="586"/>
      <c r="DD36" s="586"/>
      <c r="DE36" s="586"/>
      <c r="DF36" s="586"/>
      <c r="DG36" s="586"/>
      <c r="DH36" s="586"/>
      <c r="DI36" s="586"/>
      <c r="DJ36" s="586"/>
      <c r="DK36" s="586"/>
      <c r="DL36" s="586"/>
      <c r="DM36" s="586"/>
      <c r="DN36" s="586"/>
      <c r="DO36" s="586"/>
      <c r="DP36" s="586"/>
      <c r="DQ36" s="586"/>
      <c r="DR36" s="586"/>
      <c r="DS36" s="586"/>
      <c r="DT36" s="586"/>
      <c r="DU36" s="586"/>
      <c r="DV36" s="586"/>
      <c r="DW36" s="586"/>
      <c r="DX36" s="586"/>
      <c r="DY36" s="586"/>
      <c r="DZ36" s="586"/>
      <c r="EA36" s="586"/>
      <c r="EB36" s="586"/>
      <c r="EC36" s="586"/>
      <c r="ED36" s="586"/>
      <c r="EE36" s="586"/>
      <c r="EF36" s="586"/>
      <c r="EG36" s="586"/>
      <c r="EH36" s="586"/>
      <c r="EI36" s="586"/>
      <c r="EJ36" s="586"/>
      <c r="EK36" s="586"/>
      <c r="EL36" s="586"/>
      <c r="EM36" s="586"/>
      <c r="EN36" s="586"/>
      <c r="EO36" s="586"/>
      <c r="EP36" s="586"/>
      <c r="EQ36" s="586"/>
      <c r="ER36" s="586"/>
      <c r="ES36" s="586"/>
      <c r="ET36" s="586"/>
      <c r="EU36" s="586"/>
      <c r="EV36" s="586"/>
      <c r="EW36" s="586"/>
      <c r="EX36" s="586"/>
      <c r="EY36" s="586"/>
      <c r="EZ36" s="586"/>
      <c r="FA36" s="586"/>
      <c r="FB36" s="586"/>
      <c r="FC36" s="586"/>
      <c r="FD36" s="586"/>
      <c r="FE36" s="586"/>
      <c r="FF36" s="586"/>
      <c r="FG36" s="586"/>
      <c r="FH36" s="586"/>
      <c r="FI36" s="586"/>
      <c r="FJ36" s="586"/>
      <c r="FK36" s="586"/>
      <c r="FL36" s="586"/>
      <c r="FM36" s="586"/>
      <c r="FN36" s="586"/>
      <c r="FO36" s="586"/>
      <c r="FP36" s="586"/>
      <c r="FQ36" s="586"/>
      <c r="FR36" s="586"/>
      <c r="FS36" s="586"/>
      <c r="FT36" s="586"/>
      <c r="FU36" s="586"/>
      <c r="FV36" s="586"/>
      <c r="FW36" s="586"/>
      <c r="FX36" s="586"/>
      <c r="FY36" s="586"/>
      <c r="FZ36" s="586"/>
      <c r="GA36" s="586"/>
      <c r="GB36" s="586"/>
      <c r="GC36" s="586"/>
      <c r="GD36" s="586"/>
      <c r="GE36" s="586"/>
      <c r="GF36" s="586"/>
      <c r="GG36" s="586"/>
      <c r="GH36" s="586"/>
      <c r="GI36" s="586"/>
      <c r="GJ36" s="586"/>
      <c r="GK36" s="586"/>
      <c r="GL36" s="586"/>
      <c r="GM36" s="586"/>
      <c r="GN36" s="586"/>
      <c r="GO36" s="586"/>
      <c r="GP36" s="586"/>
      <c r="GQ36" s="586"/>
      <c r="GR36" s="586"/>
      <c r="GS36" s="586"/>
      <c r="GT36" s="586"/>
      <c r="GU36" s="586"/>
      <c r="GV36" s="586"/>
      <c r="GW36" s="586"/>
      <c r="GX36" s="586"/>
      <c r="GY36" s="586"/>
      <c r="GZ36" s="586"/>
      <c r="HA36" s="586"/>
      <c r="HB36" s="586"/>
      <c r="HC36" s="586"/>
      <c r="HD36" s="586"/>
      <c r="HE36" s="586"/>
      <c r="HF36" s="586"/>
      <c r="HG36" s="586"/>
      <c r="HH36" s="586"/>
      <c r="HI36" s="586"/>
      <c r="HJ36" s="586"/>
      <c r="HK36" s="586"/>
      <c r="HL36" s="586"/>
      <c r="HM36" s="586"/>
      <c r="HN36" s="586"/>
      <c r="HO36" s="586"/>
      <c r="HP36" s="586"/>
      <c r="HQ36" s="586"/>
      <c r="HR36" s="586"/>
      <c r="HS36" s="586"/>
      <c r="HT36" s="586"/>
      <c r="HU36" s="586"/>
      <c r="HV36" s="586"/>
      <c r="HW36" s="586"/>
      <c r="HX36" s="586"/>
      <c r="HY36" s="586"/>
      <c r="HZ36" s="586"/>
      <c r="IA36" s="586"/>
      <c r="IB36" s="586"/>
      <c r="IC36" s="586"/>
      <c r="ID36" s="586"/>
      <c r="IE36" s="586"/>
      <c r="IF36" s="586"/>
      <c r="IG36" s="586"/>
      <c r="IH36" s="586"/>
      <c r="II36" s="586"/>
      <c r="IJ36" s="586"/>
      <c r="IK36" s="586"/>
      <c r="IL36" s="586"/>
      <c r="IM36" s="586"/>
      <c r="IN36" s="586"/>
      <c r="IO36" s="586"/>
      <c r="IP36" s="586"/>
      <c r="IQ36" s="586"/>
      <c r="IR36" s="586"/>
      <c r="IS36" s="586"/>
      <c r="IT36" s="586"/>
      <c r="IU36" s="586"/>
      <c r="IV36" s="586"/>
      <c r="IW36" s="586"/>
    </row>
    <row r="37" customFormat="false" ht="12.75" hidden="false" customHeight="false" outlineLevel="0" collapsed="false">
      <c r="A37" s="581" t="s">
        <v>422</v>
      </c>
      <c r="B37" s="586"/>
      <c r="C37" s="586"/>
      <c r="D37" s="614"/>
      <c r="E37" s="614"/>
      <c r="F37" s="614"/>
      <c r="G37" s="406" t="n">
        <f aca="false">IF(G36&lt;=$B$39,(1-$C$39)/$B$39,IF(G36=$B$39+1,(1/$B39)*(1-$C$39)-$G$37,0))*Assumptions!$L$53/12</f>
        <v>0</v>
      </c>
      <c r="H37" s="406" t="n">
        <f aca="false">IF(H36&lt;=$B$39,(1-$C$39)/$B$39,IF(H36=$B$39+1,(1/$B39)*(1-$C$39)-$G$37,0))</f>
        <v>0.03</v>
      </c>
      <c r="I37" s="406" t="n">
        <f aca="false">IF(I36&lt;=$B$39,(1-$C$39)/$B$39,IF(I36=$B$39+1,(1/$B39)*(1-$C$39)-$G$37,0))</f>
        <v>0.03</v>
      </c>
      <c r="J37" s="406" t="n">
        <f aca="false">IF(J36&lt;=$B$39,(1-$C$39)/$B$39,IF(J36=$B$39+1,(1/$B39)*(1-$C$39)-$G$37,0))</f>
        <v>0.03</v>
      </c>
      <c r="K37" s="406" t="n">
        <f aca="false">IF(K36&lt;=$B$39,(1-$C$39)/$B$39,IF(K36=$B$39+1,(1/$B39)*(1-$C$39)-$G$37,0))</f>
        <v>0.03</v>
      </c>
      <c r="L37" s="406" t="n">
        <f aca="false">IF(L36&lt;=$B$39,(1-$C$39)/$B$39,IF(L36=$B$39+1,(1/$B39)*(1-$C$39)-$G$37,0))</f>
        <v>0.03</v>
      </c>
      <c r="M37" s="406" t="n">
        <f aca="false">IF(M36&lt;=$B$39,(1-$C$39)/$B$39,IF(M36=$B$39+1,(1/$B39)*(1-$C$39)-$G$37,0))</f>
        <v>0.03</v>
      </c>
      <c r="N37" s="406" t="n">
        <f aca="false">IF(N36&lt;=$B$39,(1-$C$39)/$B$39,IF(N36=$B$39+1,(1/$B39)*(1-$C$39)-$G$37,0))</f>
        <v>0.03</v>
      </c>
      <c r="O37" s="406" t="n">
        <f aca="false">IF(O36&lt;=$B$39,(1-$C$39)/$B$39,IF(O36=$B$39+1,(1/$B39)*(1-$C$39)-$G$37,0))</f>
        <v>0.03</v>
      </c>
      <c r="P37" s="406" t="n">
        <f aca="false">IF(P36&lt;=$B$39,(1-$C$39)/$B$39,IF(P36=$B$39+1,(1/$B39)*(1-$C$39)-$G$37,0))</f>
        <v>0.03</v>
      </c>
      <c r="Q37" s="406" t="n">
        <f aca="false">IF(Q36&lt;=$B$39,(1-$C$39)/$B$39,IF(Q36=$B$39+1,(1/$B39)*(1-$C$39)-$G$37,0))</f>
        <v>0.03</v>
      </c>
      <c r="R37" s="406" t="n">
        <f aca="false">IF(R36&lt;=$B$39,(1-$C$39)/$B$39,IF(R36=$B$39+1,(1/$B39)*(1-$C$39)-$G$37,0))</f>
        <v>0.03</v>
      </c>
      <c r="S37" s="406" t="n">
        <f aca="false">IF(S36&lt;=$B$39,(1-$C$39)/$B$39,IF(S36=$B$39+1,(1/$B39)*(1-$C$39)-$G$37,0))</f>
        <v>0.03</v>
      </c>
      <c r="T37" s="406" t="n">
        <f aca="false">IF(T36&lt;=$B$39,(1-$C$39)/$B$39,IF(T36=$B$39+1,(1/$B39)*(1-$C$39)-$G$37,0))</f>
        <v>0.03</v>
      </c>
      <c r="U37" s="406" t="n">
        <f aca="false">IF(U36&lt;=$B$39,(1-$C$39)/$B$39,IF(U36=$B$39+1,(1/$B39)*(1-$C$39)-$G$37,0))</f>
        <v>0.03</v>
      </c>
      <c r="V37" s="406" t="n">
        <f aca="false">IF(V36&lt;=$B$39,(1-$C$39)/$B$39,IF(V36=$B$39+1,(1/$B39)*(1-$C$39)-$G$37,0))</f>
        <v>0.03</v>
      </c>
      <c r="W37" s="406" t="n">
        <f aca="false">IF(W36&lt;=$B$39,(1-$C$39)/$B$39,IF(W36=$B$39+1,(1/$B39)*(1-$C$39)-$G$37,0))</f>
        <v>0.03</v>
      </c>
      <c r="X37" s="406" t="n">
        <f aca="false">IF(X36&lt;=$B$39,(1-$C$39)/$B$39,IF(X36=$B$39+1,(1/$B39)*(1-$C$39)-$G$37,0))</f>
        <v>0.03</v>
      </c>
      <c r="Y37" s="406" t="n">
        <f aca="false">IF(Y36&lt;=$B$39,(1-$C$39)/$B$39,IF(Y36=$B$39+1,(1/$B39)*(1-$C$39)-$G$37,0))</f>
        <v>0.03</v>
      </c>
      <c r="Z37" s="406" t="n">
        <f aca="false">IF(Z36&lt;=$B$39,(1-$C$39)/$B$39,IF(Z36=$B$39+1,(1/$B39)*(1-$C$39)-$G$37,0))</f>
        <v>0.03</v>
      </c>
      <c r="AA37" s="406" t="n">
        <f aca="false">IF(AA36&lt;=$B$39,(1-$C$39)/$B$39,IF(AA36=$B$39+1,(1/$B39)*(1-$C$39)-$G$37,0))</f>
        <v>0.03</v>
      </c>
      <c r="AB37" s="406" t="n">
        <f aca="false">IF(AB36&lt;=$B$39,(1-$C$39)/$B$39,IF(AB36=$B$39+1,(1/$B39)*(1-$C$39)-$G$37,0))</f>
        <v>0.03</v>
      </c>
      <c r="AC37" s="406" t="n">
        <f aca="false">IF(AC36&lt;=$B$39,(1-$C$39)/$B$39,IF(AC36=$B$39+1,(1/$B39)*(1-$C$39)-$G$37,0))</f>
        <v>0.03</v>
      </c>
      <c r="AD37" s="584"/>
      <c r="AE37" s="584"/>
      <c r="AF37" s="586"/>
      <c r="AG37" s="586"/>
      <c r="AH37" s="586"/>
      <c r="AI37" s="586"/>
      <c r="AJ37" s="586"/>
      <c r="AK37" s="586"/>
      <c r="AL37" s="586"/>
      <c r="AM37" s="586"/>
      <c r="AN37" s="586"/>
      <c r="AO37" s="586"/>
      <c r="AP37" s="586"/>
      <c r="AQ37" s="586"/>
      <c r="AR37" s="586"/>
      <c r="AS37" s="586"/>
      <c r="AT37" s="586"/>
      <c r="AU37" s="586"/>
      <c r="AV37" s="586"/>
      <c r="AW37" s="586"/>
      <c r="AX37" s="586"/>
      <c r="AY37" s="586"/>
      <c r="AZ37" s="586"/>
      <c r="BA37" s="586"/>
      <c r="BB37" s="586"/>
      <c r="BC37" s="586"/>
      <c r="BD37" s="586"/>
      <c r="BE37" s="586"/>
      <c r="BF37" s="586"/>
      <c r="BG37" s="586"/>
      <c r="BH37" s="586"/>
      <c r="BI37" s="586"/>
      <c r="BJ37" s="586"/>
      <c r="BK37" s="586"/>
      <c r="BL37" s="586"/>
      <c r="BM37" s="586"/>
      <c r="BN37" s="586"/>
      <c r="BO37" s="586"/>
      <c r="BP37" s="586"/>
      <c r="BQ37" s="586"/>
      <c r="BR37" s="586"/>
      <c r="BS37" s="586"/>
      <c r="BT37" s="586"/>
      <c r="BU37" s="586"/>
      <c r="BV37" s="586"/>
      <c r="BW37" s="586"/>
      <c r="BX37" s="586"/>
      <c r="BY37" s="586"/>
      <c r="BZ37" s="586"/>
      <c r="CA37" s="586"/>
      <c r="CB37" s="586"/>
      <c r="CC37" s="586"/>
      <c r="CD37" s="586"/>
      <c r="CE37" s="586"/>
      <c r="CF37" s="586"/>
      <c r="CG37" s="586"/>
      <c r="CH37" s="586"/>
      <c r="CI37" s="586"/>
      <c r="CJ37" s="586"/>
      <c r="CK37" s="586"/>
      <c r="CL37" s="586"/>
      <c r="CM37" s="586"/>
      <c r="CN37" s="586"/>
      <c r="CO37" s="586"/>
      <c r="CP37" s="586"/>
      <c r="CQ37" s="586"/>
      <c r="CR37" s="586"/>
      <c r="CS37" s="586"/>
      <c r="CT37" s="586"/>
      <c r="CU37" s="586"/>
      <c r="CV37" s="586"/>
      <c r="CW37" s="586"/>
      <c r="CX37" s="586"/>
      <c r="CY37" s="586"/>
      <c r="CZ37" s="586"/>
      <c r="DA37" s="586"/>
      <c r="DB37" s="586"/>
      <c r="DC37" s="586"/>
      <c r="DD37" s="586"/>
      <c r="DE37" s="586"/>
      <c r="DF37" s="586"/>
      <c r="DG37" s="586"/>
      <c r="DH37" s="586"/>
      <c r="DI37" s="586"/>
      <c r="DJ37" s="586"/>
      <c r="DK37" s="586"/>
      <c r="DL37" s="586"/>
      <c r="DM37" s="586"/>
      <c r="DN37" s="586"/>
      <c r="DO37" s="586"/>
      <c r="DP37" s="586"/>
      <c r="DQ37" s="586"/>
      <c r="DR37" s="586"/>
      <c r="DS37" s="586"/>
      <c r="DT37" s="586"/>
      <c r="DU37" s="586"/>
      <c r="DV37" s="586"/>
      <c r="DW37" s="586"/>
      <c r="DX37" s="586"/>
      <c r="DY37" s="586"/>
      <c r="DZ37" s="586"/>
      <c r="EA37" s="586"/>
      <c r="EB37" s="586"/>
      <c r="EC37" s="586"/>
      <c r="ED37" s="586"/>
      <c r="EE37" s="586"/>
      <c r="EF37" s="586"/>
      <c r="EG37" s="586"/>
      <c r="EH37" s="586"/>
      <c r="EI37" s="586"/>
      <c r="EJ37" s="586"/>
      <c r="EK37" s="586"/>
      <c r="EL37" s="586"/>
      <c r="EM37" s="586"/>
      <c r="EN37" s="586"/>
      <c r="EO37" s="586"/>
      <c r="EP37" s="586"/>
      <c r="EQ37" s="586"/>
      <c r="ER37" s="586"/>
      <c r="ES37" s="586"/>
      <c r="ET37" s="586"/>
      <c r="EU37" s="586"/>
      <c r="EV37" s="586"/>
      <c r="EW37" s="586"/>
      <c r="EX37" s="586"/>
      <c r="EY37" s="586"/>
      <c r="EZ37" s="586"/>
      <c r="FA37" s="586"/>
      <c r="FB37" s="586"/>
      <c r="FC37" s="586"/>
      <c r="FD37" s="586"/>
      <c r="FE37" s="586"/>
      <c r="FF37" s="586"/>
      <c r="FG37" s="586"/>
      <c r="FH37" s="586"/>
      <c r="FI37" s="586"/>
      <c r="FJ37" s="586"/>
      <c r="FK37" s="586"/>
      <c r="FL37" s="586"/>
      <c r="FM37" s="586"/>
      <c r="FN37" s="586"/>
      <c r="FO37" s="586"/>
      <c r="FP37" s="586"/>
      <c r="FQ37" s="586"/>
      <c r="FR37" s="586"/>
      <c r="FS37" s="586"/>
      <c r="FT37" s="586"/>
      <c r="FU37" s="586"/>
      <c r="FV37" s="586"/>
      <c r="FW37" s="586"/>
      <c r="FX37" s="586"/>
      <c r="FY37" s="586"/>
      <c r="FZ37" s="586"/>
      <c r="GA37" s="586"/>
      <c r="GB37" s="586"/>
      <c r="GC37" s="586"/>
      <c r="GD37" s="586"/>
      <c r="GE37" s="586"/>
      <c r="GF37" s="586"/>
      <c r="GG37" s="586"/>
      <c r="GH37" s="586"/>
      <c r="GI37" s="586"/>
      <c r="GJ37" s="586"/>
      <c r="GK37" s="586"/>
      <c r="GL37" s="586"/>
      <c r="GM37" s="586"/>
      <c r="GN37" s="586"/>
      <c r="GO37" s="586"/>
      <c r="GP37" s="586"/>
      <c r="GQ37" s="586"/>
      <c r="GR37" s="586"/>
      <c r="GS37" s="586"/>
      <c r="GT37" s="586"/>
      <c r="GU37" s="586"/>
      <c r="GV37" s="586"/>
      <c r="GW37" s="586"/>
      <c r="GX37" s="586"/>
      <c r="GY37" s="586"/>
      <c r="GZ37" s="586"/>
      <c r="HA37" s="586"/>
      <c r="HB37" s="586"/>
      <c r="HC37" s="586"/>
      <c r="HD37" s="586"/>
      <c r="HE37" s="586"/>
      <c r="HF37" s="586"/>
      <c r="HG37" s="586"/>
      <c r="HH37" s="586"/>
      <c r="HI37" s="586"/>
      <c r="HJ37" s="586"/>
      <c r="HK37" s="586"/>
      <c r="HL37" s="586"/>
      <c r="HM37" s="586"/>
      <c r="HN37" s="586"/>
      <c r="HO37" s="586"/>
      <c r="HP37" s="586"/>
      <c r="HQ37" s="586"/>
      <c r="HR37" s="586"/>
      <c r="HS37" s="586"/>
      <c r="HT37" s="586"/>
      <c r="HU37" s="586"/>
      <c r="HV37" s="586"/>
      <c r="HW37" s="586"/>
      <c r="HX37" s="586"/>
      <c r="HY37" s="586"/>
      <c r="HZ37" s="586"/>
      <c r="IA37" s="586"/>
      <c r="IB37" s="586"/>
      <c r="IC37" s="586"/>
      <c r="ID37" s="586"/>
      <c r="IE37" s="586"/>
      <c r="IF37" s="586"/>
      <c r="IG37" s="586"/>
      <c r="IH37" s="586"/>
      <c r="II37" s="586"/>
      <c r="IJ37" s="586"/>
      <c r="IK37" s="586"/>
      <c r="IL37" s="586"/>
      <c r="IM37" s="586"/>
      <c r="IN37" s="586"/>
      <c r="IO37" s="586"/>
      <c r="IP37" s="586"/>
      <c r="IQ37" s="586"/>
      <c r="IR37" s="586"/>
      <c r="IS37" s="586"/>
      <c r="IT37" s="586"/>
      <c r="IU37" s="586"/>
      <c r="IV37" s="586"/>
      <c r="IW37" s="586"/>
    </row>
    <row r="38" customFormat="false" ht="12.75" hidden="false" customHeight="false" outlineLevel="0" collapsed="false">
      <c r="A38" s="581"/>
      <c r="B38" s="587" t="s">
        <v>415</v>
      </c>
      <c r="C38" s="612" t="s">
        <v>423</v>
      </c>
      <c r="G38" s="406" t="n">
        <f aca="false">G16</f>
        <v>0</v>
      </c>
      <c r="H38" s="406" t="n">
        <f aca="false">H16</f>
        <v>0.05</v>
      </c>
      <c r="I38" s="406" t="n">
        <f aca="false">I16</f>
        <v>0.05</v>
      </c>
      <c r="J38" s="406" t="n">
        <f aca="false">J16</f>
        <v>0.05</v>
      </c>
      <c r="K38" s="406" t="n">
        <f aca="false">K16</f>
        <v>0.05</v>
      </c>
      <c r="L38" s="406" t="n">
        <f aca="false">L16</f>
        <v>0.05</v>
      </c>
      <c r="M38" s="406" t="n">
        <f aca="false">M16</f>
        <v>0.05</v>
      </c>
      <c r="N38" s="406" t="n">
        <f aca="false">N16</f>
        <v>0.05</v>
      </c>
      <c r="O38" s="406" t="n">
        <f aca="false">O16</f>
        <v>0.05</v>
      </c>
      <c r="P38" s="406" t="n">
        <f aca="false">P16</f>
        <v>0.05</v>
      </c>
      <c r="Q38" s="406" t="n">
        <f aca="false">Q16</f>
        <v>0.05</v>
      </c>
      <c r="R38" s="406" t="n">
        <f aca="false">R16</f>
        <v>0.05</v>
      </c>
      <c r="S38" s="406" t="n">
        <f aca="false">S16</f>
        <v>0.05</v>
      </c>
      <c r="T38" s="406" t="n">
        <f aca="false">T16</f>
        <v>0.05</v>
      </c>
      <c r="U38" s="406" t="n">
        <f aca="false">U16</f>
        <v>0.05</v>
      </c>
      <c r="V38" s="406" t="n">
        <f aca="false">V16</f>
        <v>0.05</v>
      </c>
      <c r="W38" s="406" t="n">
        <f aca="false">W16</f>
        <v>0.05</v>
      </c>
      <c r="X38" s="406" t="n">
        <f aca="false">X16</f>
        <v>0.05</v>
      </c>
      <c r="Y38" s="406" t="n">
        <f aca="false">Y16</f>
        <v>0.05</v>
      </c>
      <c r="Z38" s="406" t="n">
        <f aca="false">Z16</f>
        <v>0.05</v>
      </c>
      <c r="AA38" s="406" t="n">
        <f aca="false">AA16</f>
        <v>0.05</v>
      </c>
      <c r="AB38" s="406" t="n">
        <f aca="false">AB16</f>
        <v>0</v>
      </c>
      <c r="AC38" s="406" t="n">
        <f aca="false">AC16</f>
        <v>0</v>
      </c>
      <c r="AD38" s="584"/>
      <c r="AE38" s="584"/>
      <c r="AF38" s="586"/>
      <c r="AG38" s="586"/>
      <c r="AH38" s="586"/>
      <c r="AI38" s="586"/>
      <c r="AJ38" s="586"/>
      <c r="AK38" s="586"/>
      <c r="AL38" s="586"/>
      <c r="AM38" s="586"/>
      <c r="AN38" s="586"/>
      <c r="AO38" s="586"/>
      <c r="AP38" s="586"/>
      <c r="AQ38" s="586"/>
      <c r="AR38" s="586"/>
      <c r="AS38" s="586"/>
      <c r="AT38" s="586"/>
      <c r="AU38" s="586"/>
      <c r="AV38" s="586"/>
      <c r="AW38" s="586"/>
      <c r="AX38" s="586"/>
      <c r="AY38" s="586"/>
      <c r="AZ38" s="586"/>
      <c r="BA38" s="586"/>
      <c r="BB38" s="586"/>
      <c r="BC38" s="586"/>
      <c r="BD38" s="586"/>
      <c r="BE38" s="586"/>
      <c r="BF38" s="586"/>
      <c r="BG38" s="586"/>
      <c r="BH38" s="586"/>
      <c r="BI38" s="586"/>
      <c r="BJ38" s="586"/>
      <c r="BK38" s="586"/>
      <c r="BL38" s="586"/>
      <c r="BM38" s="586"/>
      <c r="BN38" s="586"/>
      <c r="BO38" s="586"/>
      <c r="BP38" s="586"/>
      <c r="BQ38" s="586"/>
      <c r="BR38" s="586"/>
      <c r="BS38" s="586"/>
      <c r="BT38" s="586"/>
      <c r="BU38" s="586"/>
      <c r="BV38" s="586"/>
      <c r="BW38" s="586"/>
      <c r="BX38" s="586"/>
      <c r="BY38" s="586"/>
      <c r="BZ38" s="586"/>
      <c r="CA38" s="586"/>
      <c r="CB38" s="586"/>
      <c r="CC38" s="586"/>
      <c r="CD38" s="586"/>
      <c r="CE38" s="586"/>
      <c r="CF38" s="586"/>
      <c r="CG38" s="586"/>
      <c r="CH38" s="586"/>
      <c r="CI38" s="586"/>
      <c r="CJ38" s="586"/>
      <c r="CK38" s="586"/>
      <c r="CL38" s="586"/>
      <c r="CM38" s="586"/>
      <c r="CN38" s="586"/>
      <c r="CO38" s="586"/>
      <c r="CP38" s="586"/>
      <c r="CQ38" s="586"/>
      <c r="CR38" s="586"/>
      <c r="CS38" s="586"/>
      <c r="CT38" s="586"/>
      <c r="CU38" s="586"/>
      <c r="CV38" s="586"/>
      <c r="CW38" s="586"/>
      <c r="CX38" s="586"/>
      <c r="CY38" s="586"/>
      <c r="CZ38" s="586"/>
      <c r="DA38" s="586"/>
      <c r="DB38" s="586"/>
      <c r="DC38" s="586"/>
      <c r="DD38" s="586"/>
      <c r="DE38" s="586"/>
      <c r="DF38" s="586"/>
      <c r="DG38" s="586"/>
      <c r="DH38" s="586"/>
      <c r="DI38" s="586"/>
      <c r="DJ38" s="586"/>
      <c r="DK38" s="586"/>
      <c r="DL38" s="586"/>
      <c r="DM38" s="586"/>
      <c r="DN38" s="586"/>
      <c r="DO38" s="586"/>
      <c r="DP38" s="586"/>
      <c r="DQ38" s="586"/>
      <c r="DR38" s="586"/>
      <c r="DS38" s="586"/>
      <c r="DT38" s="586"/>
      <c r="DU38" s="586"/>
      <c r="DV38" s="586"/>
      <c r="DW38" s="586"/>
      <c r="DX38" s="586"/>
      <c r="DY38" s="586"/>
      <c r="DZ38" s="586"/>
      <c r="EA38" s="586"/>
      <c r="EB38" s="586"/>
      <c r="EC38" s="586"/>
      <c r="ED38" s="586"/>
      <c r="EE38" s="586"/>
      <c r="EF38" s="586"/>
      <c r="EG38" s="586"/>
      <c r="EH38" s="586"/>
      <c r="EI38" s="586"/>
      <c r="EJ38" s="586"/>
      <c r="EK38" s="586"/>
      <c r="EL38" s="586"/>
      <c r="EM38" s="586"/>
      <c r="EN38" s="586"/>
      <c r="EO38" s="586"/>
      <c r="EP38" s="586"/>
      <c r="EQ38" s="586"/>
      <c r="ER38" s="586"/>
      <c r="ES38" s="586"/>
      <c r="ET38" s="586"/>
      <c r="EU38" s="586"/>
      <c r="EV38" s="586"/>
      <c r="EW38" s="586"/>
      <c r="EX38" s="586"/>
      <c r="EY38" s="586"/>
      <c r="EZ38" s="586"/>
      <c r="FA38" s="586"/>
      <c r="FB38" s="586"/>
      <c r="FC38" s="586"/>
      <c r="FD38" s="586"/>
      <c r="FE38" s="586"/>
      <c r="FF38" s="586"/>
      <c r="FG38" s="586"/>
      <c r="FH38" s="586"/>
      <c r="FI38" s="586"/>
      <c r="FJ38" s="586"/>
      <c r="FK38" s="586"/>
      <c r="FL38" s="586"/>
      <c r="FM38" s="586"/>
      <c r="FN38" s="586"/>
      <c r="FO38" s="586"/>
      <c r="FP38" s="586"/>
      <c r="FQ38" s="586"/>
      <c r="FR38" s="586"/>
      <c r="FS38" s="586"/>
      <c r="FT38" s="586"/>
      <c r="FU38" s="586"/>
      <c r="FV38" s="586"/>
      <c r="FW38" s="586"/>
      <c r="FX38" s="586"/>
      <c r="FY38" s="586"/>
      <c r="FZ38" s="586"/>
      <c r="GA38" s="586"/>
      <c r="GB38" s="586"/>
      <c r="GC38" s="586"/>
      <c r="GD38" s="586"/>
      <c r="GE38" s="586"/>
      <c r="GF38" s="586"/>
      <c r="GG38" s="586"/>
      <c r="GH38" s="586"/>
      <c r="GI38" s="586"/>
      <c r="GJ38" s="586"/>
      <c r="GK38" s="586"/>
      <c r="GL38" s="586"/>
      <c r="GM38" s="586"/>
      <c r="GN38" s="586"/>
      <c r="GO38" s="586"/>
      <c r="GP38" s="586"/>
      <c r="GQ38" s="586"/>
      <c r="GR38" s="586"/>
      <c r="GS38" s="586"/>
      <c r="GT38" s="586"/>
      <c r="GU38" s="586"/>
      <c r="GV38" s="586"/>
      <c r="GW38" s="586"/>
      <c r="GX38" s="586"/>
      <c r="GY38" s="586"/>
      <c r="GZ38" s="586"/>
      <c r="HA38" s="586"/>
      <c r="HB38" s="586"/>
      <c r="HC38" s="586"/>
      <c r="HD38" s="586"/>
      <c r="HE38" s="586"/>
      <c r="HF38" s="586"/>
      <c r="HG38" s="586"/>
      <c r="HH38" s="586"/>
      <c r="HI38" s="586"/>
      <c r="HJ38" s="586"/>
      <c r="HK38" s="586"/>
      <c r="HL38" s="586"/>
      <c r="HM38" s="586"/>
      <c r="HN38" s="586"/>
      <c r="HO38" s="586"/>
      <c r="HP38" s="586"/>
      <c r="HQ38" s="586"/>
      <c r="HR38" s="586"/>
      <c r="HS38" s="586"/>
      <c r="HT38" s="586"/>
      <c r="HU38" s="586"/>
      <c r="HV38" s="586"/>
      <c r="HW38" s="586"/>
      <c r="HX38" s="586"/>
      <c r="HY38" s="586"/>
      <c r="HZ38" s="586"/>
      <c r="IA38" s="586"/>
      <c r="IB38" s="586"/>
      <c r="IC38" s="586"/>
      <c r="ID38" s="586"/>
      <c r="IE38" s="586"/>
      <c r="IF38" s="586"/>
      <c r="IG38" s="586"/>
      <c r="IH38" s="586"/>
      <c r="II38" s="586"/>
      <c r="IJ38" s="586"/>
      <c r="IK38" s="586"/>
      <c r="IL38" s="586"/>
      <c r="IM38" s="586"/>
      <c r="IN38" s="586"/>
      <c r="IO38" s="586"/>
      <c r="IP38" s="586"/>
      <c r="IQ38" s="586"/>
      <c r="IR38" s="586"/>
      <c r="IS38" s="586"/>
      <c r="IT38" s="586"/>
      <c r="IU38" s="586"/>
      <c r="IV38" s="586"/>
      <c r="IW38" s="586"/>
    </row>
    <row r="39" customFormat="false" ht="12.75" hidden="false" customHeight="false" outlineLevel="0" collapsed="false">
      <c r="A39" s="590" t="s">
        <v>424</v>
      </c>
      <c r="B39" s="591" t="n">
        <f aca="false">Assumptions!$D$45</f>
        <v>30</v>
      </c>
      <c r="C39" s="615" t="n">
        <f aca="false">Assumptions!F45</f>
        <v>0.1</v>
      </c>
      <c r="AD39" s="584"/>
      <c r="AE39" s="584"/>
      <c r="AF39" s="586"/>
      <c r="AG39" s="586"/>
      <c r="AH39" s="586"/>
      <c r="AI39" s="586"/>
      <c r="AJ39" s="586"/>
      <c r="AK39" s="586"/>
      <c r="AL39" s="586"/>
      <c r="AM39" s="586"/>
      <c r="AN39" s="586"/>
      <c r="AO39" s="586"/>
      <c r="AP39" s="586"/>
      <c r="AQ39" s="586"/>
      <c r="AR39" s="586"/>
      <c r="AS39" s="586"/>
      <c r="AT39" s="586"/>
      <c r="AU39" s="586"/>
      <c r="AV39" s="586"/>
      <c r="AW39" s="586"/>
      <c r="AX39" s="586"/>
      <c r="AY39" s="586"/>
      <c r="AZ39" s="586"/>
      <c r="BA39" s="586"/>
      <c r="BB39" s="586"/>
      <c r="BC39" s="586"/>
      <c r="BD39" s="586"/>
      <c r="BE39" s="586"/>
      <c r="BF39" s="586"/>
      <c r="BG39" s="586"/>
      <c r="BH39" s="586"/>
      <c r="BI39" s="586"/>
      <c r="BJ39" s="586"/>
      <c r="BK39" s="586"/>
      <c r="BL39" s="586"/>
      <c r="BM39" s="586"/>
      <c r="BN39" s="586"/>
      <c r="BO39" s="586"/>
      <c r="BP39" s="586"/>
      <c r="BQ39" s="586"/>
      <c r="BR39" s="586"/>
      <c r="BS39" s="586"/>
      <c r="BT39" s="586"/>
      <c r="BU39" s="586"/>
      <c r="BV39" s="586"/>
      <c r="BW39" s="586"/>
      <c r="BX39" s="586"/>
      <c r="BY39" s="586"/>
      <c r="BZ39" s="586"/>
      <c r="CA39" s="586"/>
      <c r="CB39" s="586"/>
      <c r="CC39" s="586"/>
      <c r="CD39" s="586"/>
      <c r="CE39" s="586"/>
      <c r="CF39" s="586"/>
      <c r="CG39" s="586"/>
      <c r="CH39" s="586"/>
      <c r="CI39" s="586"/>
      <c r="CJ39" s="586"/>
      <c r="CK39" s="586"/>
      <c r="CL39" s="586"/>
      <c r="CM39" s="586"/>
      <c r="CN39" s="586"/>
      <c r="CO39" s="586"/>
      <c r="CP39" s="586"/>
      <c r="CQ39" s="586"/>
      <c r="CR39" s="586"/>
      <c r="CS39" s="586"/>
      <c r="CT39" s="586"/>
      <c r="CU39" s="586"/>
      <c r="CV39" s="586"/>
      <c r="CW39" s="586"/>
      <c r="CX39" s="586"/>
      <c r="CY39" s="586"/>
      <c r="CZ39" s="586"/>
      <c r="DA39" s="586"/>
      <c r="DB39" s="586"/>
      <c r="DC39" s="586"/>
      <c r="DD39" s="586"/>
      <c r="DE39" s="586"/>
      <c r="DF39" s="586"/>
      <c r="DG39" s="586"/>
      <c r="DH39" s="586"/>
      <c r="DI39" s="586"/>
      <c r="DJ39" s="586"/>
      <c r="DK39" s="586"/>
      <c r="DL39" s="586"/>
      <c r="DM39" s="586"/>
      <c r="DN39" s="586"/>
      <c r="DO39" s="586"/>
      <c r="DP39" s="586"/>
      <c r="DQ39" s="586"/>
      <c r="DR39" s="586"/>
      <c r="DS39" s="586"/>
      <c r="DT39" s="586"/>
      <c r="DU39" s="586"/>
      <c r="DV39" s="586"/>
      <c r="DW39" s="586"/>
      <c r="DX39" s="586"/>
      <c r="DY39" s="586"/>
      <c r="DZ39" s="586"/>
      <c r="EA39" s="586"/>
      <c r="EB39" s="586"/>
      <c r="EC39" s="586"/>
      <c r="ED39" s="586"/>
      <c r="EE39" s="586"/>
      <c r="EF39" s="586"/>
      <c r="EG39" s="586"/>
      <c r="EH39" s="586"/>
      <c r="EI39" s="586"/>
      <c r="EJ39" s="586"/>
      <c r="EK39" s="586"/>
      <c r="EL39" s="586"/>
      <c r="EM39" s="586"/>
      <c r="EN39" s="586"/>
      <c r="EO39" s="586"/>
      <c r="EP39" s="586"/>
      <c r="EQ39" s="586"/>
      <c r="ER39" s="586"/>
      <c r="ES39" s="586"/>
      <c r="ET39" s="586"/>
      <c r="EU39" s="586"/>
      <c r="EV39" s="586"/>
      <c r="EW39" s="586"/>
      <c r="EX39" s="586"/>
      <c r="EY39" s="586"/>
      <c r="EZ39" s="586"/>
      <c r="FA39" s="586"/>
      <c r="FB39" s="586"/>
      <c r="FC39" s="586"/>
      <c r="FD39" s="586"/>
      <c r="FE39" s="586"/>
      <c r="FF39" s="586"/>
      <c r="FG39" s="586"/>
      <c r="FH39" s="586"/>
      <c r="FI39" s="586"/>
      <c r="FJ39" s="586"/>
      <c r="FK39" s="586"/>
      <c r="FL39" s="586"/>
      <c r="FM39" s="586"/>
      <c r="FN39" s="586"/>
      <c r="FO39" s="586"/>
      <c r="FP39" s="586"/>
      <c r="FQ39" s="586"/>
      <c r="FR39" s="586"/>
      <c r="FS39" s="586"/>
      <c r="FT39" s="586"/>
      <c r="FU39" s="586"/>
      <c r="FV39" s="586"/>
      <c r="FW39" s="586"/>
      <c r="FX39" s="586"/>
      <c r="FY39" s="586"/>
      <c r="FZ39" s="586"/>
      <c r="GA39" s="586"/>
      <c r="GB39" s="586"/>
      <c r="GC39" s="586"/>
      <c r="GD39" s="586"/>
      <c r="GE39" s="586"/>
      <c r="GF39" s="586"/>
      <c r="GG39" s="586"/>
      <c r="GH39" s="586"/>
      <c r="GI39" s="586"/>
      <c r="GJ39" s="586"/>
      <c r="GK39" s="586"/>
      <c r="GL39" s="586"/>
      <c r="GM39" s="586"/>
      <c r="GN39" s="586"/>
      <c r="GO39" s="586"/>
      <c r="GP39" s="586"/>
      <c r="GQ39" s="586"/>
      <c r="GR39" s="586"/>
      <c r="GS39" s="586"/>
      <c r="GT39" s="586"/>
      <c r="GU39" s="586"/>
      <c r="GV39" s="586"/>
      <c r="GW39" s="586"/>
      <c r="GX39" s="586"/>
      <c r="GY39" s="586"/>
      <c r="GZ39" s="586"/>
      <c r="HA39" s="586"/>
      <c r="HB39" s="586"/>
      <c r="HC39" s="586"/>
      <c r="HD39" s="586"/>
      <c r="HE39" s="586"/>
      <c r="HF39" s="586"/>
      <c r="HG39" s="586"/>
      <c r="HH39" s="586"/>
      <c r="HI39" s="586"/>
      <c r="HJ39" s="586"/>
      <c r="HK39" s="586"/>
      <c r="HL39" s="586"/>
      <c r="HM39" s="586"/>
      <c r="HN39" s="586"/>
      <c r="HO39" s="586"/>
      <c r="HP39" s="586"/>
      <c r="HQ39" s="586"/>
      <c r="HR39" s="586"/>
      <c r="HS39" s="586"/>
      <c r="HT39" s="586"/>
      <c r="HU39" s="586"/>
      <c r="HV39" s="586"/>
      <c r="HW39" s="586"/>
      <c r="HX39" s="586"/>
      <c r="HY39" s="586"/>
      <c r="HZ39" s="586"/>
      <c r="IA39" s="586"/>
      <c r="IB39" s="586"/>
      <c r="IC39" s="586"/>
      <c r="ID39" s="586"/>
      <c r="IE39" s="586"/>
      <c r="IF39" s="586"/>
      <c r="IG39" s="586"/>
      <c r="IH39" s="586"/>
      <c r="II39" s="586"/>
      <c r="IJ39" s="586"/>
      <c r="IK39" s="586"/>
      <c r="IL39" s="586"/>
      <c r="IM39" s="586"/>
      <c r="IN39" s="586"/>
      <c r="IO39" s="586"/>
      <c r="IP39" s="586"/>
      <c r="IQ39" s="586"/>
      <c r="IR39" s="586"/>
      <c r="IS39" s="586"/>
      <c r="IT39" s="586"/>
      <c r="IU39" s="586"/>
      <c r="IV39" s="586"/>
      <c r="IW39" s="586"/>
    </row>
    <row r="40" customFormat="false" ht="12.75" hidden="false" customHeight="false" outlineLevel="0" collapsed="false">
      <c r="A40" s="593" t="s">
        <v>417</v>
      </c>
      <c r="B40" s="597" t="n">
        <f aca="false">Assumptions!$D$46</f>
        <v>20</v>
      </c>
      <c r="D40" s="599"/>
      <c r="E40" s="599"/>
      <c r="F40" s="599"/>
      <c r="G40" s="598" t="n">
        <f aca="false">G37*$B$42</f>
        <v>0</v>
      </c>
      <c r="H40" s="598" t="n">
        <f aca="false">H37*$B$42</f>
        <v>14535.38658</v>
      </c>
      <c r="I40" s="598" t="n">
        <f aca="false">I37*$B$42</f>
        <v>14535.38658</v>
      </c>
      <c r="J40" s="598" t="n">
        <f aca="false">J37*$B$42</f>
        <v>14535.38658</v>
      </c>
      <c r="K40" s="598" t="n">
        <f aca="false">K37*$B$42</f>
        <v>14535.38658</v>
      </c>
      <c r="L40" s="598" t="n">
        <f aca="false">L37*$B$42</f>
        <v>14535.38658</v>
      </c>
      <c r="M40" s="598" t="n">
        <f aca="false">M37*$B$42</f>
        <v>14535.38658</v>
      </c>
      <c r="N40" s="598" t="n">
        <f aca="false">N37*$B$42</f>
        <v>14535.38658</v>
      </c>
      <c r="O40" s="598" t="n">
        <f aca="false">O37*$B$42</f>
        <v>14535.38658</v>
      </c>
      <c r="P40" s="598" t="n">
        <f aca="false">P37*$B$42</f>
        <v>14535.38658</v>
      </c>
      <c r="Q40" s="598" t="n">
        <f aca="false">Q37*$B$42</f>
        <v>14535.38658</v>
      </c>
      <c r="R40" s="598" t="n">
        <f aca="false">R37*$B$42</f>
        <v>14535.38658</v>
      </c>
      <c r="S40" s="598" t="n">
        <f aca="false">S37*$B$42</f>
        <v>14535.38658</v>
      </c>
      <c r="T40" s="598" t="n">
        <f aca="false">T37*$B$42</f>
        <v>14535.38658</v>
      </c>
      <c r="U40" s="598" t="n">
        <f aca="false">U37*$B$42</f>
        <v>14535.38658</v>
      </c>
      <c r="V40" s="598" t="n">
        <f aca="false">V37*$B$42</f>
        <v>14535.38658</v>
      </c>
      <c r="W40" s="598" t="n">
        <f aca="false">W37*$B$42</f>
        <v>14535.38658</v>
      </c>
      <c r="X40" s="598" t="n">
        <f aca="false">X37*$B$42</f>
        <v>14535.38658</v>
      </c>
      <c r="Y40" s="598" t="n">
        <f aca="false">Y37*$B$42</f>
        <v>14535.38658</v>
      </c>
      <c r="Z40" s="598" t="n">
        <f aca="false">Z37*$B$42</f>
        <v>14535.38658</v>
      </c>
      <c r="AA40" s="598" t="n">
        <f aca="false">AA37*$B$42</f>
        <v>14535.38658</v>
      </c>
      <c r="AB40" s="598" t="n">
        <f aca="false">AB37*$B$42</f>
        <v>14535.38658</v>
      </c>
      <c r="AC40" s="598" t="n">
        <f aca="false">AC37*$B$42</f>
        <v>14535.38658</v>
      </c>
      <c r="AD40" s="584"/>
      <c r="AE40" s="584"/>
      <c r="AF40" s="586"/>
      <c r="AG40" s="586"/>
      <c r="AH40" s="586"/>
      <c r="AI40" s="586"/>
      <c r="AJ40" s="586"/>
      <c r="AK40" s="586"/>
      <c r="AL40" s="586"/>
      <c r="AM40" s="586"/>
      <c r="AN40" s="586"/>
      <c r="AO40" s="586"/>
      <c r="AP40" s="586"/>
      <c r="AQ40" s="586"/>
      <c r="AR40" s="586"/>
      <c r="AS40" s="586"/>
      <c r="AT40" s="586"/>
      <c r="AU40" s="586"/>
      <c r="AV40" s="586"/>
      <c r="AW40" s="586"/>
      <c r="AX40" s="586"/>
      <c r="AY40" s="586"/>
      <c r="AZ40" s="586"/>
      <c r="BA40" s="586"/>
      <c r="BB40" s="586"/>
      <c r="BC40" s="586"/>
      <c r="BD40" s="586"/>
      <c r="BE40" s="586"/>
      <c r="BF40" s="586"/>
      <c r="BG40" s="586"/>
      <c r="BH40" s="586"/>
      <c r="BI40" s="586"/>
      <c r="BJ40" s="586"/>
      <c r="BK40" s="586"/>
      <c r="BL40" s="586"/>
      <c r="BM40" s="586"/>
      <c r="BN40" s="586"/>
      <c r="BO40" s="586"/>
      <c r="BP40" s="586"/>
      <c r="BQ40" s="586"/>
      <c r="BR40" s="586"/>
      <c r="BS40" s="586"/>
      <c r="BT40" s="586"/>
      <c r="BU40" s="586"/>
      <c r="BV40" s="586"/>
      <c r="BW40" s="586"/>
      <c r="BX40" s="586"/>
      <c r="BY40" s="586"/>
      <c r="BZ40" s="586"/>
      <c r="CA40" s="586"/>
      <c r="CB40" s="586"/>
      <c r="CC40" s="586"/>
      <c r="CD40" s="586"/>
      <c r="CE40" s="586"/>
      <c r="CF40" s="586"/>
      <c r="CG40" s="586"/>
      <c r="CH40" s="586"/>
      <c r="CI40" s="586"/>
      <c r="CJ40" s="586"/>
      <c r="CK40" s="586"/>
      <c r="CL40" s="586"/>
      <c r="CM40" s="586"/>
      <c r="CN40" s="586"/>
      <c r="CO40" s="586"/>
      <c r="CP40" s="586"/>
      <c r="CQ40" s="586"/>
      <c r="CR40" s="586"/>
      <c r="CS40" s="586"/>
      <c r="CT40" s="586"/>
      <c r="CU40" s="586"/>
      <c r="CV40" s="586"/>
      <c r="CW40" s="586"/>
      <c r="CX40" s="586"/>
      <c r="CY40" s="586"/>
      <c r="CZ40" s="586"/>
      <c r="DA40" s="586"/>
      <c r="DB40" s="586"/>
      <c r="DC40" s="586"/>
      <c r="DD40" s="586"/>
      <c r="DE40" s="586"/>
      <c r="DF40" s="586"/>
      <c r="DG40" s="586"/>
      <c r="DH40" s="586"/>
      <c r="DI40" s="586"/>
      <c r="DJ40" s="586"/>
      <c r="DK40" s="586"/>
      <c r="DL40" s="586"/>
      <c r="DM40" s="586"/>
      <c r="DN40" s="586"/>
      <c r="DO40" s="586"/>
      <c r="DP40" s="586"/>
      <c r="DQ40" s="586"/>
      <c r="DR40" s="586"/>
      <c r="DS40" s="586"/>
      <c r="DT40" s="586"/>
      <c r="DU40" s="586"/>
      <c r="DV40" s="586"/>
      <c r="DW40" s="586"/>
      <c r="DX40" s="586"/>
      <c r="DY40" s="586"/>
      <c r="DZ40" s="586"/>
      <c r="EA40" s="586"/>
      <c r="EB40" s="586"/>
      <c r="EC40" s="586"/>
      <c r="ED40" s="586"/>
      <c r="EE40" s="586"/>
      <c r="EF40" s="586"/>
      <c r="EG40" s="586"/>
      <c r="EH40" s="586"/>
      <c r="EI40" s="586"/>
      <c r="EJ40" s="586"/>
      <c r="EK40" s="586"/>
      <c r="EL40" s="586"/>
      <c r="EM40" s="586"/>
      <c r="EN40" s="586"/>
      <c r="EO40" s="586"/>
      <c r="EP40" s="586"/>
      <c r="EQ40" s="586"/>
      <c r="ER40" s="586"/>
      <c r="ES40" s="586"/>
      <c r="ET40" s="586"/>
      <c r="EU40" s="586"/>
      <c r="EV40" s="586"/>
      <c r="EW40" s="586"/>
      <c r="EX40" s="586"/>
      <c r="EY40" s="586"/>
      <c r="EZ40" s="586"/>
      <c r="FA40" s="586"/>
      <c r="FB40" s="586"/>
      <c r="FC40" s="586"/>
      <c r="FD40" s="586"/>
      <c r="FE40" s="586"/>
      <c r="FF40" s="586"/>
      <c r="FG40" s="586"/>
      <c r="FH40" s="586"/>
      <c r="FI40" s="586"/>
      <c r="FJ40" s="586"/>
      <c r="FK40" s="586"/>
      <c r="FL40" s="586"/>
      <c r="FM40" s="586"/>
      <c r="FN40" s="586"/>
      <c r="FO40" s="586"/>
      <c r="FP40" s="586"/>
      <c r="FQ40" s="586"/>
      <c r="FR40" s="586"/>
      <c r="FS40" s="586"/>
      <c r="FT40" s="586"/>
      <c r="FU40" s="586"/>
      <c r="FV40" s="586"/>
      <c r="FW40" s="586"/>
      <c r="FX40" s="586"/>
      <c r="FY40" s="586"/>
      <c r="FZ40" s="586"/>
      <c r="GA40" s="586"/>
      <c r="GB40" s="586"/>
      <c r="GC40" s="586"/>
      <c r="GD40" s="586"/>
      <c r="GE40" s="586"/>
      <c r="GF40" s="586"/>
      <c r="GG40" s="586"/>
      <c r="GH40" s="586"/>
      <c r="GI40" s="586"/>
      <c r="GJ40" s="586"/>
      <c r="GK40" s="586"/>
      <c r="GL40" s="586"/>
      <c r="GM40" s="586"/>
      <c r="GN40" s="586"/>
      <c r="GO40" s="586"/>
      <c r="GP40" s="586"/>
      <c r="GQ40" s="586"/>
      <c r="GR40" s="586"/>
      <c r="GS40" s="586"/>
      <c r="GT40" s="586"/>
      <c r="GU40" s="586"/>
      <c r="GV40" s="586"/>
      <c r="GW40" s="586"/>
      <c r="GX40" s="586"/>
      <c r="GY40" s="586"/>
      <c r="GZ40" s="586"/>
      <c r="HA40" s="586"/>
      <c r="HB40" s="586"/>
      <c r="HC40" s="586"/>
      <c r="HD40" s="586"/>
      <c r="HE40" s="586"/>
      <c r="HF40" s="586"/>
      <c r="HG40" s="586"/>
      <c r="HH40" s="586"/>
      <c r="HI40" s="586"/>
      <c r="HJ40" s="586"/>
      <c r="HK40" s="586"/>
      <c r="HL40" s="586"/>
      <c r="HM40" s="586"/>
      <c r="HN40" s="586"/>
      <c r="HO40" s="586"/>
      <c r="HP40" s="586"/>
      <c r="HQ40" s="586"/>
      <c r="HR40" s="586"/>
      <c r="HS40" s="586"/>
      <c r="HT40" s="586"/>
      <c r="HU40" s="586"/>
      <c r="HV40" s="586"/>
      <c r="HW40" s="586"/>
      <c r="HX40" s="586"/>
      <c r="HY40" s="586"/>
      <c r="HZ40" s="586"/>
      <c r="IA40" s="586"/>
      <c r="IB40" s="586"/>
      <c r="IC40" s="586"/>
      <c r="ID40" s="586"/>
      <c r="IE40" s="586"/>
      <c r="IF40" s="586"/>
      <c r="IG40" s="586"/>
      <c r="IH40" s="586"/>
      <c r="II40" s="586"/>
      <c r="IJ40" s="586"/>
      <c r="IK40" s="586"/>
      <c r="IL40" s="586"/>
      <c r="IM40" s="586"/>
      <c r="IN40" s="586"/>
      <c r="IO40" s="586"/>
      <c r="IP40" s="586"/>
      <c r="IQ40" s="586"/>
      <c r="IR40" s="586"/>
      <c r="IS40" s="586"/>
      <c r="IT40" s="586"/>
      <c r="IU40" s="586"/>
      <c r="IV40" s="586"/>
      <c r="IW40" s="586"/>
    </row>
    <row r="41" customFormat="false" ht="15" hidden="false" customHeight="false" outlineLevel="0" collapsed="false">
      <c r="B41" s="587"/>
      <c r="D41" s="599"/>
      <c r="E41" s="599"/>
      <c r="F41" s="599"/>
      <c r="G41" s="601" t="n">
        <f aca="false">G38*$B$43</f>
        <v>0</v>
      </c>
      <c r="H41" s="601" t="n">
        <f aca="false">H38*$B$43</f>
        <v>390</v>
      </c>
      <c r="I41" s="601" t="n">
        <f aca="false">I38*$B$43</f>
        <v>390</v>
      </c>
      <c r="J41" s="601" t="n">
        <f aca="false">J38*$B$43</f>
        <v>390</v>
      </c>
      <c r="K41" s="601" t="n">
        <f aca="false">K38*$B$43</f>
        <v>390</v>
      </c>
      <c r="L41" s="601" t="n">
        <f aca="false">L38*$B$43</f>
        <v>390</v>
      </c>
      <c r="M41" s="601" t="n">
        <f aca="false">M38*$B$43</f>
        <v>390</v>
      </c>
      <c r="N41" s="601" t="n">
        <f aca="false">N38*$B$43</f>
        <v>390</v>
      </c>
      <c r="O41" s="601" t="n">
        <f aca="false">O38*$B$43</f>
        <v>390</v>
      </c>
      <c r="P41" s="601" t="n">
        <f aca="false">P38*$B$43</f>
        <v>390</v>
      </c>
      <c r="Q41" s="601" t="n">
        <f aca="false">Q38*$B$43</f>
        <v>390</v>
      </c>
      <c r="R41" s="601" t="n">
        <f aca="false">R38*$B$43</f>
        <v>390</v>
      </c>
      <c r="S41" s="601" t="n">
        <f aca="false">S38*$B$43</f>
        <v>390</v>
      </c>
      <c r="T41" s="601" t="n">
        <f aca="false">T38*$B$43</f>
        <v>390</v>
      </c>
      <c r="U41" s="601" t="n">
        <f aca="false">U38*$B$43</f>
        <v>390</v>
      </c>
      <c r="V41" s="601" t="n">
        <f aca="false">V38*$B$43</f>
        <v>390</v>
      </c>
      <c r="W41" s="601" t="n">
        <f aca="false">W38*$B$43</f>
        <v>390</v>
      </c>
      <c r="X41" s="601" t="n">
        <f aca="false">X38*$B$43</f>
        <v>390</v>
      </c>
      <c r="Y41" s="601" t="n">
        <f aca="false">Y38*$B$43</f>
        <v>390</v>
      </c>
      <c r="Z41" s="601" t="n">
        <f aca="false">Z38*$B$43</f>
        <v>390</v>
      </c>
      <c r="AA41" s="601" t="n">
        <f aca="false">AA38*$B$43</f>
        <v>390</v>
      </c>
      <c r="AB41" s="601" t="n">
        <f aca="false">AB38*$B$43</f>
        <v>0</v>
      </c>
      <c r="AC41" s="601" t="n">
        <f aca="false">AC38*$B$43</f>
        <v>0</v>
      </c>
      <c r="AD41" s="584"/>
      <c r="AE41" s="584"/>
      <c r="AF41" s="586"/>
      <c r="AG41" s="586"/>
      <c r="AH41" s="586"/>
      <c r="AI41" s="586"/>
      <c r="AJ41" s="586"/>
      <c r="AK41" s="586"/>
      <c r="AL41" s="586"/>
      <c r="AM41" s="586"/>
      <c r="AN41" s="586"/>
      <c r="AO41" s="586"/>
      <c r="AP41" s="586"/>
      <c r="AQ41" s="586"/>
      <c r="AR41" s="586"/>
      <c r="AS41" s="586"/>
      <c r="AT41" s="586"/>
      <c r="AU41" s="586"/>
      <c r="AV41" s="586"/>
      <c r="AW41" s="586"/>
      <c r="AX41" s="586"/>
      <c r="AY41" s="586"/>
      <c r="AZ41" s="586"/>
      <c r="BA41" s="586"/>
      <c r="BB41" s="586"/>
      <c r="BC41" s="586"/>
      <c r="BD41" s="586"/>
      <c r="BE41" s="586"/>
      <c r="BF41" s="586"/>
      <c r="BG41" s="586"/>
      <c r="BH41" s="586"/>
      <c r="BI41" s="586"/>
      <c r="BJ41" s="586"/>
      <c r="BK41" s="586"/>
      <c r="BL41" s="586"/>
      <c r="BM41" s="586"/>
      <c r="BN41" s="586"/>
      <c r="BO41" s="586"/>
      <c r="BP41" s="586"/>
      <c r="BQ41" s="586"/>
      <c r="BR41" s="586"/>
      <c r="BS41" s="586"/>
      <c r="BT41" s="586"/>
      <c r="BU41" s="586"/>
      <c r="BV41" s="586"/>
      <c r="BW41" s="586"/>
      <c r="BX41" s="586"/>
      <c r="BY41" s="586"/>
      <c r="BZ41" s="586"/>
      <c r="CA41" s="586"/>
      <c r="CB41" s="586"/>
      <c r="CC41" s="586"/>
      <c r="CD41" s="586"/>
      <c r="CE41" s="586"/>
      <c r="CF41" s="586"/>
      <c r="CG41" s="586"/>
      <c r="CH41" s="586"/>
      <c r="CI41" s="586"/>
      <c r="CJ41" s="586"/>
      <c r="CK41" s="586"/>
      <c r="CL41" s="586"/>
      <c r="CM41" s="586"/>
      <c r="CN41" s="586"/>
      <c r="CO41" s="586"/>
      <c r="CP41" s="586"/>
      <c r="CQ41" s="586"/>
      <c r="CR41" s="586"/>
      <c r="CS41" s="586"/>
      <c r="CT41" s="586"/>
      <c r="CU41" s="586"/>
      <c r="CV41" s="586"/>
      <c r="CW41" s="586"/>
      <c r="CX41" s="586"/>
      <c r="CY41" s="586"/>
      <c r="CZ41" s="586"/>
      <c r="DA41" s="586"/>
      <c r="DB41" s="586"/>
      <c r="DC41" s="586"/>
      <c r="DD41" s="586"/>
      <c r="DE41" s="586"/>
      <c r="DF41" s="586"/>
      <c r="DG41" s="586"/>
      <c r="DH41" s="586"/>
      <c r="DI41" s="586"/>
      <c r="DJ41" s="586"/>
      <c r="DK41" s="586"/>
      <c r="DL41" s="586"/>
      <c r="DM41" s="586"/>
      <c r="DN41" s="586"/>
      <c r="DO41" s="586"/>
      <c r="DP41" s="586"/>
      <c r="DQ41" s="586"/>
      <c r="DR41" s="586"/>
      <c r="DS41" s="586"/>
      <c r="DT41" s="586"/>
      <c r="DU41" s="586"/>
      <c r="DV41" s="586"/>
      <c r="DW41" s="586"/>
      <c r="DX41" s="586"/>
      <c r="DY41" s="586"/>
      <c r="DZ41" s="586"/>
      <c r="EA41" s="586"/>
      <c r="EB41" s="586"/>
      <c r="EC41" s="586"/>
      <c r="ED41" s="586"/>
      <c r="EE41" s="586"/>
      <c r="EF41" s="586"/>
      <c r="EG41" s="586"/>
      <c r="EH41" s="586"/>
      <c r="EI41" s="586"/>
      <c r="EJ41" s="586"/>
      <c r="EK41" s="586"/>
      <c r="EL41" s="586"/>
      <c r="EM41" s="586"/>
      <c r="EN41" s="586"/>
      <c r="EO41" s="586"/>
      <c r="EP41" s="586"/>
      <c r="EQ41" s="586"/>
      <c r="ER41" s="586"/>
      <c r="ES41" s="586"/>
      <c r="ET41" s="586"/>
      <c r="EU41" s="586"/>
      <c r="EV41" s="586"/>
      <c r="EW41" s="586"/>
      <c r="EX41" s="586"/>
      <c r="EY41" s="586"/>
      <c r="EZ41" s="586"/>
      <c r="FA41" s="586"/>
      <c r="FB41" s="586"/>
      <c r="FC41" s="586"/>
      <c r="FD41" s="586"/>
      <c r="FE41" s="586"/>
      <c r="FF41" s="586"/>
      <c r="FG41" s="586"/>
      <c r="FH41" s="586"/>
      <c r="FI41" s="586"/>
      <c r="FJ41" s="586"/>
      <c r="FK41" s="586"/>
      <c r="FL41" s="586"/>
      <c r="FM41" s="586"/>
      <c r="FN41" s="586"/>
      <c r="FO41" s="586"/>
      <c r="FP41" s="586"/>
      <c r="FQ41" s="586"/>
      <c r="FR41" s="586"/>
      <c r="FS41" s="586"/>
      <c r="FT41" s="586"/>
      <c r="FU41" s="586"/>
      <c r="FV41" s="586"/>
      <c r="FW41" s="586"/>
      <c r="FX41" s="586"/>
      <c r="FY41" s="586"/>
      <c r="FZ41" s="586"/>
      <c r="GA41" s="586"/>
      <c r="GB41" s="586"/>
      <c r="GC41" s="586"/>
      <c r="GD41" s="586"/>
      <c r="GE41" s="586"/>
      <c r="GF41" s="586"/>
      <c r="GG41" s="586"/>
      <c r="GH41" s="586"/>
      <c r="GI41" s="586"/>
      <c r="GJ41" s="586"/>
      <c r="GK41" s="586"/>
      <c r="GL41" s="586"/>
      <c r="GM41" s="586"/>
      <c r="GN41" s="586"/>
      <c r="GO41" s="586"/>
      <c r="GP41" s="586"/>
      <c r="GQ41" s="586"/>
      <c r="GR41" s="586"/>
      <c r="GS41" s="586"/>
      <c r="GT41" s="586"/>
      <c r="GU41" s="586"/>
      <c r="GV41" s="586"/>
      <c r="GW41" s="586"/>
      <c r="GX41" s="586"/>
      <c r="GY41" s="586"/>
      <c r="GZ41" s="586"/>
      <c r="HA41" s="586"/>
      <c r="HB41" s="586"/>
      <c r="HC41" s="586"/>
      <c r="HD41" s="586"/>
      <c r="HE41" s="586"/>
      <c r="HF41" s="586"/>
      <c r="HG41" s="586"/>
      <c r="HH41" s="586"/>
      <c r="HI41" s="586"/>
      <c r="HJ41" s="586"/>
      <c r="HK41" s="586"/>
      <c r="HL41" s="586"/>
      <c r="HM41" s="586"/>
      <c r="HN41" s="586"/>
      <c r="HO41" s="586"/>
      <c r="HP41" s="586"/>
      <c r="HQ41" s="586"/>
      <c r="HR41" s="586"/>
      <c r="HS41" s="586"/>
      <c r="HT41" s="586"/>
      <c r="HU41" s="586"/>
      <c r="HV41" s="586"/>
      <c r="HW41" s="586"/>
      <c r="HX41" s="586"/>
      <c r="HY41" s="586"/>
      <c r="HZ41" s="586"/>
      <c r="IA41" s="586"/>
      <c r="IB41" s="586"/>
      <c r="IC41" s="586"/>
      <c r="ID41" s="586"/>
      <c r="IE41" s="586"/>
      <c r="IF41" s="586"/>
      <c r="IG41" s="586"/>
      <c r="IH41" s="586"/>
      <c r="II41" s="586"/>
      <c r="IJ41" s="586"/>
      <c r="IK41" s="586"/>
      <c r="IL41" s="586"/>
      <c r="IM41" s="586"/>
      <c r="IN41" s="586"/>
      <c r="IO41" s="586"/>
      <c r="IP41" s="586"/>
      <c r="IQ41" s="586"/>
      <c r="IR41" s="586"/>
      <c r="IS41" s="586"/>
      <c r="IT41" s="586"/>
      <c r="IU41" s="586"/>
      <c r="IV41" s="586"/>
      <c r="IW41" s="586"/>
    </row>
    <row r="42" customFormat="false" ht="12.75" hidden="false" customHeight="false" outlineLevel="0" collapsed="false">
      <c r="A42" s="603" t="s">
        <v>419</v>
      </c>
      <c r="B42" s="598" t="n">
        <f aca="false">B18</f>
        <v>484512.886</v>
      </c>
      <c r="C42" s="599"/>
      <c r="D42" s="599"/>
      <c r="E42" s="599"/>
      <c r="F42" s="599"/>
      <c r="G42" s="598" t="n">
        <f aca="false">SUM(G40:G41)</f>
        <v>0</v>
      </c>
      <c r="H42" s="598" t="n">
        <f aca="false">SUM(H40:H41)</f>
        <v>14925.38658</v>
      </c>
      <c r="I42" s="598" t="n">
        <f aca="false">SUM(I40:I41)</f>
        <v>14925.38658</v>
      </c>
      <c r="J42" s="598" t="n">
        <f aca="false">SUM(J40:J41)</f>
        <v>14925.38658</v>
      </c>
      <c r="K42" s="598" t="n">
        <f aca="false">SUM(K40:K41)</f>
        <v>14925.38658</v>
      </c>
      <c r="L42" s="598" t="n">
        <f aca="false">SUM(L40:L41)</f>
        <v>14925.38658</v>
      </c>
      <c r="M42" s="598" t="n">
        <f aca="false">SUM(M40:M41)</f>
        <v>14925.38658</v>
      </c>
      <c r="N42" s="598" t="n">
        <f aca="false">SUM(N40:N41)</f>
        <v>14925.38658</v>
      </c>
      <c r="O42" s="598" t="n">
        <f aca="false">SUM(O40:O41)</f>
        <v>14925.38658</v>
      </c>
      <c r="P42" s="598" t="n">
        <f aca="false">SUM(P40:P41)</f>
        <v>14925.38658</v>
      </c>
      <c r="Q42" s="598" t="n">
        <f aca="false">SUM(Q40:Q41)</f>
        <v>14925.38658</v>
      </c>
      <c r="R42" s="598" t="n">
        <f aca="false">SUM(R40:R41)</f>
        <v>14925.38658</v>
      </c>
      <c r="S42" s="598" t="n">
        <f aca="false">SUM(S40:S41)</f>
        <v>14925.38658</v>
      </c>
      <c r="T42" s="598" t="n">
        <f aca="false">SUM(T40:T41)</f>
        <v>14925.38658</v>
      </c>
      <c r="U42" s="598" t="n">
        <f aca="false">SUM(U40:U41)</f>
        <v>14925.38658</v>
      </c>
      <c r="V42" s="598" t="n">
        <f aca="false">SUM(V40:V41)</f>
        <v>14925.38658</v>
      </c>
      <c r="W42" s="598" t="n">
        <f aca="false">SUM(W40:W41)</f>
        <v>14925.38658</v>
      </c>
      <c r="X42" s="598" t="n">
        <f aca="false">SUM(X40:X41)</f>
        <v>14925.38658</v>
      </c>
      <c r="Y42" s="598" t="n">
        <f aca="false">SUM(Y40:Y41)</f>
        <v>14925.38658</v>
      </c>
      <c r="Z42" s="598" t="n">
        <f aca="false">SUM(Z40:Z41)</f>
        <v>14925.38658</v>
      </c>
      <c r="AA42" s="598" t="n">
        <f aca="false">SUM(AA40:AA41)</f>
        <v>14925.38658</v>
      </c>
      <c r="AB42" s="598" t="n">
        <f aca="false">SUM(AB40:AB41)</f>
        <v>14535.38658</v>
      </c>
      <c r="AC42" s="598" t="n">
        <f aca="false">SUM(AC40:AC41)</f>
        <v>14535.38658</v>
      </c>
      <c r="AD42" s="584"/>
      <c r="AE42" s="584"/>
      <c r="AF42" s="586"/>
      <c r="AG42" s="586"/>
      <c r="AH42" s="586"/>
      <c r="AI42" s="586"/>
      <c r="AJ42" s="586"/>
      <c r="AK42" s="586"/>
      <c r="AL42" s="586"/>
      <c r="AM42" s="586"/>
      <c r="AN42" s="586"/>
      <c r="AO42" s="586"/>
      <c r="AP42" s="586"/>
      <c r="AQ42" s="586"/>
      <c r="AR42" s="586"/>
      <c r="AS42" s="586"/>
      <c r="AT42" s="586"/>
      <c r="AU42" s="586"/>
      <c r="AV42" s="586"/>
      <c r="AW42" s="586"/>
      <c r="AX42" s="586"/>
      <c r="AY42" s="586"/>
      <c r="AZ42" s="586"/>
      <c r="BA42" s="586"/>
      <c r="BB42" s="586"/>
      <c r="BC42" s="586"/>
      <c r="BD42" s="586"/>
      <c r="BE42" s="586"/>
      <c r="BF42" s="586"/>
      <c r="BG42" s="586"/>
      <c r="BH42" s="586"/>
      <c r="BI42" s="586"/>
      <c r="BJ42" s="586"/>
      <c r="BK42" s="586"/>
      <c r="BL42" s="586"/>
      <c r="BM42" s="586"/>
      <c r="BN42" s="586"/>
      <c r="BO42" s="586"/>
      <c r="BP42" s="586"/>
      <c r="BQ42" s="586"/>
      <c r="BR42" s="586"/>
      <c r="BS42" s="586"/>
      <c r="BT42" s="586"/>
      <c r="BU42" s="586"/>
      <c r="BV42" s="586"/>
      <c r="BW42" s="586"/>
      <c r="BX42" s="586"/>
      <c r="BY42" s="586"/>
      <c r="BZ42" s="586"/>
      <c r="CA42" s="586"/>
      <c r="CB42" s="586"/>
      <c r="CC42" s="586"/>
      <c r="CD42" s="586"/>
      <c r="CE42" s="586"/>
      <c r="CF42" s="586"/>
      <c r="CG42" s="586"/>
      <c r="CH42" s="586"/>
      <c r="CI42" s="586"/>
      <c r="CJ42" s="586"/>
      <c r="CK42" s="586"/>
      <c r="CL42" s="586"/>
      <c r="CM42" s="586"/>
      <c r="CN42" s="586"/>
      <c r="CO42" s="586"/>
      <c r="CP42" s="586"/>
      <c r="CQ42" s="586"/>
      <c r="CR42" s="586"/>
      <c r="CS42" s="586"/>
      <c r="CT42" s="586"/>
      <c r="CU42" s="586"/>
      <c r="CV42" s="586"/>
      <c r="CW42" s="586"/>
      <c r="CX42" s="586"/>
      <c r="CY42" s="586"/>
      <c r="CZ42" s="586"/>
      <c r="DA42" s="586"/>
      <c r="DB42" s="586"/>
      <c r="DC42" s="586"/>
      <c r="DD42" s="586"/>
      <c r="DE42" s="586"/>
      <c r="DF42" s="586"/>
      <c r="DG42" s="586"/>
      <c r="DH42" s="586"/>
      <c r="DI42" s="586"/>
      <c r="DJ42" s="586"/>
      <c r="DK42" s="586"/>
      <c r="DL42" s="586"/>
      <c r="DM42" s="586"/>
      <c r="DN42" s="586"/>
      <c r="DO42" s="586"/>
      <c r="DP42" s="586"/>
      <c r="DQ42" s="586"/>
      <c r="DR42" s="586"/>
      <c r="DS42" s="586"/>
      <c r="DT42" s="586"/>
      <c r="DU42" s="586"/>
      <c r="DV42" s="586"/>
      <c r="DW42" s="586"/>
      <c r="DX42" s="586"/>
      <c r="DY42" s="586"/>
      <c r="DZ42" s="586"/>
      <c r="EA42" s="586"/>
      <c r="EB42" s="586"/>
      <c r="EC42" s="586"/>
      <c r="ED42" s="586"/>
      <c r="EE42" s="586"/>
      <c r="EF42" s="586"/>
      <c r="EG42" s="586"/>
      <c r="EH42" s="586"/>
      <c r="EI42" s="586"/>
      <c r="EJ42" s="586"/>
      <c r="EK42" s="586"/>
      <c r="EL42" s="586"/>
      <c r="EM42" s="586"/>
      <c r="EN42" s="586"/>
      <c r="EO42" s="586"/>
      <c r="EP42" s="586"/>
      <c r="EQ42" s="586"/>
      <c r="ER42" s="586"/>
      <c r="ES42" s="586"/>
      <c r="ET42" s="586"/>
      <c r="EU42" s="586"/>
      <c r="EV42" s="586"/>
      <c r="EW42" s="586"/>
      <c r="EX42" s="586"/>
      <c r="EY42" s="586"/>
      <c r="EZ42" s="586"/>
      <c r="FA42" s="586"/>
      <c r="FB42" s="586"/>
      <c r="FC42" s="586"/>
      <c r="FD42" s="586"/>
      <c r="FE42" s="586"/>
      <c r="FF42" s="586"/>
      <c r="FG42" s="586"/>
      <c r="FH42" s="586"/>
      <c r="FI42" s="586"/>
      <c r="FJ42" s="586"/>
      <c r="FK42" s="586"/>
      <c r="FL42" s="586"/>
      <c r="FM42" s="586"/>
      <c r="FN42" s="586"/>
      <c r="FO42" s="586"/>
      <c r="FP42" s="586"/>
      <c r="FQ42" s="586"/>
      <c r="FR42" s="586"/>
      <c r="FS42" s="586"/>
      <c r="FT42" s="586"/>
      <c r="FU42" s="586"/>
      <c r="FV42" s="586"/>
      <c r="FW42" s="586"/>
      <c r="FX42" s="586"/>
      <c r="FY42" s="586"/>
      <c r="FZ42" s="586"/>
      <c r="GA42" s="586"/>
      <c r="GB42" s="586"/>
      <c r="GC42" s="586"/>
      <c r="GD42" s="586"/>
      <c r="GE42" s="586"/>
      <c r="GF42" s="586"/>
      <c r="GG42" s="586"/>
      <c r="GH42" s="586"/>
      <c r="GI42" s="586"/>
      <c r="GJ42" s="586"/>
      <c r="GK42" s="586"/>
      <c r="GL42" s="586"/>
      <c r="GM42" s="586"/>
      <c r="GN42" s="586"/>
      <c r="GO42" s="586"/>
      <c r="GP42" s="586"/>
      <c r="GQ42" s="586"/>
      <c r="GR42" s="586"/>
      <c r="GS42" s="586"/>
      <c r="GT42" s="586"/>
      <c r="GU42" s="586"/>
      <c r="GV42" s="586"/>
      <c r="GW42" s="586"/>
      <c r="GX42" s="586"/>
      <c r="GY42" s="586"/>
      <c r="GZ42" s="586"/>
      <c r="HA42" s="586"/>
      <c r="HB42" s="586"/>
      <c r="HC42" s="586"/>
      <c r="HD42" s="586"/>
      <c r="HE42" s="586"/>
      <c r="HF42" s="586"/>
      <c r="HG42" s="586"/>
      <c r="HH42" s="586"/>
      <c r="HI42" s="586"/>
      <c r="HJ42" s="586"/>
      <c r="HK42" s="586"/>
      <c r="HL42" s="586"/>
      <c r="HM42" s="586"/>
      <c r="HN42" s="586"/>
      <c r="HO42" s="586"/>
      <c r="HP42" s="586"/>
      <c r="HQ42" s="586"/>
      <c r="HR42" s="586"/>
      <c r="HS42" s="586"/>
      <c r="HT42" s="586"/>
      <c r="HU42" s="586"/>
      <c r="HV42" s="586"/>
      <c r="HW42" s="586"/>
      <c r="HX42" s="586"/>
      <c r="HY42" s="586"/>
      <c r="HZ42" s="586"/>
      <c r="IA42" s="586"/>
      <c r="IB42" s="586"/>
      <c r="IC42" s="586"/>
      <c r="ID42" s="586"/>
      <c r="IE42" s="586"/>
      <c r="IF42" s="586"/>
      <c r="IG42" s="586"/>
      <c r="IH42" s="586"/>
      <c r="II42" s="586"/>
      <c r="IJ42" s="586"/>
      <c r="IK42" s="586"/>
      <c r="IL42" s="586"/>
      <c r="IM42" s="586"/>
      <c r="IN42" s="586"/>
      <c r="IO42" s="586"/>
      <c r="IP42" s="586"/>
      <c r="IQ42" s="586"/>
      <c r="IR42" s="586"/>
      <c r="IS42" s="586"/>
      <c r="IT42" s="586"/>
      <c r="IU42" s="586"/>
      <c r="IV42" s="586"/>
      <c r="IW42" s="586"/>
    </row>
    <row r="43" customFormat="false" ht="15" hidden="false" customHeight="false" outlineLevel="0" collapsed="false">
      <c r="A43" s="593"/>
      <c r="B43" s="601" t="n">
        <f aca="false">B19</f>
        <v>7800</v>
      </c>
      <c r="C43" s="599"/>
      <c r="D43" s="605"/>
      <c r="E43" s="605"/>
      <c r="F43" s="605"/>
      <c r="AD43" s="584"/>
      <c r="AE43" s="584"/>
      <c r="AF43" s="586"/>
      <c r="AG43" s="586"/>
      <c r="AH43" s="586"/>
      <c r="AI43" s="586"/>
      <c r="AJ43" s="586"/>
      <c r="AK43" s="586"/>
      <c r="AL43" s="586"/>
      <c r="AM43" s="586"/>
      <c r="AN43" s="586"/>
      <c r="AO43" s="586"/>
      <c r="AP43" s="586"/>
      <c r="AQ43" s="586"/>
      <c r="AR43" s="586"/>
      <c r="AS43" s="586"/>
      <c r="AT43" s="586"/>
      <c r="AU43" s="586"/>
      <c r="AV43" s="586"/>
      <c r="AW43" s="586"/>
      <c r="AX43" s="586"/>
      <c r="AY43" s="586"/>
      <c r="AZ43" s="586"/>
      <c r="BA43" s="586"/>
      <c r="BB43" s="586"/>
      <c r="BC43" s="586"/>
      <c r="BD43" s="586"/>
      <c r="BE43" s="586"/>
      <c r="BF43" s="586"/>
      <c r="BG43" s="586"/>
      <c r="BH43" s="586"/>
      <c r="BI43" s="586"/>
      <c r="BJ43" s="586"/>
      <c r="BK43" s="586"/>
      <c r="BL43" s="586"/>
      <c r="BM43" s="586"/>
      <c r="BN43" s="586"/>
      <c r="BO43" s="586"/>
      <c r="BP43" s="586"/>
      <c r="BQ43" s="586"/>
      <c r="BR43" s="586"/>
      <c r="BS43" s="586"/>
      <c r="BT43" s="586"/>
      <c r="BU43" s="586"/>
      <c r="BV43" s="586"/>
      <c r="BW43" s="586"/>
      <c r="BX43" s="586"/>
      <c r="BY43" s="586"/>
      <c r="BZ43" s="586"/>
      <c r="CA43" s="586"/>
      <c r="CB43" s="586"/>
      <c r="CC43" s="586"/>
      <c r="CD43" s="586"/>
      <c r="CE43" s="586"/>
      <c r="CF43" s="586"/>
      <c r="CG43" s="586"/>
      <c r="CH43" s="586"/>
      <c r="CI43" s="586"/>
      <c r="CJ43" s="586"/>
      <c r="CK43" s="586"/>
      <c r="CL43" s="586"/>
      <c r="CM43" s="586"/>
      <c r="CN43" s="586"/>
      <c r="CO43" s="586"/>
      <c r="CP43" s="586"/>
      <c r="CQ43" s="586"/>
      <c r="CR43" s="586"/>
      <c r="CS43" s="586"/>
      <c r="CT43" s="586"/>
      <c r="CU43" s="586"/>
      <c r="CV43" s="586"/>
      <c r="CW43" s="586"/>
      <c r="CX43" s="586"/>
      <c r="CY43" s="586"/>
      <c r="CZ43" s="586"/>
      <c r="DA43" s="586"/>
      <c r="DB43" s="586"/>
      <c r="DC43" s="586"/>
      <c r="DD43" s="586"/>
      <c r="DE43" s="586"/>
      <c r="DF43" s="586"/>
      <c r="DG43" s="586"/>
      <c r="DH43" s="586"/>
      <c r="DI43" s="586"/>
      <c r="DJ43" s="586"/>
      <c r="DK43" s="586"/>
      <c r="DL43" s="586"/>
      <c r="DM43" s="586"/>
      <c r="DN43" s="586"/>
      <c r="DO43" s="586"/>
      <c r="DP43" s="586"/>
      <c r="DQ43" s="586"/>
      <c r="DR43" s="586"/>
      <c r="DS43" s="586"/>
      <c r="DT43" s="586"/>
      <c r="DU43" s="586"/>
      <c r="DV43" s="586"/>
      <c r="DW43" s="586"/>
      <c r="DX43" s="586"/>
      <c r="DY43" s="586"/>
      <c r="DZ43" s="586"/>
      <c r="EA43" s="586"/>
      <c r="EB43" s="586"/>
      <c r="EC43" s="586"/>
      <c r="ED43" s="586"/>
      <c r="EE43" s="586"/>
      <c r="EF43" s="586"/>
      <c r="EG43" s="586"/>
      <c r="EH43" s="586"/>
      <c r="EI43" s="586"/>
      <c r="EJ43" s="586"/>
      <c r="EK43" s="586"/>
      <c r="EL43" s="586"/>
      <c r="EM43" s="586"/>
      <c r="EN43" s="586"/>
      <c r="EO43" s="586"/>
      <c r="EP43" s="586"/>
      <c r="EQ43" s="586"/>
      <c r="ER43" s="586"/>
      <c r="ES43" s="586"/>
      <c r="ET43" s="586"/>
      <c r="EU43" s="586"/>
      <c r="EV43" s="586"/>
      <c r="EW43" s="586"/>
      <c r="EX43" s="586"/>
      <c r="EY43" s="586"/>
      <c r="EZ43" s="586"/>
      <c r="FA43" s="586"/>
      <c r="FB43" s="586"/>
      <c r="FC43" s="586"/>
      <c r="FD43" s="586"/>
      <c r="FE43" s="586"/>
      <c r="FF43" s="586"/>
      <c r="FG43" s="586"/>
      <c r="FH43" s="586"/>
      <c r="FI43" s="586"/>
      <c r="FJ43" s="586"/>
      <c r="FK43" s="586"/>
      <c r="FL43" s="586"/>
      <c r="FM43" s="586"/>
      <c r="FN43" s="586"/>
      <c r="FO43" s="586"/>
      <c r="FP43" s="586"/>
      <c r="FQ43" s="586"/>
      <c r="FR43" s="586"/>
      <c r="FS43" s="586"/>
      <c r="FT43" s="586"/>
      <c r="FU43" s="586"/>
      <c r="FV43" s="586"/>
      <c r="FW43" s="586"/>
      <c r="FX43" s="586"/>
      <c r="FY43" s="586"/>
      <c r="FZ43" s="586"/>
      <c r="GA43" s="586"/>
      <c r="GB43" s="586"/>
      <c r="GC43" s="586"/>
      <c r="GD43" s="586"/>
      <c r="GE43" s="586"/>
      <c r="GF43" s="586"/>
      <c r="GG43" s="586"/>
      <c r="GH43" s="586"/>
      <c r="GI43" s="586"/>
      <c r="GJ43" s="586"/>
      <c r="GK43" s="586"/>
      <c r="GL43" s="586"/>
      <c r="GM43" s="586"/>
      <c r="GN43" s="586"/>
      <c r="GO43" s="586"/>
      <c r="GP43" s="586"/>
      <c r="GQ43" s="586"/>
      <c r="GR43" s="586"/>
      <c r="GS43" s="586"/>
      <c r="GT43" s="586"/>
      <c r="GU43" s="586"/>
      <c r="GV43" s="586"/>
      <c r="GW43" s="586"/>
      <c r="GX43" s="586"/>
      <c r="GY43" s="586"/>
      <c r="GZ43" s="586"/>
      <c r="HA43" s="586"/>
      <c r="HB43" s="586"/>
      <c r="HC43" s="586"/>
      <c r="HD43" s="586"/>
      <c r="HE43" s="586"/>
      <c r="HF43" s="586"/>
      <c r="HG43" s="586"/>
      <c r="HH43" s="586"/>
      <c r="HI43" s="586"/>
      <c r="HJ43" s="586"/>
      <c r="HK43" s="586"/>
      <c r="HL43" s="586"/>
      <c r="HM43" s="586"/>
      <c r="HN43" s="586"/>
      <c r="HO43" s="586"/>
      <c r="HP43" s="586"/>
      <c r="HQ43" s="586"/>
      <c r="HR43" s="586"/>
      <c r="HS43" s="586"/>
      <c r="HT43" s="586"/>
      <c r="HU43" s="586"/>
      <c r="HV43" s="586"/>
      <c r="HW43" s="586"/>
      <c r="HX43" s="586"/>
      <c r="HY43" s="586"/>
      <c r="HZ43" s="586"/>
      <c r="IA43" s="586"/>
      <c r="IB43" s="586"/>
      <c r="IC43" s="586"/>
      <c r="ID43" s="586"/>
      <c r="IE43" s="586"/>
      <c r="IF43" s="586"/>
      <c r="IG43" s="586"/>
      <c r="IH43" s="586"/>
      <c r="II43" s="586"/>
      <c r="IJ43" s="586"/>
      <c r="IK43" s="586"/>
      <c r="IL43" s="586"/>
      <c r="IM43" s="586"/>
      <c r="IN43" s="586"/>
      <c r="IO43" s="586"/>
      <c r="IP43" s="586"/>
      <c r="IQ43" s="586"/>
      <c r="IR43" s="586"/>
      <c r="IS43" s="586"/>
      <c r="IT43" s="586"/>
      <c r="IU43" s="586"/>
      <c r="IV43" s="586"/>
      <c r="IW43" s="586"/>
    </row>
    <row r="44" customFormat="false" ht="12.75" hidden="false" customHeight="false" outlineLevel="0" collapsed="false">
      <c r="A44" s="603" t="s">
        <v>425</v>
      </c>
      <c r="B44" s="598" t="n">
        <f aca="false">SUM(B42:B43)</f>
        <v>492312.886</v>
      </c>
      <c r="C44" s="599"/>
      <c r="D44" s="605"/>
      <c r="E44" s="605"/>
      <c r="F44" s="605"/>
      <c r="G44" s="598" t="n">
        <f aca="false">B44-G42</f>
        <v>492312.886</v>
      </c>
      <c r="H44" s="598" t="n">
        <f aca="false">G44-H42</f>
        <v>477387.49942</v>
      </c>
      <c r="I44" s="598" t="n">
        <f aca="false">H44-I42</f>
        <v>462462.11284</v>
      </c>
      <c r="J44" s="598" t="n">
        <f aca="false">I44-J42</f>
        <v>447536.72626</v>
      </c>
      <c r="K44" s="598" t="n">
        <f aca="false">J44-K42</f>
        <v>432611.33968</v>
      </c>
      <c r="L44" s="598" t="n">
        <f aca="false">K44-L42</f>
        <v>417685.9531</v>
      </c>
      <c r="M44" s="598" t="n">
        <f aca="false">L44-M42</f>
        <v>402760.56652</v>
      </c>
      <c r="N44" s="598" t="n">
        <f aca="false">M44-N42</f>
        <v>387835.17994</v>
      </c>
      <c r="O44" s="598" t="n">
        <f aca="false">N44-O42</f>
        <v>372909.79336</v>
      </c>
      <c r="P44" s="598" t="n">
        <f aca="false">O44-P42</f>
        <v>357984.40678</v>
      </c>
      <c r="Q44" s="598" t="n">
        <f aca="false">P44-Q42</f>
        <v>343059.0202</v>
      </c>
      <c r="R44" s="598" t="n">
        <f aca="false">Q44-R42</f>
        <v>328133.63362</v>
      </c>
      <c r="S44" s="598" t="n">
        <f aca="false">R44-S42</f>
        <v>313208.24704</v>
      </c>
      <c r="T44" s="598" t="n">
        <f aca="false">S44-T42</f>
        <v>298282.86046</v>
      </c>
      <c r="U44" s="598" t="n">
        <f aca="false">T44-U42</f>
        <v>283357.47388</v>
      </c>
      <c r="V44" s="598" t="n">
        <f aca="false">U44-V42</f>
        <v>268432.0873</v>
      </c>
      <c r="W44" s="598" t="n">
        <f aca="false">V44-W42</f>
        <v>253506.70072</v>
      </c>
      <c r="X44" s="598" t="n">
        <f aca="false">W44-X42</f>
        <v>238581.31414</v>
      </c>
      <c r="Y44" s="598" t="n">
        <f aca="false">X44-Y42</f>
        <v>223655.92756</v>
      </c>
      <c r="Z44" s="598" t="n">
        <f aca="false">Y44-Z42</f>
        <v>208730.54098</v>
      </c>
      <c r="AA44" s="598" t="n">
        <f aca="false">Z44-AA42</f>
        <v>193805.1544</v>
      </c>
      <c r="AB44" s="598" t="n">
        <f aca="false">AA44-AB42</f>
        <v>179269.76782</v>
      </c>
      <c r="AC44" s="598" t="n">
        <f aca="false">AB44-AC42</f>
        <v>164734.38124</v>
      </c>
      <c r="AD44" s="584"/>
      <c r="AE44" s="584"/>
      <c r="AF44" s="586"/>
      <c r="AG44" s="586"/>
      <c r="AH44" s="586"/>
      <c r="AI44" s="586"/>
      <c r="AJ44" s="586"/>
      <c r="AK44" s="586"/>
      <c r="AL44" s="586"/>
      <c r="AM44" s="586"/>
      <c r="AN44" s="586"/>
      <c r="AO44" s="586"/>
      <c r="AP44" s="586"/>
      <c r="AQ44" s="586"/>
      <c r="AR44" s="586"/>
      <c r="AS44" s="586"/>
      <c r="AT44" s="586"/>
      <c r="AU44" s="586"/>
      <c r="AV44" s="586"/>
      <c r="AW44" s="586"/>
      <c r="AX44" s="586"/>
      <c r="AY44" s="586"/>
      <c r="AZ44" s="586"/>
      <c r="BA44" s="586"/>
      <c r="BB44" s="586"/>
      <c r="BC44" s="586"/>
      <c r="BD44" s="586"/>
      <c r="BE44" s="586"/>
      <c r="BF44" s="586"/>
      <c r="BG44" s="586"/>
      <c r="BH44" s="586"/>
      <c r="BI44" s="586"/>
      <c r="BJ44" s="586"/>
      <c r="BK44" s="586"/>
      <c r="BL44" s="586"/>
      <c r="BM44" s="586"/>
      <c r="BN44" s="586"/>
      <c r="BO44" s="586"/>
      <c r="BP44" s="586"/>
      <c r="BQ44" s="586"/>
      <c r="BR44" s="586"/>
      <c r="BS44" s="586"/>
      <c r="BT44" s="586"/>
      <c r="BU44" s="586"/>
      <c r="BV44" s="586"/>
      <c r="BW44" s="586"/>
      <c r="BX44" s="586"/>
      <c r="BY44" s="586"/>
      <c r="BZ44" s="586"/>
      <c r="CA44" s="586"/>
      <c r="CB44" s="586"/>
      <c r="CC44" s="586"/>
      <c r="CD44" s="586"/>
      <c r="CE44" s="586"/>
      <c r="CF44" s="586"/>
      <c r="CG44" s="586"/>
      <c r="CH44" s="586"/>
      <c r="CI44" s="586"/>
      <c r="CJ44" s="586"/>
      <c r="CK44" s="586"/>
      <c r="CL44" s="586"/>
      <c r="CM44" s="586"/>
      <c r="CN44" s="586"/>
      <c r="CO44" s="586"/>
      <c r="CP44" s="586"/>
      <c r="CQ44" s="586"/>
      <c r="CR44" s="586"/>
      <c r="CS44" s="586"/>
      <c r="CT44" s="586"/>
      <c r="CU44" s="586"/>
      <c r="CV44" s="586"/>
      <c r="CW44" s="586"/>
      <c r="CX44" s="586"/>
      <c r="CY44" s="586"/>
      <c r="CZ44" s="586"/>
      <c r="DA44" s="586"/>
      <c r="DB44" s="586"/>
      <c r="DC44" s="586"/>
      <c r="DD44" s="586"/>
      <c r="DE44" s="586"/>
      <c r="DF44" s="586"/>
      <c r="DG44" s="586"/>
      <c r="DH44" s="586"/>
      <c r="DI44" s="586"/>
      <c r="DJ44" s="586"/>
      <c r="DK44" s="586"/>
      <c r="DL44" s="586"/>
      <c r="DM44" s="586"/>
      <c r="DN44" s="586"/>
      <c r="DO44" s="586"/>
      <c r="DP44" s="586"/>
      <c r="DQ44" s="586"/>
      <c r="DR44" s="586"/>
      <c r="DS44" s="586"/>
      <c r="DT44" s="586"/>
      <c r="DU44" s="586"/>
      <c r="DV44" s="586"/>
      <c r="DW44" s="586"/>
      <c r="DX44" s="586"/>
      <c r="DY44" s="586"/>
      <c r="DZ44" s="586"/>
      <c r="EA44" s="586"/>
      <c r="EB44" s="586"/>
      <c r="EC44" s="586"/>
      <c r="ED44" s="586"/>
      <c r="EE44" s="586"/>
      <c r="EF44" s="586"/>
      <c r="EG44" s="586"/>
      <c r="EH44" s="586"/>
      <c r="EI44" s="586"/>
      <c r="EJ44" s="586"/>
      <c r="EK44" s="586"/>
      <c r="EL44" s="586"/>
      <c r="EM44" s="586"/>
      <c r="EN44" s="586"/>
      <c r="EO44" s="586"/>
      <c r="EP44" s="586"/>
      <c r="EQ44" s="586"/>
      <c r="ER44" s="586"/>
      <c r="ES44" s="586"/>
      <c r="ET44" s="586"/>
      <c r="EU44" s="586"/>
      <c r="EV44" s="586"/>
      <c r="EW44" s="586"/>
      <c r="EX44" s="586"/>
      <c r="EY44" s="586"/>
      <c r="EZ44" s="586"/>
      <c r="FA44" s="586"/>
      <c r="FB44" s="586"/>
      <c r="FC44" s="586"/>
      <c r="FD44" s="586"/>
      <c r="FE44" s="586"/>
      <c r="FF44" s="586"/>
      <c r="FG44" s="586"/>
      <c r="FH44" s="586"/>
      <c r="FI44" s="586"/>
      <c r="FJ44" s="586"/>
      <c r="FK44" s="586"/>
      <c r="FL44" s="586"/>
      <c r="FM44" s="586"/>
      <c r="FN44" s="586"/>
      <c r="FO44" s="586"/>
      <c r="FP44" s="586"/>
      <c r="FQ44" s="586"/>
      <c r="FR44" s="586"/>
      <c r="FS44" s="586"/>
      <c r="FT44" s="586"/>
      <c r="FU44" s="586"/>
      <c r="FV44" s="586"/>
      <c r="FW44" s="586"/>
      <c r="FX44" s="586"/>
      <c r="FY44" s="586"/>
      <c r="FZ44" s="586"/>
      <c r="GA44" s="586"/>
      <c r="GB44" s="586"/>
      <c r="GC44" s="586"/>
      <c r="GD44" s="586"/>
      <c r="GE44" s="586"/>
      <c r="GF44" s="586"/>
      <c r="GG44" s="586"/>
      <c r="GH44" s="586"/>
      <c r="GI44" s="586"/>
      <c r="GJ44" s="586"/>
      <c r="GK44" s="586"/>
      <c r="GL44" s="586"/>
      <c r="GM44" s="586"/>
      <c r="GN44" s="586"/>
      <c r="GO44" s="586"/>
      <c r="GP44" s="586"/>
      <c r="GQ44" s="586"/>
      <c r="GR44" s="586"/>
      <c r="GS44" s="586"/>
      <c r="GT44" s="586"/>
      <c r="GU44" s="586"/>
      <c r="GV44" s="586"/>
      <c r="GW44" s="586"/>
      <c r="GX44" s="586"/>
      <c r="GY44" s="586"/>
      <c r="GZ44" s="586"/>
      <c r="HA44" s="586"/>
      <c r="HB44" s="586"/>
      <c r="HC44" s="586"/>
      <c r="HD44" s="586"/>
      <c r="HE44" s="586"/>
      <c r="HF44" s="586"/>
      <c r="HG44" s="586"/>
      <c r="HH44" s="586"/>
      <c r="HI44" s="586"/>
      <c r="HJ44" s="586"/>
      <c r="HK44" s="586"/>
      <c r="HL44" s="586"/>
      <c r="HM44" s="586"/>
      <c r="HN44" s="586"/>
      <c r="HO44" s="586"/>
      <c r="HP44" s="586"/>
      <c r="HQ44" s="586"/>
      <c r="HR44" s="586"/>
      <c r="HS44" s="586"/>
      <c r="HT44" s="586"/>
      <c r="HU44" s="586"/>
      <c r="HV44" s="586"/>
      <c r="HW44" s="586"/>
      <c r="HX44" s="586"/>
      <c r="HY44" s="586"/>
      <c r="HZ44" s="586"/>
      <c r="IA44" s="586"/>
      <c r="IB44" s="586"/>
      <c r="IC44" s="586"/>
      <c r="ID44" s="586"/>
      <c r="IE44" s="586"/>
      <c r="IF44" s="586"/>
      <c r="IG44" s="586"/>
      <c r="IH44" s="586"/>
      <c r="II44" s="586"/>
      <c r="IJ44" s="586"/>
      <c r="IK44" s="586"/>
      <c r="IL44" s="586"/>
      <c r="IM44" s="586"/>
      <c r="IN44" s="586"/>
      <c r="IO44" s="586"/>
      <c r="IP44" s="586"/>
      <c r="IQ44" s="586"/>
      <c r="IR44" s="586"/>
      <c r="IS44" s="586"/>
      <c r="IT44" s="586"/>
      <c r="IU44" s="586"/>
      <c r="IV44" s="586"/>
      <c r="IW44" s="586"/>
    </row>
    <row r="45" customFormat="false" ht="12.75" hidden="false" customHeight="false" outlineLevel="0" collapsed="false">
      <c r="A45" s="603"/>
      <c r="AC45" s="94"/>
      <c r="AF45" s="586"/>
      <c r="AG45" s="586"/>
    </row>
    <row r="46" customFormat="false" ht="12.75" hidden="false" customHeight="false" outlineLevel="0" collapsed="false">
      <c r="A46" s="571"/>
      <c r="B46" s="572"/>
      <c r="G46" s="573"/>
      <c r="H46" s="573"/>
      <c r="I46" s="573"/>
      <c r="J46" s="573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  <c r="AB46" s="576"/>
      <c r="AC46" s="576"/>
      <c r="AD46" s="575"/>
      <c r="AE46" s="575"/>
      <c r="AH46" s="571"/>
      <c r="AI46" s="571"/>
      <c r="AJ46" s="571"/>
      <c r="AK46" s="571"/>
      <c r="AL46" s="571"/>
      <c r="AM46" s="571"/>
      <c r="AN46" s="571"/>
      <c r="AO46" s="571"/>
      <c r="AP46" s="571"/>
      <c r="AQ46" s="571"/>
      <c r="AR46" s="571"/>
      <c r="AS46" s="571"/>
      <c r="AT46" s="571"/>
      <c r="AU46" s="571"/>
      <c r="AV46" s="571"/>
      <c r="AW46" s="571"/>
      <c r="AX46" s="571"/>
      <c r="AY46" s="571"/>
      <c r="AZ46" s="571"/>
      <c r="BA46" s="571"/>
      <c r="BB46" s="571"/>
      <c r="BC46" s="571"/>
      <c r="BD46" s="571"/>
      <c r="BE46" s="571"/>
      <c r="BF46" s="571"/>
      <c r="BG46" s="571"/>
      <c r="BH46" s="571"/>
      <c r="BI46" s="571"/>
      <c r="BJ46" s="571"/>
      <c r="BK46" s="571"/>
      <c r="BL46" s="571"/>
      <c r="BM46" s="571"/>
      <c r="BN46" s="571"/>
      <c r="BO46" s="571"/>
      <c r="BP46" s="571"/>
      <c r="BQ46" s="571"/>
      <c r="BR46" s="571"/>
      <c r="BS46" s="571"/>
      <c r="BT46" s="571"/>
      <c r="BU46" s="571"/>
      <c r="BV46" s="571"/>
      <c r="BW46" s="571"/>
      <c r="BX46" s="571"/>
      <c r="BY46" s="571"/>
      <c r="BZ46" s="571"/>
      <c r="CA46" s="571"/>
      <c r="CB46" s="571"/>
      <c r="CC46" s="571"/>
      <c r="CD46" s="571"/>
      <c r="CE46" s="571"/>
      <c r="CF46" s="571"/>
      <c r="CG46" s="571"/>
      <c r="CH46" s="571"/>
      <c r="CI46" s="571"/>
      <c r="CJ46" s="571"/>
      <c r="CK46" s="571"/>
      <c r="CL46" s="571"/>
      <c r="CM46" s="571"/>
      <c r="CN46" s="571"/>
      <c r="CO46" s="571"/>
      <c r="CP46" s="571"/>
      <c r="CQ46" s="571"/>
      <c r="CR46" s="571"/>
      <c r="CS46" s="571"/>
      <c r="CT46" s="571"/>
      <c r="CU46" s="571"/>
      <c r="CV46" s="571"/>
      <c r="CW46" s="571"/>
      <c r="CX46" s="571"/>
      <c r="CY46" s="571"/>
      <c r="CZ46" s="571"/>
      <c r="DA46" s="571"/>
      <c r="DB46" s="571"/>
      <c r="DC46" s="571"/>
      <c r="DD46" s="571"/>
      <c r="DE46" s="571"/>
      <c r="DF46" s="571"/>
      <c r="DG46" s="571"/>
      <c r="DH46" s="571"/>
      <c r="DI46" s="571"/>
      <c r="DJ46" s="571"/>
      <c r="DK46" s="571"/>
      <c r="DL46" s="571"/>
      <c r="DM46" s="571"/>
      <c r="DN46" s="571"/>
      <c r="DO46" s="571"/>
      <c r="DP46" s="571"/>
      <c r="DQ46" s="571"/>
      <c r="DR46" s="571"/>
      <c r="DS46" s="571"/>
      <c r="DT46" s="571"/>
      <c r="DU46" s="571"/>
      <c r="DV46" s="571"/>
      <c r="DW46" s="571"/>
      <c r="DX46" s="571"/>
      <c r="DY46" s="571"/>
      <c r="DZ46" s="571"/>
      <c r="EA46" s="571"/>
      <c r="EB46" s="571"/>
      <c r="EC46" s="571"/>
      <c r="ED46" s="571"/>
      <c r="EE46" s="571"/>
      <c r="EF46" s="571"/>
      <c r="EG46" s="571"/>
      <c r="EH46" s="571"/>
      <c r="EI46" s="571"/>
      <c r="EJ46" s="571"/>
      <c r="EK46" s="571"/>
      <c r="EL46" s="571"/>
      <c r="EM46" s="571"/>
      <c r="EN46" s="571"/>
      <c r="EO46" s="571"/>
      <c r="EP46" s="571"/>
      <c r="EQ46" s="571"/>
      <c r="ER46" s="571"/>
      <c r="ES46" s="571"/>
      <c r="ET46" s="571"/>
      <c r="EU46" s="571"/>
      <c r="EV46" s="571"/>
      <c r="EW46" s="571"/>
      <c r="EX46" s="571"/>
      <c r="EY46" s="571"/>
      <c r="EZ46" s="571"/>
      <c r="FA46" s="571"/>
      <c r="FB46" s="571"/>
      <c r="FC46" s="571"/>
      <c r="FD46" s="571"/>
      <c r="FE46" s="571"/>
      <c r="FF46" s="571"/>
      <c r="FG46" s="571"/>
      <c r="FH46" s="571"/>
      <c r="FI46" s="571"/>
      <c r="FJ46" s="571"/>
      <c r="FK46" s="571"/>
      <c r="FL46" s="571"/>
      <c r="FM46" s="571"/>
      <c r="FN46" s="571"/>
      <c r="FO46" s="571"/>
      <c r="FP46" s="571"/>
      <c r="FQ46" s="571"/>
      <c r="FR46" s="571"/>
      <c r="FS46" s="571"/>
      <c r="FT46" s="571"/>
      <c r="FU46" s="571"/>
      <c r="FV46" s="571"/>
      <c r="FW46" s="571"/>
      <c r="FX46" s="571"/>
      <c r="FY46" s="571"/>
      <c r="FZ46" s="571"/>
      <c r="GA46" s="571"/>
      <c r="GB46" s="571"/>
      <c r="GC46" s="571"/>
      <c r="GD46" s="571"/>
      <c r="GE46" s="571"/>
      <c r="GF46" s="571"/>
      <c r="GG46" s="571"/>
      <c r="GH46" s="571"/>
      <c r="GI46" s="571"/>
      <c r="GJ46" s="571"/>
      <c r="GK46" s="571"/>
      <c r="GL46" s="571"/>
      <c r="GM46" s="571"/>
      <c r="GN46" s="571"/>
      <c r="GO46" s="571"/>
      <c r="GP46" s="571"/>
      <c r="GQ46" s="571"/>
      <c r="GR46" s="571"/>
      <c r="GS46" s="571"/>
      <c r="GT46" s="571"/>
      <c r="GU46" s="571"/>
      <c r="GV46" s="571"/>
      <c r="GW46" s="571"/>
      <c r="GX46" s="571"/>
      <c r="GY46" s="571"/>
      <c r="GZ46" s="571"/>
      <c r="HA46" s="571"/>
      <c r="HB46" s="571"/>
      <c r="HC46" s="571"/>
      <c r="HD46" s="571"/>
      <c r="HE46" s="571"/>
      <c r="HF46" s="571"/>
      <c r="HG46" s="571"/>
      <c r="HH46" s="571"/>
      <c r="HI46" s="571"/>
      <c r="HJ46" s="571"/>
      <c r="HK46" s="571"/>
      <c r="HL46" s="571"/>
      <c r="HM46" s="571"/>
      <c r="HN46" s="571"/>
      <c r="HO46" s="571"/>
      <c r="HP46" s="571"/>
      <c r="HQ46" s="571"/>
      <c r="HR46" s="571"/>
      <c r="HS46" s="571"/>
      <c r="HT46" s="571"/>
      <c r="HU46" s="571"/>
      <c r="HV46" s="571"/>
      <c r="HW46" s="571"/>
      <c r="HX46" s="571"/>
      <c r="HY46" s="571"/>
      <c r="HZ46" s="571"/>
      <c r="IA46" s="571"/>
      <c r="IB46" s="571"/>
      <c r="IC46" s="571"/>
      <c r="ID46" s="571"/>
      <c r="IE46" s="571"/>
      <c r="IF46" s="571"/>
      <c r="IG46" s="571"/>
      <c r="IH46" s="571"/>
      <c r="II46" s="571"/>
      <c r="IJ46" s="571"/>
      <c r="IK46" s="571"/>
      <c r="IL46" s="571"/>
      <c r="IM46" s="571"/>
      <c r="IN46" s="571"/>
      <c r="IO46" s="571"/>
      <c r="IP46" s="571"/>
      <c r="IQ46" s="571"/>
      <c r="IR46" s="571"/>
      <c r="IS46" s="571"/>
      <c r="IT46" s="571"/>
      <c r="IU46" s="571"/>
      <c r="IV46" s="571"/>
      <c r="IW46" s="571"/>
    </row>
    <row r="47" customFormat="false" ht="12.75" hidden="false" customHeight="false" outlineLevel="0" collapsed="false">
      <c r="AC47" s="94"/>
      <c r="AF47" s="571"/>
      <c r="AG47" s="571"/>
    </row>
    <row r="48" customFormat="false" ht="12.75" hidden="false" customHeight="false" outlineLevel="0" collapsed="false">
      <c r="A48" s="572"/>
      <c r="B48" s="616"/>
      <c r="G48" s="573"/>
      <c r="H48" s="573"/>
      <c r="I48" s="573"/>
      <c r="J48" s="573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576"/>
      <c r="AC48" s="576"/>
    </row>
    <row r="49" customFormat="false" ht="15.75" hidden="false" customHeight="false" outlineLevel="0" collapsed="false">
      <c r="A49" s="3" t="s">
        <v>121</v>
      </c>
      <c r="C49" s="582"/>
      <c r="D49" s="582"/>
      <c r="E49" s="582"/>
      <c r="F49" s="582"/>
      <c r="G49" s="583"/>
      <c r="H49" s="583"/>
      <c r="I49" s="583"/>
      <c r="J49" s="583"/>
      <c r="K49" s="583"/>
      <c r="L49" s="583"/>
      <c r="M49" s="583"/>
      <c r="N49" s="583"/>
      <c r="O49" s="583"/>
      <c r="P49" s="583"/>
      <c r="Q49" s="583"/>
      <c r="R49" s="583"/>
      <c r="S49" s="583"/>
      <c r="T49" s="583"/>
      <c r="U49" s="583"/>
      <c r="V49" s="583"/>
      <c r="W49" s="583"/>
      <c r="X49" s="583"/>
      <c r="Y49" s="583"/>
      <c r="Z49" s="583"/>
      <c r="AA49" s="583"/>
      <c r="AB49" s="583"/>
      <c r="AC49" s="583"/>
      <c r="AD49" s="584"/>
      <c r="AE49" s="584"/>
      <c r="AH49" s="586"/>
      <c r="AI49" s="586"/>
      <c r="AJ49" s="586"/>
      <c r="AK49" s="586"/>
      <c r="AL49" s="586"/>
      <c r="AM49" s="586"/>
      <c r="AN49" s="586"/>
      <c r="AO49" s="586"/>
      <c r="AP49" s="586"/>
      <c r="AQ49" s="586"/>
      <c r="AR49" s="586"/>
      <c r="AS49" s="586"/>
      <c r="AT49" s="586"/>
      <c r="AU49" s="586"/>
      <c r="AV49" s="586"/>
      <c r="AW49" s="586"/>
      <c r="AX49" s="586"/>
      <c r="AY49" s="586"/>
      <c r="AZ49" s="586"/>
      <c r="BA49" s="586"/>
      <c r="BB49" s="586"/>
      <c r="BC49" s="586"/>
      <c r="BD49" s="586"/>
      <c r="BE49" s="586"/>
      <c r="BF49" s="586"/>
      <c r="BG49" s="586"/>
      <c r="BH49" s="586"/>
      <c r="BI49" s="586"/>
      <c r="BJ49" s="586"/>
      <c r="BK49" s="586"/>
      <c r="BL49" s="586"/>
      <c r="BM49" s="586"/>
      <c r="BN49" s="586"/>
      <c r="BO49" s="586"/>
      <c r="BP49" s="586"/>
      <c r="BQ49" s="586"/>
      <c r="BR49" s="586"/>
      <c r="BS49" s="586"/>
      <c r="BT49" s="586"/>
      <c r="BU49" s="586"/>
      <c r="BV49" s="586"/>
      <c r="BW49" s="586"/>
      <c r="BX49" s="586"/>
      <c r="BY49" s="586"/>
      <c r="BZ49" s="586"/>
      <c r="CA49" s="586"/>
      <c r="CB49" s="586"/>
      <c r="CC49" s="586"/>
      <c r="CD49" s="586"/>
      <c r="CE49" s="586"/>
      <c r="CF49" s="586"/>
      <c r="CG49" s="586"/>
      <c r="CH49" s="586"/>
      <c r="CI49" s="586"/>
      <c r="CJ49" s="586"/>
      <c r="CK49" s="586"/>
      <c r="CL49" s="586"/>
      <c r="CM49" s="586"/>
      <c r="CN49" s="586"/>
      <c r="CO49" s="586"/>
      <c r="CP49" s="586"/>
      <c r="CQ49" s="586"/>
      <c r="CR49" s="586"/>
      <c r="CS49" s="586"/>
      <c r="CT49" s="586"/>
      <c r="CU49" s="586"/>
      <c r="CV49" s="586"/>
      <c r="CW49" s="586"/>
      <c r="CX49" s="586"/>
      <c r="CY49" s="586"/>
      <c r="CZ49" s="586"/>
      <c r="DA49" s="586"/>
      <c r="DB49" s="586"/>
      <c r="DC49" s="586"/>
      <c r="DD49" s="586"/>
      <c r="DE49" s="586"/>
      <c r="DF49" s="586"/>
      <c r="DG49" s="586"/>
      <c r="DH49" s="586"/>
      <c r="DI49" s="586"/>
      <c r="DJ49" s="586"/>
      <c r="DK49" s="586"/>
      <c r="DL49" s="586"/>
      <c r="DM49" s="586"/>
      <c r="DN49" s="586"/>
      <c r="DO49" s="586"/>
      <c r="DP49" s="586"/>
      <c r="DQ49" s="586"/>
      <c r="DR49" s="586"/>
      <c r="DS49" s="586"/>
      <c r="DT49" s="586"/>
      <c r="DU49" s="586"/>
      <c r="DV49" s="586"/>
      <c r="DW49" s="586"/>
      <c r="DX49" s="586"/>
      <c r="DY49" s="586"/>
      <c r="DZ49" s="586"/>
      <c r="EA49" s="586"/>
      <c r="EB49" s="586"/>
      <c r="EC49" s="586"/>
      <c r="ED49" s="586"/>
      <c r="EE49" s="586"/>
      <c r="EF49" s="586"/>
      <c r="EG49" s="586"/>
      <c r="EH49" s="586"/>
      <c r="EI49" s="586"/>
      <c r="EJ49" s="586"/>
      <c r="EK49" s="586"/>
      <c r="EL49" s="586"/>
      <c r="EM49" s="586"/>
      <c r="EN49" s="586"/>
      <c r="EO49" s="586"/>
      <c r="EP49" s="586"/>
      <c r="EQ49" s="586"/>
      <c r="ER49" s="586"/>
      <c r="ES49" s="586"/>
      <c r="ET49" s="586"/>
      <c r="EU49" s="586"/>
      <c r="EV49" s="586"/>
      <c r="EW49" s="586"/>
      <c r="EX49" s="586"/>
      <c r="EY49" s="586"/>
      <c r="EZ49" s="586"/>
      <c r="FA49" s="586"/>
      <c r="FB49" s="586"/>
      <c r="FC49" s="586"/>
      <c r="FD49" s="586"/>
      <c r="FE49" s="586"/>
      <c r="FF49" s="586"/>
      <c r="FG49" s="586"/>
      <c r="FH49" s="586"/>
      <c r="FI49" s="586"/>
      <c r="FJ49" s="586"/>
      <c r="FK49" s="586"/>
      <c r="FL49" s="586"/>
      <c r="FM49" s="586"/>
      <c r="FN49" s="586"/>
      <c r="FO49" s="586"/>
      <c r="FP49" s="586"/>
      <c r="FQ49" s="586"/>
      <c r="FR49" s="586"/>
      <c r="FS49" s="586"/>
      <c r="FT49" s="586"/>
      <c r="FU49" s="586"/>
      <c r="FV49" s="586"/>
      <c r="FW49" s="586"/>
      <c r="FX49" s="586"/>
      <c r="FY49" s="586"/>
      <c r="FZ49" s="586"/>
      <c r="GA49" s="586"/>
      <c r="GB49" s="586"/>
      <c r="GC49" s="586"/>
      <c r="GD49" s="586"/>
      <c r="GE49" s="586"/>
      <c r="GF49" s="586"/>
      <c r="GG49" s="586"/>
      <c r="GH49" s="586"/>
      <c r="GI49" s="586"/>
      <c r="GJ49" s="586"/>
      <c r="GK49" s="586"/>
      <c r="GL49" s="586"/>
      <c r="GM49" s="586"/>
      <c r="GN49" s="586"/>
      <c r="GO49" s="586"/>
      <c r="GP49" s="586"/>
      <c r="GQ49" s="586"/>
      <c r="GR49" s="586"/>
      <c r="GS49" s="586"/>
      <c r="GT49" s="586"/>
      <c r="GU49" s="586"/>
      <c r="GV49" s="586"/>
      <c r="GW49" s="586"/>
      <c r="GX49" s="586"/>
      <c r="GY49" s="586"/>
      <c r="GZ49" s="586"/>
      <c r="HA49" s="586"/>
      <c r="HB49" s="586"/>
      <c r="HC49" s="586"/>
      <c r="HD49" s="586"/>
      <c r="HE49" s="586"/>
      <c r="HF49" s="586"/>
      <c r="HG49" s="586"/>
      <c r="HH49" s="586"/>
      <c r="HI49" s="586"/>
      <c r="HJ49" s="586"/>
      <c r="HK49" s="586"/>
      <c r="HL49" s="586"/>
      <c r="HM49" s="586"/>
      <c r="HN49" s="586"/>
      <c r="HO49" s="586"/>
      <c r="HP49" s="586"/>
      <c r="HQ49" s="586"/>
      <c r="HR49" s="586"/>
      <c r="HS49" s="586"/>
      <c r="HT49" s="586"/>
      <c r="HU49" s="586"/>
      <c r="HV49" s="586"/>
      <c r="HW49" s="586"/>
      <c r="HX49" s="586"/>
      <c r="HY49" s="586"/>
      <c r="HZ49" s="586"/>
      <c r="IA49" s="586"/>
      <c r="IB49" s="586"/>
      <c r="IC49" s="586"/>
      <c r="ID49" s="586"/>
      <c r="IE49" s="586"/>
      <c r="IF49" s="586"/>
      <c r="IG49" s="586"/>
      <c r="IH49" s="586"/>
      <c r="II49" s="586"/>
      <c r="IJ49" s="586"/>
      <c r="IK49" s="586"/>
      <c r="IL49" s="586"/>
      <c r="IM49" s="586"/>
      <c r="IN49" s="586"/>
      <c r="IO49" s="586"/>
      <c r="IP49" s="586"/>
      <c r="IQ49" s="586"/>
      <c r="IR49" s="586"/>
      <c r="IS49" s="586"/>
      <c r="IT49" s="586"/>
      <c r="IU49" s="586"/>
      <c r="IV49" s="586"/>
      <c r="IW49" s="586"/>
    </row>
    <row r="50" customFormat="false" ht="12.75" hidden="false" customHeight="false" outlineLevel="0" collapsed="false">
      <c r="A50" s="572"/>
      <c r="B50" s="587" t="s">
        <v>415</v>
      </c>
      <c r="G50" s="617"/>
      <c r="H50" s="588"/>
      <c r="I50" s="588"/>
      <c r="J50" s="588"/>
      <c r="K50" s="588"/>
      <c r="L50" s="588"/>
      <c r="M50" s="588"/>
      <c r="N50" s="588"/>
      <c r="O50" s="588"/>
      <c r="P50" s="588"/>
      <c r="Q50" s="588"/>
      <c r="R50" s="588"/>
      <c r="S50" s="588"/>
      <c r="T50" s="588"/>
      <c r="U50" s="588"/>
      <c r="AC50" s="94"/>
      <c r="AD50" s="584"/>
      <c r="AE50" s="584"/>
      <c r="AF50" s="586"/>
      <c r="AG50" s="586"/>
      <c r="AH50" s="586"/>
      <c r="AI50" s="586"/>
      <c r="AJ50" s="586"/>
      <c r="AK50" s="586"/>
      <c r="AL50" s="586"/>
      <c r="AM50" s="586"/>
      <c r="AN50" s="586"/>
      <c r="AO50" s="586"/>
      <c r="AP50" s="586"/>
      <c r="AQ50" s="586"/>
      <c r="AR50" s="586"/>
      <c r="AS50" s="586"/>
      <c r="AT50" s="586"/>
      <c r="AU50" s="586"/>
      <c r="AV50" s="586"/>
      <c r="AW50" s="586"/>
      <c r="AX50" s="586"/>
      <c r="AY50" s="586"/>
      <c r="AZ50" s="586"/>
      <c r="BA50" s="586"/>
      <c r="BB50" s="586"/>
      <c r="BC50" s="586"/>
      <c r="BD50" s="586"/>
      <c r="BE50" s="586"/>
      <c r="BF50" s="586"/>
      <c r="BG50" s="586"/>
      <c r="BH50" s="586"/>
      <c r="BI50" s="586"/>
      <c r="BJ50" s="586"/>
      <c r="BK50" s="586"/>
      <c r="BL50" s="586"/>
      <c r="BM50" s="586"/>
      <c r="BN50" s="586"/>
      <c r="BO50" s="586"/>
      <c r="BP50" s="586"/>
      <c r="BQ50" s="586"/>
      <c r="BR50" s="586"/>
      <c r="BS50" s="586"/>
      <c r="BT50" s="586"/>
      <c r="BU50" s="586"/>
      <c r="BV50" s="586"/>
      <c r="BW50" s="586"/>
      <c r="BX50" s="586"/>
      <c r="BY50" s="586"/>
      <c r="BZ50" s="586"/>
      <c r="CA50" s="586"/>
      <c r="CB50" s="586"/>
      <c r="CC50" s="586"/>
      <c r="CD50" s="586"/>
      <c r="CE50" s="586"/>
      <c r="CF50" s="586"/>
      <c r="CG50" s="586"/>
      <c r="CH50" s="586"/>
      <c r="CI50" s="586"/>
      <c r="CJ50" s="586"/>
      <c r="CK50" s="586"/>
      <c r="CL50" s="586"/>
      <c r="CM50" s="586"/>
      <c r="CN50" s="586"/>
      <c r="CO50" s="586"/>
      <c r="CP50" s="586"/>
      <c r="CQ50" s="586"/>
      <c r="CR50" s="586"/>
      <c r="CS50" s="586"/>
      <c r="CT50" s="586"/>
      <c r="CU50" s="586"/>
      <c r="CV50" s="586"/>
      <c r="CW50" s="586"/>
      <c r="CX50" s="586"/>
      <c r="CY50" s="586"/>
      <c r="CZ50" s="586"/>
      <c r="DA50" s="586"/>
      <c r="DB50" s="586"/>
      <c r="DC50" s="586"/>
      <c r="DD50" s="586"/>
      <c r="DE50" s="586"/>
      <c r="DF50" s="586"/>
      <c r="DG50" s="586"/>
      <c r="DH50" s="586"/>
      <c r="DI50" s="586"/>
      <c r="DJ50" s="586"/>
      <c r="DK50" s="586"/>
      <c r="DL50" s="586"/>
      <c r="DM50" s="586"/>
      <c r="DN50" s="586"/>
      <c r="DO50" s="586"/>
      <c r="DP50" s="586"/>
      <c r="DQ50" s="586"/>
      <c r="DR50" s="586"/>
      <c r="DS50" s="586"/>
      <c r="DT50" s="586"/>
      <c r="DU50" s="586"/>
      <c r="DV50" s="586"/>
      <c r="DW50" s="586"/>
      <c r="DX50" s="586"/>
      <c r="DY50" s="586"/>
      <c r="DZ50" s="586"/>
      <c r="EA50" s="586"/>
      <c r="EB50" s="586"/>
      <c r="EC50" s="586"/>
      <c r="ED50" s="586"/>
      <c r="EE50" s="586"/>
      <c r="EF50" s="586"/>
      <c r="EG50" s="586"/>
      <c r="EH50" s="586"/>
      <c r="EI50" s="586"/>
      <c r="EJ50" s="586"/>
      <c r="EK50" s="586"/>
      <c r="EL50" s="586"/>
      <c r="EM50" s="586"/>
      <c r="EN50" s="586"/>
      <c r="EO50" s="586"/>
      <c r="EP50" s="586"/>
      <c r="EQ50" s="586"/>
      <c r="ER50" s="586"/>
      <c r="ES50" s="586"/>
      <c r="ET50" s="586"/>
      <c r="EU50" s="586"/>
      <c r="EV50" s="586"/>
      <c r="EW50" s="586"/>
      <c r="EX50" s="586"/>
      <c r="EY50" s="586"/>
      <c r="EZ50" s="586"/>
      <c r="FA50" s="586"/>
      <c r="FB50" s="586"/>
      <c r="FC50" s="586"/>
      <c r="FD50" s="586"/>
      <c r="FE50" s="586"/>
      <c r="FF50" s="586"/>
      <c r="FG50" s="586"/>
      <c r="FH50" s="586"/>
      <c r="FI50" s="586"/>
      <c r="FJ50" s="586"/>
      <c r="FK50" s="586"/>
      <c r="FL50" s="586"/>
      <c r="FM50" s="586"/>
      <c r="FN50" s="586"/>
      <c r="FO50" s="586"/>
      <c r="FP50" s="586"/>
      <c r="FQ50" s="586"/>
      <c r="FR50" s="586"/>
      <c r="FS50" s="586"/>
      <c r="FT50" s="586"/>
      <c r="FU50" s="586"/>
      <c r="FV50" s="586"/>
      <c r="FW50" s="586"/>
      <c r="FX50" s="586"/>
      <c r="FY50" s="586"/>
      <c r="FZ50" s="586"/>
      <c r="GA50" s="586"/>
      <c r="GB50" s="586"/>
      <c r="GC50" s="586"/>
      <c r="GD50" s="586"/>
      <c r="GE50" s="586"/>
      <c r="GF50" s="586"/>
      <c r="GG50" s="586"/>
      <c r="GH50" s="586"/>
      <c r="GI50" s="586"/>
      <c r="GJ50" s="586"/>
      <c r="GK50" s="586"/>
      <c r="GL50" s="586"/>
      <c r="GM50" s="586"/>
      <c r="GN50" s="586"/>
      <c r="GO50" s="586"/>
      <c r="GP50" s="586"/>
      <c r="GQ50" s="586"/>
      <c r="GR50" s="586"/>
      <c r="GS50" s="586"/>
      <c r="GT50" s="586"/>
      <c r="GU50" s="586"/>
      <c r="GV50" s="586"/>
      <c r="GW50" s="586"/>
      <c r="GX50" s="586"/>
      <c r="GY50" s="586"/>
      <c r="GZ50" s="586"/>
      <c r="HA50" s="586"/>
      <c r="HB50" s="586"/>
      <c r="HC50" s="586"/>
      <c r="HD50" s="586"/>
      <c r="HE50" s="586"/>
      <c r="HF50" s="586"/>
      <c r="HG50" s="586"/>
      <c r="HH50" s="586"/>
      <c r="HI50" s="586"/>
      <c r="HJ50" s="586"/>
      <c r="HK50" s="586"/>
      <c r="HL50" s="586"/>
      <c r="HM50" s="586"/>
      <c r="HN50" s="586"/>
      <c r="HO50" s="586"/>
      <c r="HP50" s="586"/>
      <c r="HQ50" s="586"/>
      <c r="HR50" s="586"/>
      <c r="HS50" s="586"/>
      <c r="HT50" s="586"/>
      <c r="HU50" s="586"/>
      <c r="HV50" s="586"/>
      <c r="HW50" s="586"/>
      <c r="HX50" s="586"/>
      <c r="HY50" s="586"/>
      <c r="HZ50" s="586"/>
      <c r="IA50" s="586"/>
      <c r="IB50" s="586"/>
      <c r="IC50" s="586"/>
      <c r="ID50" s="586"/>
      <c r="IE50" s="586"/>
      <c r="IF50" s="586"/>
      <c r="IG50" s="586"/>
      <c r="IH50" s="586"/>
      <c r="II50" s="586"/>
      <c r="IJ50" s="586"/>
      <c r="IK50" s="586"/>
      <c r="IL50" s="586"/>
      <c r="IM50" s="586"/>
      <c r="IN50" s="586"/>
      <c r="IO50" s="586"/>
      <c r="IP50" s="586"/>
      <c r="IQ50" s="586"/>
      <c r="IR50" s="586"/>
      <c r="IS50" s="586"/>
      <c r="IT50" s="586"/>
      <c r="IU50" s="586"/>
      <c r="IV50" s="586"/>
      <c r="IW50" s="586"/>
    </row>
    <row r="51" customFormat="false" ht="12.75" hidden="false" customHeight="false" outlineLevel="0" collapsed="false">
      <c r="A51" s="581" t="s">
        <v>413</v>
      </c>
      <c r="B51" s="591" t="n">
        <f aca="false">Assumptions!$D$41</f>
        <v>15</v>
      </c>
      <c r="C51" s="618"/>
      <c r="D51" s="618"/>
      <c r="E51" s="618"/>
      <c r="F51" s="618"/>
      <c r="G51" s="406" t="n">
        <v>0</v>
      </c>
      <c r="H51" s="406" t="n">
        <f aca="false">VLOOKUP(G3+IF($H$7&gt;0,1,0),$AF$14:$AG$30,2)</f>
        <v>0.05</v>
      </c>
      <c r="I51" s="406" t="n">
        <f aca="false">VLOOKUP(H3+IF($H$7&gt;0,1,0),$AF$14:$AG$30,2)</f>
        <v>0.095</v>
      </c>
      <c r="J51" s="406" t="n">
        <f aca="false">VLOOKUP(I3+IF($H$7&gt;0,1,0),$AF$14:$AG$30,2)</f>
        <v>0.0855</v>
      </c>
      <c r="K51" s="406" t="n">
        <f aca="false">VLOOKUP(J3+IF($H$7&gt;0,1,0),$AF$14:$AG$30,2)</f>
        <v>0.077</v>
      </c>
      <c r="L51" s="406" t="n">
        <f aca="false">VLOOKUP(K3+IF($H$7&gt;0,1,0),$AF$14:$AG$30,2)</f>
        <v>0.0693</v>
      </c>
      <c r="M51" s="406" t="n">
        <f aca="false">VLOOKUP(L3+IF($H$7&gt;0,1,0),$AF$14:$AG$30,2)</f>
        <v>0.0623</v>
      </c>
      <c r="N51" s="406" t="n">
        <f aca="false">VLOOKUP(M3+IF($H$7&gt;0,1,0),$AF$14:$AG$30,2)</f>
        <v>0.059</v>
      </c>
      <c r="O51" s="406" t="n">
        <f aca="false">VLOOKUP(N3+IF($H$7&gt;0,1,0),$AF$14:$AG$30,2)</f>
        <v>0.0591</v>
      </c>
      <c r="P51" s="406" t="n">
        <f aca="false">VLOOKUP(O3+IF($H$7&gt;0,1,0),$AF$14:$AG$30,2)</f>
        <v>0.059</v>
      </c>
      <c r="Q51" s="406" t="n">
        <f aca="false">VLOOKUP(P3+IF($H$7&gt;0,1,0),$AF$14:$AG$30,2)</f>
        <v>0.0591</v>
      </c>
      <c r="R51" s="406" t="n">
        <f aca="false">VLOOKUP(Q3+IF($H$7&gt;0,1,0),$AF$14:$AG$30,2)</f>
        <v>0.059</v>
      </c>
      <c r="S51" s="406" t="n">
        <f aca="false">VLOOKUP(R3+IF($H$7&gt;0,1,0),$AF$14:$AG$30,2)</f>
        <v>0.0591</v>
      </c>
      <c r="T51" s="406" t="n">
        <f aca="false">VLOOKUP(S3+IF($H$7&gt;0,1,0),$AF$14:$AG$30,2)</f>
        <v>0.059</v>
      </c>
      <c r="U51" s="406" t="n">
        <f aca="false">VLOOKUP(T3+IF($H$7&gt;0,1,0),$AF$14:$AG$30,2)</f>
        <v>0.0591</v>
      </c>
      <c r="V51" s="406" t="n">
        <f aca="false">VLOOKUP(U3+IF($H$7&gt;0,1,0),$AF$14:$AG$30,2)</f>
        <v>0.059</v>
      </c>
      <c r="W51" s="406" t="n">
        <f aca="false">VLOOKUP(V3+IF($H$7&gt;0,1,0),$AF$14:$AG$30,2)</f>
        <v>0.0295</v>
      </c>
      <c r="X51" s="406" t="n">
        <v>0</v>
      </c>
      <c r="Y51" s="406" t="n">
        <v>0</v>
      </c>
      <c r="Z51" s="406" t="n">
        <v>0</v>
      </c>
      <c r="AA51" s="406" t="n">
        <v>0</v>
      </c>
      <c r="AB51" s="406" t="n">
        <v>0</v>
      </c>
      <c r="AC51" s="406" t="n">
        <v>0</v>
      </c>
      <c r="AD51" s="584"/>
      <c r="AE51" s="584"/>
      <c r="AF51" s="586"/>
      <c r="AG51" s="586"/>
      <c r="AH51" s="586"/>
      <c r="AI51" s="586"/>
      <c r="AJ51" s="586"/>
      <c r="AK51" s="586"/>
      <c r="AL51" s="586"/>
      <c r="AM51" s="586"/>
      <c r="AN51" s="586"/>
      <c r="AO51" s="586"/>
      <c r="AP51" s="586"/>
      <c r="AQ51" s="586"/>
      <c r="AR51" s="586"/>
      <c r="AS51" s="586"/>
      <c r="AT51" s="586"/>
      <c r="AU51" s="586"/>
      <c r="AV51" s="586"/>
      <c r="AW51" s="586"/>
      <c r="AX51" s="586"/>
      <c r="AY51" s="586"/>
      <c r="AZ51" s="586"/>
      <c r="BA51" s="586"/>
      <c r="BB51" s="586"/>
      <c r="BC51" s="586"/>
      <c r="BD51" s="586"/>
      <c r="BE51" s="586"/>
      <c r="BF51" s="586"/>
      <c r="BG51" s="586"/>
      <c r="BH51" s="586"/>
      <c r="BI51" s="586"/>
      <c r="BJ51" s="586"/>
      <c r="BK51" s="586"/>
      <c r="BL51" s="586"/>
      <c r="BM51" s="586"/>
      <c r="BN51" s="586"/>
      <c r="BO51" s="586"/>
      <c r="BP51" s="586"/>
      <c r="BQ51" s="586"/>
      <c r="BR51" s="586"/>
      <c r="BS51" s="586"/>
      <c r="BT51" s="586"/>
      <c r="BU51" s="586"/>
      <c r="BV51" s="586"/>
      <c r="BW51" s="586"/>
      <c r="BX51" s="586"/>
      <c r="BY51" s="586"/>
      <c r="BZ51" s="586"/>
      <c r="CA51" s="586"/>
      <c r="CB51" s="586"/>
      <c r="CC51" s="586"/>
      <c r="CD51" s="586"/>
      <c r="CE51" s="586"/>
      <c r="CF51" s="586"/>
      <c r="CG51" s="586"/>
      <c r="CH51" s="586"/>
      <c r="CI51" s="586"/>
      <c r="CJ51" s="586"/>
      <c r="CK51" s="586"/>
      <c r="CL51" s="586"/>
      <c r="CM51" s="586"/>
      <c r="CN51" s="586"/>
      <c r="CO51" s="586"/>
      <c r="CP51" s="586"/>
      <c r="CQ51" s="586"/>
      <c r="CR51" s="586"/>
      <c r="CS51" s="586"/>
      <c r="CT51" s="586"/>
      <c r="CU51" s="586"/>
      <c r="CV51" s="586"/>
      <c r="CW51" s="586"/>
      <c r="CX51" s="586"/>
      <c r="CY51" s="586"/>
      <c r="CZ51" s="586"/>
      <c r="DA51" s="586"/>
      <c r="DB51" s="586"/>
      <c r="DC51" s="586"/>
      <c r="DD51" s="586"/>
      <c r="DE51" s="586"/>
      <c r="DF51" s="586"/>
      <c r="DG51" s="586"/>
      <c r="DH51" s="586"/>
      <c r="DI51" s="586"/>
      <c r="DJ51" s="586"/>
      <c r="DK51" s="586"/>
      <c r="DL51" s="586"/>
      <c r="DM51" s="586"/>
      <c r="DN51" s="586"/>
      <c r="DO51" s="586"/>
      <c r="DP51" s="586"/>
      <c r="DQ51" s="586"/>
      <c r="DR51" s="586"/>
      <c r="DS51" s="586"/>
      <c r="DT51" s="586"/>
      <c r="DU51" s="586"/>
      <c r="DV51" s="586"/>
      <c r="DW51" s="586"/>
      <c r="DX51" s="586"/>
      <c r="DY51" s="586"/>
      <c r="DZ51" s="586"/>
      <c r="EA51" s="586"/>
      <c r="EB51" s="586"/>
      <c r="EC51" s="586"/>
      <c r="ED51" s="586"/>
      <c r="EE51" s="586"/>
      <c r="EF51" s="586"/>
      <c r="EG51" s="586"/>
      <c r="EH51" s="586"/>
      <c r="EI51" s="586"/>
      <c r="EJ51" s="586"/>
      <c r="EK51" s="586"/>
      <c r="EL51" s="586"/>
      <c r="EM51" s="586"/>
      <c r="EN51" s="586"/>
      <c r="EO51" s="586"/>
      <c r="EP51" s="586"/>
      <c r="EQ51" s="586"/>
      <c r="ER51" s="586"/>
      <c r="ES51" s="586"/>
      <c r="ET51" s="586"/>
      <c r="EU51" s="586"/>
      <c r="EV51" s="586"/>
      <c r="EW51" s="586"/>
      <c r="EX51" s="586"/>
      <c r="EY51" s="586"/>
      <c r="EZ51" s="586"/>
      <c r="FA51" s="586"/>
      <c r="FB51" s="586"/>
      <c r="FC51" s="586"/>
      <c r="FD51" s="586"/>
      <c r="FE51" s="586"/>
      <c r="FF51" s="586"/>
      <c r="FG51" s="586"/>
      <c r="FH51" s="586"/>
      <c r="FI51" s="586"/>
      <c r="FJ51" s="586"/>
      <c r="FK51" s="586"/>
      <c r="FL51" s="586"/>
      <c r="FM51" s="586"/>
      <c r="FN51" s="586"/>
      <c r="FO51" s="586"/>
      <c r="FP51" s="586"/>
      <c r="FQ51" s="586"/>
      <c r="FR51" s="586"/>
      <c r="FS51" s="586"/>
      <c r="FT51" s="586"/>
      <c r="FU51" s="586"/>
      <c r="FV51" s="586"/>
      <c r="FW51" s="586"/>
      <c r="FX51" s="586"/>
      <c r="FY51" s="586"/>
      <c r="FZ51" s="586"/>
      <c r="GA51" s="586"/>
      <c r="GB51" s="586"/>
      <c r="GC51" s="586"/>
      <c r="GD51" s="586"/>
      <c r="GE51" s="586"/>
      <c r="GF51" s="586"/>
      <c r="GG51" s="586"/>
      <c r="GH51" s="586"/>
      <c r="GI51" s="586"/>
      <c r="GJ51" s="586"/>
      <c r="GK51" s="586"/>
      <c r="GL51" s="586"/>
      <c r="GM51" s="586"/>
      <c r="GN51" s="586"/>
      <c r="GO51" s="586"/>
      <c r="GP51" s="586"/>
      <c r="GQ51" s="586"/>
      <c r="GR51" s="586"/>
      <c r="GS51" s="586"/>
      <c r="GT51" s="586"/>
      <c r="GU51" s="586"/>
      <c r="GV51" s="586"/>
      <c r="GW51" s="586"/>
      <c r="GX51" s="586"/>
      <c r="GY51" s="586"/>
      <c r="GZ51" s="586"/>
      <c r="HA51" s="586"/>
      <c r="HB51" s="586"/>
      <c r="HC51" s="586"/>
      <c r="HD51" s="586"/>
      <c r="HE51" s="586"/>
      <c r="HF51" s="586"/>
      <c r="HG51" s="586"/>
      <c r="HH51" s="586"/>
      <c r="HI51" s="586"/>
      <c r="HJ51" s="586"/>
      <c r="HK51" s="586"/>
      <c r="HL51" s="586"/>
      <c r="HM51" s="586"/>
      <c r="HN51" s="586"/>
      <c r="HO51" s="586"/>
      <c r="HP51" s="586"/>
      <c r="HQ51" s="586"/>
      <c r="HR51" s="586"/>
      <c r="HS51" s="586"/>
      <c r="HT51" s="586"/>
      <c r="HU51" s="586"/>
      <c r="HV51" s="586"/>
      <c r="HW51" s="586"/>
      <c r="HX51" s="586"/>
      <c r="HY51" s="586"/>
      <c r="HZ51" s="586"/>
      <c r="IA51" s="586"/>
      <c r="IB51" s="586"/>
      <c r="IC51" s="586"/>
      <c r="ID51" s="586"/>
      <c r="IE51" s="586"/>
      <c r="IF51" s="586"/>
      <c r="IG51" s="586"/>
      <c r="IH51" s="586"/>
      <c r="II51" s="586"/>
      <c r="IJ51" s="586"/>
      <c r="IK51" s="586"/>
      <c r="IL51" s="586"/>
      <c r="IM51" s="586"/>
      <c r="IN51" s="586"/>
      <c r="IO51" s="586"/>
      <c r="IP51" s="586"/>
      <c r="IQ51" s="586"/>
      <c r="IR51" s="586"/>
      <c r="IS51" s="586"/>
      <c r="IT51" s="586"/>
      <c r="IU51" s="586"/>
      <c r="IV51" s="586"/>
      <c r="IW51" s="586"/>
    </row>
    <row r="52" customFormat="false" ht="12.75" hidden="false" customHeight="false" outlineLevel="0" collapsed="false">
      <c r="B52" s="594" t="n">
        <f aca="false">Assumptions!$D$42</f>
        <v>20</v>
      </c>
      <c r="C52" s="595"/>
      <c r="D52" s="595"/>
      <c r="E52" s="595"/>
      <c r="F52" s="595"/>
      <c r="G52" s="406" t="n">
        <v>0</v>
      </c>
      <c r="H52" s="406" t="n">
        <f aca="false">1/20</f>
        <v>0.05</v>
      </c>
      <c r="I52" s="406" t="n">
        <f aca="false">1/20</f>
        <v>0.05</v>
      </c>
      <c r="J52" s="406" t="n">
        <f aca="false">1/20</f>
        <v>0.05</v>
      </c>
      <c r="K52" s="406" t="n">
        <f aca="false">1/20</f>
        <v>0.05</v>
      </c>
      <c r="L52" s="406" t="n">
        <f aca="false">1/20</f>
        <v>0.05</v>
      </c>
      <c r="M52" s="406" t="n">
        <f aca="false">1/20</f>
        <v>0.05</v>
      </c>
      <c r="N52" s="406" t="n">
        <f aca="false">1/20</f>
        <v>0.05</v>
      </c>
      <c r="O52" s="406" t="n">
        <f aca="false">1/20</f>
        <v>0.05</v>
      </c>
      <c r="P52" s="406" t="n">
        <f aca="false">1/20</f>
        <v>0.05</v>
      </c>
      <c r="Q52" s="406" t="n">
        <f aca="false">1/20</f>
        <v>0.05</v>
      </c>
      <c r="R52" s="406" t="n">
        <f aca="false">1/20</f>
        <v>0.05</v>
      </c>
      <c r="S52" s="406" t="n">
        <f aca="false">1/20</f>
        <v>0.05</v>
      </c>
      <c r="T52" s="406" t="n">
        <f aca="false">1/20</f>
        <v>0.05</v>
      </c>
      <c r="U52" s="406" t="n">
        <f aca="false">1/20</f>
        <v>0.05</v>
      </c>
      <c r="V52" s="406" t="n">
        <f aca="false">1/20</f>
        <v>0.05</v>
      </c>
      <c r="W52" s="406" t="n">
        <f aca="false">1/20</f>
        <v>0.05</v>
      </c>
      <c r="X52" s="406" t="n">
        <f aca="false">1/20</f>
        <v>0.05</v>
      </c>
      <c r="Y52" s="406" t="n">
        <f aca="false">1/20</f>
        <v>0.05</v>
      </c>
      <c r="Z52" s="406" t="n">
        <f aca="false">1/20</f>
        <v>0.05</v>
      </c>
      <c r="AA52" s="406" t="n">
        <f aca="false">1/20</f>
        <v>0.05</v>
      </c>
      <c r="AB52" s="406" t="n">
        <v>0</v>
      </c>
      <c r="AC52" s="406" t="n">
        <v>0</v>
      </c>
      <c r="AD52" s="584"/>
      <c r="AE52" s="584"/>
      <c r="AF52" s="586"/>
      <c r="AG52" s="586"/>
      <c r="AH52" s="586"/>
      <c r="AI52" s="586"/>
      <c r="AJ52" s="586"/>
      <c r="AK52" s="586"/>
      <c r="AL52" s="586"/>
      <c r="AM52" s="586"/>
      <c r="AN52" s="586"/>
      <c r="AO52" s="586"/>
      <c r="AP52" s="586"/>
      <c r="AQ52" s="586"/>
      <c r="AR52" s="586"/>
      <c r="AS52" s="586"/>
      <c r="AT52" s="586"/>
      <c r="AU52" s="586"/>
      <c r="AV52" s="586"/>
      <c r="AW52" s="586"/>
      <c r="AX52" s="586"/>
      <c r="AY52" s="586"/>
      <c r="AZ52" s="586"/>
      <c r="BA52" s="586"/>
      <c r="BB52" s="586"/>
      <c r="BC52" s="586"/>
      <c r="BD52" s="586"/>
      <c r="BE52" s="586"/>
      <c r="BF52" s="586"/>
      <c r="BG52" s="586"/>
      <c r="BH52" s="586"/>
      <c r="BI52" s="586"/>
      <c r="BJ52" s="586"/>
      <c r="BK52" s="586"/>
      <c r="BL52" s="586"/>
      <c r="BM52" s="586"/>
      <c r="BN52" s="586"/>
      <c r="BO52" s="586"/>
      <c r="BP52" s="586"/>
      <c r="BQ52" s="586"/>
      <c r="BR52" s="586"/>
      <c r="BS52" s="586"/>
      <c r="BT52" s="586"/>
      <c r="BU52" s="586"/>
      <c r="BV52" s="586"/>
      <c r="BW52" s="586"/>
      <c r="BX52" s="586"/>
      <c r="BY52" s="586"/>
      <c r="BZ52" s="586"/>
      <c r="CA52" s="586"/>
      <c r="CB52" s="586"/>
      <c r="CC52" s="586"/>
      <c r="CD52" s="586"/>
      <c r="CE52" s="586"/>
      <c r="CF52" s="586"/>
      <c r="CG52" s="586"/>
      <c r="CH52" s="586"/>
      <c r="CI52" s="586"/>
      <c r="CJ52" s="586"/>
      <c r="CK52" s="586"/>
      <c r="CL52" s="586"/>
      <c r="CM52" s="586"/>
      <c r="CN52" s="586"/>
      <c r="CO52" s="586"/>
      <c r="CP52" s="586"/>
      <c r="CQ52" s="586"/>
      <c r="CR52" s="586"/>
      <c r="CS52" s="586"/>
      <c r="CT52" s="586"/>
      <c r="CU52" s="586"/>
      <c r="CV52" s="586"/>
      <c r="CW52" s="586"/>
      <c r="CX52" s="586"/>
      <c r="CY52" s="586"/>
      <c r="CZ52" s="586"/>
      <c r="DA52" s="586"/>
      <c r="DB52" s="586"/>
      <c r="DC52" s="586"/>
      <c r="DD52" s="586"/>
      <c r="DE52" s="586"/>
      <c r="DF52" s="586"/>
      <c r="DG52" s="586"/>
      <c r="DH52" s="586"/>
      <c r="DI52" s="586"/>
      <c r="DJ52" s="586"/>
      <c r="DK52" s="586"/>
      <c r="DL52" s="586"/>
      <c r="DM52" s="586"/>
      <c r="DN52" s="586"/>
      <c r="DO52" s="586"/>
      <c r="DP52" s="586"/>
      <c r="DQ52" s="586"/>
      <c r="DR52" s="586"/>
      <c r="DS52" s="586"/>
      <c r="DT52" s="586"/>
      <c r="DU52" s="586"/>
      <c r="DV52" s="586"/>
      <c r="DW52" s="586"/>
      <c r="DX52" s="586"/>
      <c r="DY52" s="586"/>
      <c r="DZ52" s="586"/>
      <c r="EA52" s="586"/>
      <c r="EB52" s="586"/>
      <c r="EC52" s="586"/>
      <c r="ED52" s="586"/>
      <c r="EE52" s="586"/>
      <c r="EF52" s="586"/>
      <c r="EG52" s="586"/>
      <c r="EH52" s="586"/>
      <c r="EI52" s="586"/>
      <c r="EJ52" s="586"/>
      <c r="EK52" s="586"/>
      <c r="EL52" s="586"/>
      <c r="EM52" s="586"/>
      <c r="EN52" s="586"/>
      <c r="EO52" s="586"/>
      <c r="EP52" s="586"/>
      <c r="EQ52" s="586"/>
      <c r="ER52" s="586"/>
      <c r="ES52" s="586"/>
      <c r="ET52" s="586"/>
      <c r="EU52" s="586"/>
      <c r="EV52" s="586"/>
      <c r="EW52" s="586"/>
      <c r="EX52" s="586"/>
      <c r="EY52" s="586"/>
      <c r="EZ52" s="586"/>
      <c r="FA52" s="586"/>
      <c r="FB52" s="586"/>
      <c r="FC52" s="586"/>
      <c r="FD52" s="586"/>
      <c r="FE52" s="586"/>
      <c r="FF52" s="586"/>
      <c r="FG52" s="586"/>
      <c r="FH52" s="586"/>
      <c r="FI52" s="586"/>
      <c r="FJ52" s="586"/>
      <c r="FK52" s="586"/>
      <c r="FL52" s="586"/>
      <c r="FM52" s="586"/>
      <c r="FN52" s="586"/>
      <c r="FO52" s="586"/>
      <c r="FP52" s="586"/>
      <c r="FQ52" s="586"/>
      <c r="FR52" s="586"/>
      <c r="FS52" s="586"/>
      <c r="FT52" s="586"/>
      <c r="FU52" s="586"/>
      <c r="FV52" s="586"/>
      <c r="FW52" s="586"/>
      <c r="FX52" s="586"/>
      <c r="FY52" s="586"/>
      <c r="FZ52" s="586"/>
      <c r="GA52" s="586"/>
      <c r="GB52" s="586"/>
      <c r="GC52" s="586"/>
      <c r="GD52" s="586"/>
      <c r="GE52" s="586"/>
      <c r="GF52" s="586"/>
      <c r="GG52" s="586"/>
      <c r="GH52" s="586"/>
      <c r="GI52" s="586"/>
      <c r="GJ52" s="586"/>
      <c r="GK52" s="586"/>
      <c r="GL52" s="586"/>
      <c r="GM52" s="586"/>
      <c r="GN52" s="586"/>
      <c r="GO52" s="586"/>
      <c r="GP52" s="586"/>
      <c r="GQ52" s="586"/>
      <c r="GR52" s="586"/>
      <c r="GS52" s="586"/>
      <c r="GT52" s="586"/>
      <c r="GU52" s="586"/>
      <c r="GV52" s="586"/>
      <c r="GW52" s="586"/>
      <c r="GX52" s="586"/>
      <c r="GY52" s="586"/>
      <c r="GZ52" s="586"/>
      <c r="HA52" s="586"/>
      <c r="HB52" s="586"/>
      <c r="HC52" s="586"/>
      <c r="HD52" s="586"/>
      <c r="HE52" s="586"/>
      <c r="HF52" s="586"/>
      <c r="HG52" s="586"/>
      <c r="HH52" s="586"/>
      <c r="HI52" s="586"/>
      <c r="HJ52" s="586"/>
      <c r="HK52" s="586"/>
      <c r="HL52" s="586"/>
      <c r="HM52" s="586"/>
      <c r="HN52" s="586"/>
      <c r="HO52" s="586"/>
      <c r="HP52" s="586"/>
      <c r="HQ52" s="586"/>
      <c r="HR52" s="586"/>
      <c r="HS52" s="586"/>
      <c r="HT52" s="586"/>
      <c r="HU52" s="586"/>
      <c r="HV52" s="586"/>
      <c r="HW52" s="586"/>
      <c r="HX52" s="586"/>
      <c r="HY52" s="586"/>
      <c r="HZ52" s="586"/>
      <c r="IA52" s="586"/>
      <c r="IB52" s="586"/>
      <c r="IC52" s="586"/>
      <c r="ID52" s="586"/>
      <c r="IE52" s="586"/>
      <c r="IF52" s="586"/>
      <c r="IG52" s="586"/>
      <c r="IH52" s="586"/>
      <c r="II52" s="586"/>
      <c r="IJ52" s="586"/>
      <c r="IK52" s="586"/>
      <c r="IL52" s="586"/>
      <c r="IM52" s="586"/>
      <c r="IN52" s="586"/>
      <c r="IO52" s="586"/>
      <c r="IP52" s="586"/>
      <c r="IQ52" s="586"/>
      <c r="IR52" s="586"/>
      <c r="IS52" s="586"/>
      <c r="IT52" s="586"/>
      <c r="IU52" s="586"/>
      <c r="IV52" s="586"/>
      <c r="IW52" s="586"/>
    </row>
    <row r="53" customFormat="false" ht="12.75" hidden="false" customHeight="false" outlineLevel="0" collapsed="false">
      <c r="A53" s="586"/>
      <c r="B53" s="597"/>
      <c r="G53" s="588"/>
      <c r="AD53" s="584"/>
      <c r="AE53" s="584"/>
      <c r="AF53" s="586"/>
      <c r="AG53" s="586"/>
      <c r="AH53" s="586"/>
      <c r="AI53" s="586"/>
      <c r="AJ53" s="586"/>
      <c r="AK53" s="586"/>
      <c r="AL53" s="586"/>
      <c r="AM53" s="586"/>
      <c r="AN53" s="586"/>
      <c r="AO53" s="586"/>
      <c r="AP53" s="586"/>
      <c r="AQ53" s="586"/>
      <c r="AR53" s="586"/>
      <c r="AS53" s="586"/>
      <c r="AT53" s="586"/>
      <c r="AU53" s="586"/>
      <c r="AV53" s="586"/>
      <c r="AW53" s="586"/>
      <c r="AX53" s="586"/>
      <c r="AY53" s="586"/>
      <c r="AZ53" s="586"/>
      <c r="BA53" s="586"/>
      <c r="BB53" s="586"/>
      <c r="BC53" s="586"/>
      <c r="BD53" s="586"/>
      <c r="BE53" s="586"/>
      <c r="BF53" s="586"/>
      <c r="BG53" s="586"/>
      <c r="BH53" s="586"/>
      <c r="BI53" s="586"/>
      <c r="BJ53" s="586"/>
      <c r="BK53" s="586"/>
      <c r="BL53" s="586"/>
      <c r="BM53" s="586"/>
      <c r="BN53" s="586"/>
      <c r="BO53" s="586"/>
      <c r="BP53" s="586"/>
      <c r="BQ53" s="586"/>
      <c r="BR53" s="586"/>
      <c r="BS53" s="586"/>
      <c r="BT53" s="586"/>
      <c r="BU53" s="586"/>
      <c r="BV53" s="586"/>
      <c r="BW53" s="586"/>
      <c r="BX53" s="586"/>
      <c r="BY53" s="586"/>
      <c r="BZ53" s="586"/>
      <c r="CA53" s="586"/>
      <c r="CB53" s="586"/>
      <c r="CC53" s="586"/>
      <c r="CD53" s="586"/>
      <c r="CE53" s="586"/>
      <c r="CF53" s="586"/>
      <c r="CG53" s="586"/>
      <c r="CH53" s="586"/>
      <c r="CI53" s="586"/>
      <c r="CJ53" s="586"/>
      <c r="CK53" s="586"/>
      <c r="CL53" s="586"/>
      <c r="CM53" s="586"/>
      <c r="CN53" s="586"/>
      <c r="CO53" s="586"/>
      <c r="CP53" s="586"/>
      <c r="CQ53" s="586"/>
      <c r="CR53" s="586"/>
      <c r="CS53" s="586"/>
      <c r="CT53" s="586"/>
      <c r="CU53" s="586"/>
      <c r="CV53" s="586"/>
      <c r="CW53" s="586"/>
      <c r="CX53" s="586"/>
      <c r="CY53" s="586"/>
      <c r="CZ53" s="586"/>
      <c r="DA53" s="586"/>
      <c r="DB53" s="586"/>
      <c r="DC53" s="586"/>
      <c r="DD53" s="586"/>
      <c r="DE53" s="586"/>
      <c r="DF53" s="586"/>
      <c r="DG53" s="586"/>
      <c r="DH53" s="586"/>
      <c r="DI53" s="586"/>
      <c r="DJ53" s="586"/>
      <c r="DK53" s="586"/>
      <c r="DL53" s="586"/>
      <c r="DM53" s="586"/>
      <c r="DN53" s="586"/>
      <c r="DO53" s="586"/>
      <c r="DP53" s="586"/>
      <c r="DQ53" s="586"/>
      <c r="DR53" s="586"/>
      <c r="DS53" s="586"/>
      <c r="DT53" s="586"/>
      <c r="DU53" s="586"/>
      <c r="DV53" s="586"/>
      <c r="DW53" s="586"/>
      <c r="DX53" s="586"/>
      <c r="DY53" s="586"/>
      <c r="DZ53" s="586"/>
      <c r="EA53" s="586"/>
      <c r="EB53" s="586"/>
      <c r="EC53" s="586"/>
      <c r="ED53" s="586"/>
      <c r="EE53" s="586"/>
      <c r="EF53" s="586"/>
      <c r="EG53" s="586"/>
      <c r="EH53" s="586"/>
      <c r="EI53" s="586"/>
      <c r="EJ53" s="586"/>
      <c r="EK53" s="586"/>
      <c r="EL53" s="586"/>
      <c r="EM53" s="586"/>
      <c r="EN53" s="586"/>
      <c r="EO53" s="586"/>
      <c r="EP53" s="586"/>
      <c r="EQ53" s="586"/>
      <c r="ER53" s="586"/>
      <c r="ES53" s="586"/>
      <c r="ET53" s="586"/>
      <c r="EU53" s="586"/>
      <c r="EV53" s="586"/>
      <c r="EW53" s="586"/>
      <c r="EX53" s="586"/>
      <c r="EY53" s="586"/>
      <c r="EZ53" s="586"/>
      <c r="FA53" s="586"/>
      <c r="FB53" s="586"/>
      <c r="FC53" s="586"/>
      <c r="FD53" s="586"/>
      <c r="FE53" s="586"/>
      <c r="FF53" s="586"/>
      <c r="FG53" s="586"/>
      <c r="FH53" s="586"/>
      <c r="FI53" s="586"/>
      <c r="FJ53" s="586"/>
      <c r="FK53" s="586"/>
      <c r="FL53" s="586"/>
      <c r="FM53" s="586"/>
      <c r="FN53" s="586"/>
      <c r="FO53" s="586"/>
      <c r="FP53" s="586"/>
      <c r="FQ53" s="586"/>
      <c r="FR53" s="586"/>
      <c r="FS53" s="586"/>
      <c r="FT53" s="586"/>
      <c r="FU53" s="586"/>
      <c r="FV53" s="586"/>
      <c r="FW53" s="586"/>
      <c r="FX53" s="586"/>
      <c r="FY53" s="586"/>
      <c r="FZ53" s="586"/>
      <c r="GA53" s="586"/>
      <c r="GB53" s="586"/>
      <c r="GC53" s="586"/>
      <c r="GD53" s="586"/>
      <c r="GE53" s="586"/>
      <c r="GF53" s="586"/>
      <c r="GG53" s="586"/>
      <c r="GH53" s="586"/>
      <c r="GI53" s="586"/>
      <c r="GJ53" s="586"/>
      <c r="GK53" s="586"/>
      <c r="GL53" s="586"/>
      <c r="GM53" s="586"/>
      <c r="GN53" s="586"/>
      <c r="GO53" s="586"/>
      <c r="GP53" s="586"/>
      <c r="GQ53" s="586"/>
      <c r="GR53" s="586"/>
      <c r="GS53" s="586"/>
      <c r="GT53" s="586"/>
      <c r="GU53" s="586"/>
      <c r="GV53" s="586"/>
      <c r="GW53" s="586"/>
      <c r="GX53" s="586"/>
      <c r="GY53" s="586"/>
      <c r="GZ53" s="586"/>
      <c r="HA53" s="586"/>
      <c r="HB53" s="586"/>
      <c r="HC53" s="586"/>
      <c r="HD53" s="586"/>
      <c r="HE53" s="586"/>
      <c r="HF53" s="586"/>
      <c r="HG53" s="586"/>
      <c r="HH53" s="586"/>
      <c r="HI53" s="586"/>
      <c r="HJ53" s="586"/>
      <c r="HK53" s="586"/>
      <c r="HL53" s="586"/>
      <c r="HM53" s="586"/>
      <c r="HN53" s="586"/>
      <c r="HO53" s="586"/>
      <c r="HP53" s="586"/>
      <c r="HQ53" s="586"/>
      <c r="HR53" s="586"/>
      <c r="HS53" s="586"/>
      <c r="HT53" s="586"/>
      <c r="HU53" s="586"/>
      <c r="HV53" s="586"/>
      <c r="HW53" s="586"/>
      <c r="HX53" s="586"/>
      <c r="HY53" s="586"/>
      <c r="HZ53" s="586"/>
      <c r="IA53" s="586"/>
      <c r="IB53" s="586"/>
      <c r="IC53" s="586"/>
      <c r="ID53" s="586"/>
      <c r="IE53" s="586"/>
      <c r="IF53" s="586"/>
      <c r="IG53" s="586"/>
      <c r="IH53" s="586"/>
      <c r="II53" s="586"/>
      <c r="IJ53" s="586"/>
      <c r="IK53" s="586"/>
      <c r="IL53" s="586"/>
      <c r="IM53" s="586"/>
      <c r="IN53" s="586"/>
      <c r="IO53" s="586"/>
      <c r="IP53" s="586"/>
      <c r="IQ53" s="586"/>
      <c r="IR53" s="586"/>
      <c r="IS53" s="586"/>
      <c r="IT53" s="586"/>
      <c r="IU53" s="586"/>
      <c r="IV53" s="586"/>
      <c r="IW53" s="586"/>
    </row>
    <row r="54" customFormat="false" ht="12.75" hidden="false" customHeight="false" outlineLevel="0" collapsed="false">
      <c r="A54" s="590" t="s">
        <v>416</v>
      </c>
      <c r="B54" s="598" t="n">
        <f aca="false">Assumptions!G9*(1-Allocation!C24)+Assumptions!G12</f>
        <v>724911.369049307</v>
      </c>
      <c r="C54" s="599"/>
      <c r="D54" s="599"/>
      <c r="E54" s="619"/>
      <c r="F54" s="599"/>
      <c r="G54" s="598" t="n">
        <f aca="false">$B$54*G51</f>
        <v>0</v>
      </c>
      <c r="H54" s="598" t="n">
        <f aca="false">$B$54*H51</f>
        <v>36245.5684524654</v>
      </c>
      <c r="I54" s="598" t="n">
        <f aca="false">$B$54*I51</f>
        <v>68866.5800596842</v>
      </c>
      <c r="J54" s="598" t="n">
        <f aca="false">$B$54*J51</f>
        <v>61979.9220537158</v>
      </c>
      <c r="K54" s="598" t="n">
        <f aca="false">$B$54*K51</f>
        <v>55818.1754167967</v>
      </c>
      <c r="L54" s="598" t="n">
        <f aca="false">$B$54*L51</f>
        <v>50236.357875117</v>
      </c>
      <c r="M54" s="598" t="n">
        <f aca="false">$B$54*M51</f>
        <v>45161.9782917719</v>
      </c>
      <c r="N54" s="598" t="n">
        <f aca="false">$B$54*N51</f>
        <v>42769.7707739091</v>
      </c>
      <c r="O54" s="598" t="n">
        <f aca="false">$B$54*O51</f>
        <v>42842.2619108141</v>
      </c>
      <c r="P54" s="598" t="n">
        <f aca="false">$B$54*P51</f>
        <v>42769.7707739091</v>
      </c>
      <c r="Q54" s="598" t="n">
        <f aca="false">$B$54*Q51</f>
        <v>42842.2619108141</v>
      </c>
      <c r="R54" s="598" t="n">
        <f aca="false">$B$54*R51</f>
        <v>42769.7707739091</v>
      </c>
      <c r="S54" s="598" t="n">
        <f aca="false">$B$54*S51</f>
        <v>42842.2619108141</v>
      </c>
      <c r="T54" s="598" t="n">
        <f aca="false">$B$54*T51</f>
        <v>42769.7707739091</v>
      </c>
      <c r="U54" s="598" t="n">
        <f aca="false">$B$54*U51</f>
        <v>42842.2619108141</v>
      </c>
      <c r="V54" s="598" t="n">
        <f aca="false">$B$54*V51</f>
        <v>42769.7707739091</v>
      </c>
      <c r="W54" s="598" t="n">
        <f aca="false">$B$54*W51</f>
        <v>21384.8853869546</v>
      </c>
      <c r="X54" s="598" t="n">
        <f aca="false">$B$54*X51</f>
        <v>0</v>
      </c>
      <c r="Y54" s="598" t="n">
        <f aca="false">$B$54*Y51</f>
        <v>0</v>
      </c>
      <c r="Z54" s="598" t="n">
        <f aca="false">$B$54*Z51</f>
        <v>0</v>
      </c>
      <c r="AA54" s="598" t="n">
        <f aca="false">$B$54*AA51</f>
        <v>0</v>
      </c>
      <c r="AB54" s="598" t="n">
        <f aca="false">$B$54*AB51</f>
        <v>0</v>
      </c>
      <c r="AC54" s="598" t="n">
        <f aca="false">$B$54*AC51</f>
        <v>0</v>
      </c>
      <c r="AD54" s="584"/>
      <c r="AE54" s="584"/>
      <c r="AF54" s="586"/>
      <c r="AG54" s="586"/>
      <c r="AH54" s="586"/>
      <c r="AI54" s="586"/>
      <c r="AJ54" s="586"/>
      <c r="AK54" s="586"/>
      <c r="AL54" s="586"/>
      <c r="AM54" s="586"/>
      <c r="AN54" s="586"/>
      <c r="AO54" s="586"/>
      <c r="AP54" s="586"/>
      <c r="AQ54" s="586"/>
      <c r="AR54" s="586"/>
      <c r="AS54" s="586"/>
      <c r="AT54" s="586"/>
      <c r="AU54" s="586"/>
      <c r="AV54" s="586"/>
      <c r="AW54" s="586"/>
      <c r="AX54" s="586"/>
      <c r="AY54" s="586"/>
      <c r="AZ54" s="586"/>
      <c r="BA54" s="586"/>
      <c r="BB54" s="586"/>
      <c r="BC54" s="586"/>
      <c r="BD54" s="586"/>
      <c r="BE54" s="586"/>
      <c r="BF54" s="586"/>
      <c r="BG54" s="586"/>
      <c r="BH54" s="586"/>
      <c r="BI54" s="586"/>
      <c r="BJ54" s="586"/>
      <c r="BK54" s="586"/>
      <c r="BL54" s="586"/>
      <c r="BM54" s="586"/>
      <c r="BN54" s="586"/>
      <c r="BO54" s="586"/>
      <c r="BP54" s="586"/>
      <c r="BQ54" s="586"/>
      <c r="BR54" s="586"/>
      <c r="BS54" s="586"/>
      <c r="BT54" s="586"/>
      <c r="BU54" s="586"/>
      <c r="BV54" s="586"/>
      <c r="BW54" s="586"/>
      <c r="BX54" s="586"/>
      <c r="BY54" s="586"/>
      <c r="BZ54" s="586"/>
      <c r="CA54" s="586"/>
      <c r="CB54" s="586"/>
      <c r="CC54" s="586"/>
      <c r="CD54" s="586"/>
      <c r="CE54" s="586"/>
      <c r="CF54" s="586"/>
      <c r="CG54" s="586"/>
      <c r="CH54" s="586"/>
      <c r="CI54" s="586"/>
      <c r="CJ54" s="586"/>
      <c r="CK54" s="586"/>
      <c r="CL54" s="586"/>
      <c r="CM54" s="586"/>
      <c r="CN54" s="586"/>
      <c r="CO54" s="586"/>
      <c r="CP54" s="586"/>
      <c r="CQ54" s="586"/>
      <c r="CR54" s="586"/>
      <c r="CS54" s="586"/>
      <c r="CT54" s="586"/>
      <c r="CU54" s="586"/>
      <c r="CV54" s="586"/>
      <c r="CW54" s="586"/>
      <c r="CX54" s="586"/>
      <c r="CY54" s="586"/>
      <c r="CZ54" s="586"/>
      <c r="DA54" s="586"/>
      <c r="DB54" s="586"/>
      <c r="DC54" s="586"/>
      <c r="DD54" s="586"/>
      <c r="DE54" s="586"/>
      <c r="DF54" s="586"/>
      <c r="DG54" s="586"/>
      <c r="DH54" s="586"/>
      <c r="DI54" s="586"/>
      <c r="DJ54" s="586"/>
      <c r="DK54" s="586"/>
      <c r="DL54" s="586"/>
      <c r="DM54" s="586"/>
      <c r="DN54" s="586"/>
      <c r="DO54" s="586"/>
      <c r="DP54" s="586"/>
      <c r="DQ54" s="586"/>
      <c r="DR54" s="586"/>
      <c r="DS54" s="586"/>
      <c r="DT54" s="586"/>
      <c r="DU54" s="586"/>
      <c r="DV54" s="586"/>
      <c r="DW54" s="586"/>
      <c r="DX54" s="586"/>
      <c r="DY54" s="586"/>
      <c r="DZ54" s="586"/>
      <c r="EA54" s="586"/>
      <c r="EB54" s="586"/>
      <c r="EC54" s="586"/>
      <c r="ED54" s="586"/>
      <c r="EE54" s="586"/>
      <c r="EF54" s="586"/>
      <c r="EG54" s="586"/>
      <c r="EH54" s="586"/>
      <c r="EI54" s="586"/>
      <c r="EJ54" s="586"/>
      <c r="EK54" s="586"/>
      <c r="EL54" s="586"/>
      <c r="EM54" s="586"/>
      <c r="EN54" s="586"/>
      <c r="EO54" s="586"/>
      <c r="EP54" s="586"/>
      <c r="EQ54" s="586"/>
      <c r="ER54" s="586"/>
      <c r="ES54" s="586"/>
      <c r="ET54" s="586"/>
      <c r="EU54" s="586"/>
      <c r="EV54" s="586"/>
      <c r="EW54" s="586"/>
      <c r="EX54" s="586"/>
      <c r="EY54" s="586"/>
      <c r="EZ54" s="586"/>
      <c r="FA54" s="586"/>
      <c r="FB54" s="586"/>
      <c r="FC54" s="586"/>
      <c r="FD54" s="586"/>
      <c r="FE54" s="586"/>
      <c r="FF54" s="586"/>
      <c r="FG54" s="586"/>
      <c r="FH54" s="586"/>
      <c r="FI54" s="586"/>
      <c r="FJ54" s="586"/>
      <c r="FK54" s="586"/>
      <c r="FL54" s="586"/>
      <c r="FM54" s="586"/>
      <c r="FN54" s="586"/>
      <c r="FO54" s="586"/>
      <c r="FP54" s="586"/>
      <c r="FQ54" s="586"/>
      <c r="FR54" s="586"/>
      <c r="FS54" s="586"/>
      <c r="FT54" s="586"/>
      <c r="FU54" s="586"/>
      <c r="FV54" s="586"/>
      <c r="FW54" s="586"/>
      <c r="FX54" s="586"/>
      <c r="FY54" s="586"/>
      <c r="FZ54" s="586"/>
      <c r="GA54" s="586"/>
      <c r="GB54" s="586"/>
      <c r="GC54" s="586"/>
      <c r="GD54" s="586"/>
      <c r="GE54" s="586"/>
      <c r="GF54" s="586"/>
      <c r="GG54" s="586"/>
      <c r="GH54" s="586"/>
      <c r="GI54" s="586"/>
      <c r="GJ54" s="586"/>
      <c r="GK54" s="586"/>
      <c r="GL54" s="586"/>
      <c r="GM54" s="586"/>
      <c r="GN54" s="586"/>
      <c r="GO54" s="586"/>
      <c r="GP54" s="586"/>
      <c r="GQ54" s="586"/>
      <c r="GR54" s="586"/>
      <c r="GS54" s="586"/>
      <c r="GT54" s="586"/>
      <c r="GU54" s="586"/>
      <c r="GV54" s="586"/>
      <c r="GW54" s="586"/>
      <c r="GX54" s="586"/>
      <c r="GY54" s="586"/>
      <c r="GZ54" s="586"/>
      <c r="HA54" s="586"/>
      <c r="HB54" s="586"/>
      <c r="HC54" s="586"/>
      <c r="HD54" s="586"/>
      <c r="HE54" s="586"/>
      <c r="HF54" s="586"/>
      <c r="HG54" s="586"/>
      <c r="HH54" s="586"/>
      <c r="HI54" s="586"/>
      <c r="HJ54" s="586"/>
      <c r="HK54" s="586"/>
      <c r="HL54" s="586"/>
      <c r="HM54" s="586"/>
      <c r="HN54" s="586"/>
      <c r="HO54" s="586"/>
      <c r="HP54" s="586"/>
      <c r="HQ54" s="586"/>
      <c r="HR54" s="586"/>
      <c r="HS54" s="586"/>
      <c r="HT54" s="586"/>
      <c r="HU54" s="586"/>
      <c r="HV54" s="586"/>
      <c r="HW54" s="586"/>
      <c r="HX54" s="586"/>
      <c r="HY54" s="586"/>
      <c r="HZ54" s="586"/>
      <c r="IA54" s="586"/>
      <c r="IB54" s="586"/>
      <c r="IC54" s="586"/>
      <c r="ID54" s="586"/>
      <c r="IE54" s="586"/>
      <c r="IF54" s="586"/>
      <c r="IG54" s="586"/>
      <c r="IH54" s="586"/>
      <c r="II54" s="586"/>
      <c r="IJ54" s="586"/>
      <c r="IK54" s="586"/>
      <c r="IL54" s="586"/>
      <c r="IM54" s="586"/>
      <c r="IN54" s="586"/>
      <c r="IO54" s="586"/>
      <c r="IP54" s="586"/>
      <c r="IQ54" s="586"/>
      <c r="IR54" s="586"/>
      <c r="IS54" s="586"/>
      <c r="IT54" s="586"/>
      <c r="IU54" s="586"/>
      <c r="IV54" s="586"/>
      <c r="IW54" s="586"/>
    </row>
    <row r="55" customFormat="false" ht="15" hidden="false" customHeight="false" outlineLevel="0" collapsed="false">
      <c r="A55" s="593" t="s">
        <v>417</v>
      </c>
      <c r="B55" s="601" t="n">
        <f aca="false">Assumptions!G11*Allocation!G15</f>
        <v>11700</v>
      </c>
      <c r="C55" s="599"/>
      <c r="D55" s="602"/>
      <c r="E55" s="599"/>
      <c r="F55" s="599"/>
      <c r="G55" s="601" t="n">
        <f aca="false">$B$55*G52</f>
        <v>0</v>
      </c>
      <c r="H55" s="601" t="n">
        <f aca="false">$B$55*H52</f>
        <v>585</v>
      </c>
      <c r="I55" s="601" t="n">
        <f aca="false">$B$55*I52</f>
        <v>585</v>
      </c>
      <c r="J55" s="601" t="n">
        <f aca="false">$B$55*J52</f>
        <v>585</v>
      </c>
      <c r="K55" s="601" t="n">
        <f aca="false">$B$55*K52</f>
        <v>585</v>
      </c>
      <c r="L55" s="601" t="n">
        <f aca="false">$B$55*L52</f>
        <v>585</v>
      </c>
      <c r="M55" s="601" t="n">
        <f aca="false">$B$55*M52</f>
        <v>585</v>
      </c>
      <c r="N55" s="601" t="n">
        <f aca="false">$B$55*N52</f>
        <v>585</v>
      </c>
      <c r="O55" s="601" t="n">
        <f aca="false">$B$55*O52</f>
        <v>585</v>
      </c>
      <c r="P55" s="601" t="n">
        <f aca="false">$B$55*P52</f>
        <v>585</v>
      </c>
      <c r="Q55" s="601" t="n">
        <f aca="false">$B$55*Q52</f>
        <v>585</v>
      </c>
      <c r="R55" s="601" t="n">
        <f aca="false">$B$55*R52</f>
        <v>585</v>
      </c>
      <c r="S55" s="601" t="n">
        <f aca="false">$B$55*S52</f>
        <v>585</v>
      </c>
      <c r="T55" s="601" t="n">
        <f aca="false">$B$55*T52</f>
        <v>585</v>
      </c>
      <c r="U55" s="601" t="n">
        <f aca="false">$B$55*U52</f>
        <v>585</v>
      </c>
      <c r="V55" s="601" t="n">
        <f aca="false">$B$55*V52</f>
        <v>585</v>
      </c>
      <c r="W55" s="601" t="n">
        <f aca="false">$B$55*W52</f>
        <v>585</v>
      </c>
      <c r="X55" s="601" t="n">
        <f aca="false">$B$55*X52</f>
        <v>585</v>
      </c>
      <c r="Y55" s="601" t="n">
        <f aca="false">$B$55*Y52</f>
        <v>585</v>
      </c>
      <c r="Z55" s="601" t="n">
        <f aca="false">$B$55*Z52</f>
        <v>585</v>
      </c>
      <c r="AA55" s="601" t="n">
        <f aca="false">$B$55*AA52</f>
        <v>585</v>
      </c>
      <c r="AB55" s="601" t="n">
        <f aca="false">$B$55*AB52</f>
        <v>0</v>
      </c>
      <c r="AC55" s="601" t="n">
        <f aca="false">$B$55*AC52</f>
        <v>0</v>
      </c>
      <c r="AD55" s="584"/>
      <c r="AE55" s="584"/>
      <c r="AF55" s="586"/>
      <c r="AG55" s="586"/>
      <c r="AH55" s="586"/>
      <c r="AI55" s="586"/>
      <c r="AJ55" s="586"/>
      <c r="AK55" s="586"/>
      <c r="AL55" s="586"/>
      <c r="AM55" s="586"/>
      <c r="AN55" s="586"/>
      <c r="AO55" s="586"/>
      <c r="AP55" s="586"/>
      <c r="AQ55" s="586"/>
      <c r="AR55" s="586"/>
      <c r="AS55" s="586"/>
      <c r="AT55" s="586"/>
      <c r="AU55" s="586"/>
      <c r="AV55" s="586"/>
      <c r="AW55" s="586"/>
      <c r="AX55" s="586"/>
      <c r="AY55" s="586"/>
      <c r="AZ55" s="586"/>
      <c r="BA55" s="586"/>
      <c r="BB55" s="586"/>
      <c r="BC55" s="586"/>
      <c r="BD55" s="586"/>
      <c r="BE55" s="586"/>
      <c r="BF55" s="586"/>
      <c r="BG55" s="586"/>
      <c r="BH55" s="586"/>
      <c r="BI55" s="586"/>
      <c r="BJ55" s="586"/>
      <c r="BK55" s="586"/>
      <c r="BL55" s="586"/>
      <c r="BM55" s="586"/>
      <c r="BN55" s="586"/>
      <c r="BO55" s="586"/>
      <c r="BP55" s="586"/>
      <c r="BQ55" s="586"/>
      <c r="BR55" s="586"/>
      <c r="BS55" s="586"/>
      <c r="BT55" s="586"/>
      <c r="BU55" s="586"/>
      <c r="BV55" s="586"/>
      <c r="BW55" s="586"/>
      <c r="BX55" s="586"/>
      <c r="BY55" s="586"/>
      <c r="BZ55" s="586"/>
      <c r="CA55" s="586"/>
      <c r="CB55" s="586"/>
      <c r="CC55" s="586"/>
      <c r="CD55" s="586"/>
      <c r="CE55" s="586"/>
      <c r="CF55" s="586"/>
      <c r="CG55" s="586"/>
      <c r="CH55" s="586"/>
      <c r="CI55" s="586"/>
      <c r="CJ55" s="586"/>
      <c r="CK55" s="586"/>
      <c r="CL55" s="586"/>
      <c r="CM55" s="586"/>
      <c r="CN55" s="586"/>
      <c r="CO55" s="586"/>
      <c r="CP55" s="586"/>
      <c r="CQ55" s="586"/>
      <c r="CR55" s="586"/>
      <c r="CS55" s="586"/>
      <c r="CT55" s="586"/>
      <c r="CU55" s="586"/>
      <c r="CV55" s="586"/>
      <c r="CW55" s="586"/>
      <c r="CX55" s="586"/>
      <c r="CY55" s="586"/>
      <c r="CZ55" s="586"/>
      <c r="DA55" s="586"/>
      <c r="DB55" s="586"/>
      <c r="DC55" s="586"/>
      <c r="DD55" s="586"/>
      <c r="DE55" s="586"/>
      <c r="DF55" s="586"/>
      <c r="DG55" s="586"/>
      <c r="DH55" s="586"/>
      <c r="DI55" s="586"/>
      <c r="DJ55" s="586"/>
      <c r="DK55" s="586"/>
      <c r="DL55" s="586"/>
      <c r="DM55" s="586"/>
      <c r="DN55" s="586"/>
      <c r="DO55" s="586"/>
      <c r="DP55" s="586"/>
      <c r="DQ55" s="586"/>
      <c r="DR55" s="586"/>
      <c r="DS55" s="586"/>
      <c r="DT55" s="586"/>
      <c r="DU55" s="586"/>
      <c r="DV55" s="586"/>
      <c r="DW55" s="586"/>
      <c r="DX55" s="586"/>
      <c r="DY55" s="586"/>
      <c r="DZ55" s="586"/>
      <c r="EA55" s="586"/>
      <c r="EB55" s="586"/>
      <c r="EC55" s="586"/>
      <c r="ED55" s="586"/>
      <c r="EE55" s="586"/>
      <c r="EF55" s="586"/>
      <c r="EG55" s="586"/>
      <c r="EH55" s="586"/>
      <c r="EI55" s="586"/>
      <c r="EJ55" s="586"/>
      <c r="EK55" s="586"/>
      <c r="EL55" s="586"/>
      <c r="EM55" s="586"/>
      <c r="EN55" s="586"/>
      <c r="EO55" s="586"/>
      <c r="EP55" s="586"/>
      <c r="EQ55" s="586"/>
      <c r="ER55" s="586"/>
      <c r="ES55" s="586"/>
      <c r="ET55" s="586"/>
      <c r="EU55" s="586"/>
      <c r="EV55" s="586"/>
      <c r="EW55" s="586"/>
      <c r="EX55" s="586"/>
      <c r="EY55" s="586"/>
      <c r="EZ55" s="586"/>
      <c r="FA55" s="586"/>
      <c r="FB55" s="586"/>
      <c r="FC55" s="586"/>
      <c r="FD55" s="586"/>
      <c r="FE55" s="586"/>
      <c r="FF55" s="586"/>
      <c r="FG55" s="586"/>
      <c r="FH55" s="586"/>
      <c r="FI55" s="586"/>
      <c r="FJ55" s="586"/>
      <c r="FK55" s="586"/>
      <c r="FL55" s="586"/>
      <c r="FM55" s="586"/>
      <c r="FN55" s="586"/>
      <c r="FO55" s="586"/>
      <c r="FP55" s="586"/>
      <c r="FQ55" s="586"/>
      <c r="FR55" s="586"/>
      <c r="FS55" s="586"/>
      <c r="FT55" s="586"/>
      <c r="FU55" s="586"/>
      <c r="FV55" s="586"/>
      <c r="FW55" s="586"/>
      <c r="FX55" s="586"/>
      <c r="FY55" s="586"/>
      <c r="FZ55" s="586"/>
      <c r="GA55" s="586"/>
      <c r="GB55" s="586"/>
      <c r="GC55" s="586"/>
      <c r="GD55" s="586"/>
      <c r="GE55" s="586"/>
      <c r="GF55" s="586"/>
      <c r="GG55" s="586"/>
      <c r="GH55" s="586"/>
      <c r="GI55" s="586"/>
      <c r="GJ55" s="586"/>
      <c r="GK55" s="586"/>
      <c r="GL55" s="586"/>
      <c r="GM55" s="586"/>
      <c r="GN55" s="586"/>
      <c r="GO55" s="586"/>
      <c r="GP55" s="586"/>
      <c r="GQ55" s="586"/>
      <c r="GR55" s="586"/>
      <c r="GS55" s="586"/>
      <c r="GT55" s="586"/>
      <c r="GU55" s="586"/>
      <c r="GV55" s="586"/>
      <c r="GW55" s="586"/>
      <c r="GX55" s="586"/>
      <c r="GY55" s="586"/>
      <c r="GZ55" s="586"/>
      <c r="HA55" s="586"/>
      <c r="HB55" s="586"/>
      <c r="HC55" s="586"/>
      <c r="HD55" s="586"/>
      <c r="HE55" s="586"/>
      <c r="HF55" s="586"/>
      <c r="HG55" s="586"/>
      <c r="HH55" s="586"/>
      <c r="HI55" s="586"/>
      <c r="HJ55" s="586"/>
      <c r="HK55" s="586"/>
      <c r="HL55" s="586"/>
      <c r="HM55" s="586"/>
      <c r="HN55" s="586"/>
      <c r="HO55" s="586"/>
      <c r="HP55" s="586"/>
      <c r="HQ55" s="586"/>
      <c r="HR55" s="586"/>
      <c r="HS55" s="586"/>
      <c r="HT55" s="586"/>
      <c r="HU55" s="586"/>
      <c r="HV55" s="586"/>
      <c r="HW55" s="586"/>
      <c r="HX55" s="586"/>
      <c r="HY55" s="586"/>
      <c r="HZ55" s="586"/>
      <c r="IA55" s="586"/>
      <c r="IB55" s="586"/>
      <c r="IC55" s="586"/>
      <c r="ID55" s="586"/>
      <c r="IE55" s="586"/>
      <c r="IF55" s="586"/>
      <c r="IG55" s="586"/>
      <c r="IH55" s="586"/>
      <c r="II55" s="586"/>
      <c r="IJ55" s="586"/>
      <c r="IK55" s="586"/>
      <c r="IL55" s="586"/>
      <c r="IM55" s="586"/>
      <c r="IN55" s="586"/>
      <c r="IO55" s="586"/>
      <c r="IP55" s="586"/>
      <c r="IQ55" s="586"/>
      <c r="IR55" s="586"/>
      <c r="IS55" s="586"/>
      <c r="IT55" s="586"/>
      <c r="IU55" s="586"/>
      <c r="IV55" s="586"/>
      <c r="IW55" s="586"/>
    </row>
    <row r="56" customFormat="false" ht="12.75" hidden="false" customHeight="false" outlineLevel="0" collapsed="false">
      <c r="A56" s="603" t="s">
        <v>419</v>
      </c>
      <c r="B56" s="598" t="n">
        <f aca="false">SUM(B54:B55)</f>
        <v>736611.369049307</v>
      </c>
      <c r="C56" s="599"/>
      <c r="D56" s="599"/>
      <c r="E56" s="599"/>
      <c r="F56" s="599"/>
      <c r="G56" s="598" t="n">
        <f aca="false">SUM(G54:G55)</f>
        <v>0</v>
      </c>
      <c r="H56" s="598" t="n">
        <f aca="false">SUM(H54:H55)</f>
        <v>36830.5684524654</v>
      </c>
      <c r="I56" s="598" t="n">
        <f aca="false">SUM(I54:I55)</f>
        <v>69451.5800596842</v>
      </c>
      <c r="J56" s="598" t="n">
        <f aca="false">SUM(J54:J55)</f>
        <v>62564.9220537158</v>
      </c>
      <c r="K56" s="598" t="n">
        <f aca="false">SUM(K54:K55)</f>
        <v>56403.1754167967</v>
      </c>
      <c r="L56" s="598" t="n">
        <f aca="false">SUM(L54:L55)</f>
        <v>50821.357875117</v>
      </c>
      <c r="M56" s="598" t="n">
        <f aca="false">SUM(M54:M55)</f>
        <v>45746.9782917719</v>
      </c>
      <c r="N56" s="598" t="n">
        <f aca="false">SUM(N54:N55)</f>
        <v>43354.7707739091</v>
      </c>
      <c r="O56" s="598" t="n">
        <f aca="false">SUM(O54:O55)</f>
        <v>43427.2619108141</v>
      </c>
      <c r="P56" s="598" t="n">
        <f aca="false">SUM(P54:P55)</f>
        <v>43354.7707739091</v>
      </c>
      <c r="Q56" s="598" t="n">
        <f aca="false">SUM(Q54:Q55)</f>
        <v>43427.2619108141</v>
      </c>
      <c r="R56" s="598" t="n">
        <f aca="false">SUM(R54:R55)</f>
        <v>43354.7707739091</v>
      </c>
      <c r="S56" s="598" t="n">
        <f aca="false">SUM(S54:S55)</f>
        <v>43427.2619108141</v>
      </c>
      <c r="T56" s="598" t="n">
        <f aca="false">SUM(T54:T55)</f>
        <v>43354.7707739091</v>
      </c>
      <c r="U56" s="598" t="n">
        <f aca="false">SUM(U54:U55)</f>
        <v>43427.2619108141</v>
      </c>
      <c r="V56" s="598" t="n">
        <f aca="false">SUM(V54:V55)</f>
        <v>43354.7707739091</v>
      </c>
      <c r="W56" s="598" t="n">
        <f aca="false">SUM(W54:W55)</f>
        <v>21969.8853869546</v>
      </c>
      <c r="X56" s="598" t="n">
        <f aca="false">SUM(X54:X55)</f>
        <v>585</v>
      </c>
      <c r="Y56" s="598" t="n">
        <f aca="false">SUM(Y54:Y55)</f>
        <v>585</v>
      </c>
      <c r="Z56" s="598" t="n">
        <f aca="false">SUM(Z54:Z55)</f>
        <v>585</v>
      </c>
      <c r="AA56" s="598" t="n">
        <f aca="false">SUM(AA54:AA55)</f>
        <v>585</v>
      </c>
      <c r="AB56" s="598" t="n">
        <f aca="false">SUM(AB54:AB55)</f>
        <v>0</v>
      </c>
      <c r="AC56" s="598" t="n">
        <f aca="false">SUM(AC54:AC55)</f>
        <v>0</v>
      </c>
      <c r="AD56" s="584"/>
      <c r="AE56" s="584"/>
      <c r="AF56" s="586"/>
      <c r="AG56" s="586"/>
      <c r="AH56" s="586"/>
      <c r="AI56" s="586"/>
      <c r="AJ56" s="586"/>
      <c r="AK56" s="586"/>
      <c r="AL56" s="586"/>
      <c r="AM56" s="586"/>
      <c r="AN56" s="586"/>
      <c r="AO56" s="586"/>
      <c r="AP56" s="586"/>
      <c r="AQ56" s="586"/>
      <c r="AR56" s="586"/>
      <c r="AS56" s="586"/>
      <c r="AT56" s="586"/>
      <c r="AU56" s="586"/>
      <c r="AV56" s="586"/>
      <c r="AW56" s="586"/>
      <c r="AX56" s="586"/>
      <c r="AY56" s="586"/>
      <c r="AZ56" s="586"/>
      <c r="BA56" s="586"/>
      <c r="BB56" s="586"/>
      <c r="BC56" s="586"/>
      <c r="BD56" s="586"/>
      <c r="BE56" s="586"/>
      <c r="BF56" s="586"/>
      <c r="BG56" s="586"/>
      <c r="BH56" s="586"/>
      <c r="BI56" s="586"/>
      <c r="BJ56" s="586"/>
      <c r="BK56" s="586"/>
      <c r="BL56" s="586"/>
      <c r="BM56" s="586"/>
      <c r="BN56" s="586"/>
      <c r="BO56" s="586"/>
      <c r="BP56" s="586"/>
      <c r="BQ56" s="586"/>
      <c r="BR56" s="586"/>
      <c r="BS56" s="586"/>
      <c r="BT56" s="586"/>
      <c r="BU56" s="586"/>
      <c r="BV56" s="586"/>
      <c r="BW56" s="586"/>
      <c r="BX56" s="586"/>
      <c r="BY56" s="586"/>
      <c r="BZ56" s="586"/>
      <c r="CA56" s="586"/>
      <c r="CB56" s="586"/>
      <c r="CC56" s="586"/>
      <c r="CD56" s="586"/>
      <c r="CE56" s="586"/>
      <c r="CF56" s="586"/>
      <c r="CG56" s="586"/>
      <c r="CH56" s="586"/>
      <c r="CI56" s="586"/>
      <c r="CJ56" s="586"/>
      <c r="CK56" s="586"/>
      <c r="CL56" s="586"/>
      <c r="CM56" s="586"/>
      <c r="CN56" s="586"/>
      <c r="CO56" s="586"/>
      <c r="CP56" s="586"/>
      <c r="CQ56" s="586"/>
      <c r="CR56" s="586"/>
      <c r="CS56" s="586"/>
      <c r="CT56" s="586"/>
      <c r="CU56" s="586"/>
      <c r="CV56" s="586"/>
      <c r="CW56" s="586"/>
      <c r="CX56" s="586"/>
      <c r="CY56" s="586"/>
      <c r="CZ56" s="586"/>
      <c r="DA56" s="586"/>
      <c r="DB56" s="586"/>
      <c r="DC56" s="586"/>
      <c r="DD56" s="586"/>
      <c r="DE56" s="586"/>
      <c r="DF56" s="586"/>
      <c r="DG56" s="586"/>
      <c r="DH56" s="586"/>
      <c r="DI56" s="586"/>
      <c r="DJ56" s="586"/>
      <c r="DK56" s="586"/>
      <c r="DL56" s="586"/>
      <c r="DM56" s="586"/>
      <c r="DN56" s="586"/>
      <c r="DO56" s="586"/>
      <c r="DP56" s="586"/>
      <c r="DQ56" s="586"/>
      <c r="DR56" s="586"/>
      <c r="DS56" s="586"/>
      <c r="DT56" s="586"/>
      <c r="DU56" s="586"/>
      <c r="DV56" s="586"/>
      <c r="DW56" s="586"/>
      <c r="DX56" s="586"/>
      <c r="DY56" s="586"/>
      <c r="DZ56" s="586"/>
      <c r="EA56" s="586"/>
      <c r="EB56" s="586"/>
      <c r="EC56" s="586"/>
      <c r="ED56" s="586"/>
      <c r="EE56" s="586"/>
      <c r="EF56" s="586"/>
      <c r="EG56" s="586"/>
      <c r="EH56" s="586"/>
      <c r="EI56" s="586"/>
      <c r="EJ56" s="586"/>
      <c r="EK56" s="586"/>
      <c r="EL56" s="586"/>
      <c r="EM56" s="586"/>
      <c r="EN56" s="586"/>
      <c r="EO56" s="586"/>
      <c r="EP56" s="586"/>
      <c r="EQ56" s="586"/>
      <c r="ER56" s="586"/>
      <c r="ES56" s="586"/>
      <c r="ET56" s="586"/>
      <c r="EU56" s="586"/>
      <c r="EV56" s="586"/>
      <c r="EW56" s="586"/>
      <c r="EX56" s="586"/>
      <c r="EY56" s="586"/>
      <c r="EZ56" s="586"/>
      <c r="FA56" s="586"/>
      <c r="FB56" s="586"/>
      <c r="FC56" s="586"/>
      <c r="FD56" s="586"/>
      <c r="FE56" s="586"/>
      <c r="FF56" s="586"/>
      <c r="FG56" s="586"/>
      <c r="FH56" s="586"/>
      <c r="FI56" s="586"/>
      <c r="FJ56" s="586"/>
      <c r="FK56" s="586"/>
      <c r="FL56" s="586"/>
      <c r="FM56" s="586"/>
      <c r="FN56" s="586"/>
      <c r="FO56" s="586"/>
      <c r="FP56" s="586"/>
      <c r="FQ56" s="586"/>
      <c r="FR56" s="586"/>
      <c r="FS56" s="586"/>
      <c r="FT56" s="586"/>
      <c r="FU56" s="586"/>
      <c r="FV56" s="586"/>
      <c r="FW56" s="586"/>
      <c r="FX56" s="586"/>
      <c r="FY56" s="586"/>
      <c r="FZ56" s="586"/>
      <c r="GA56" s="586"/>
      <c r="GB56" s="586"/>
      <c r="GC56" s="586"/>
      <c r="GD56" s="586"/>
      <c r="GE56" s="586"/>
      <c r="GF56" s="586"/>
      <c r="GG56" s="586"/>
      <c r="GH56" s="586"/>
      <c r="GI56" s="586"/>
      <c r="GJ56" s="586"/>
      <c r="GK56" s="586"/>
      <c r="GL56" s="586"/>
      <c r="GM56" s="586"/>
      <c r="GN56" s="586"/>
      <c r="GO56" s="586"/>
      <c r="GP56" s="586"/>
      <c r="GQ56" s="586"/>
      <c r="GR56" s="586"/>
      <c r="GS56" s="586"/>
      <c r="GT56" s="586"/>
      <c r="GU56" s="586"/>
      <c r="GV56" s="586"/>
      <c r="GW56" s="586"/>
      <c r="GX56" s="586"/>
      <c r="GY56" s="586"/>
      <c r="GZ56" s="586"/>
      <c r="HA56" s="586"/>
      <c r="HB56" s="586"/>
      <c r="HC56" s="586"/>
      <c r="HD56" s="586"/>
      <c r="HE56" s="586"/>
      <c r="HF56" s="586"/>
      <c r="HG56" s="586"/>
      <c r="HH56" s="586"/>
      <c r="HI56" s="586"/>
      <c r="HJ56" s="586"/>
      <c r="HK56" s="586"/>
      <c r="HL56" s="586"/>
      <c r="HM56" s="586"/>
      <c r="HN56" s="586"/>
      <c r="HO56" s="586"/>
      <c r="HP56" s="586"/>
      <c r="HQ56" s="586"/>
      <c r="HR56" s="586"/>
      <c r="HS56" s="586"/>
      <c r="HT56" s="586"/>
      <c r="HU56" s="586"/>
      <c r="HV56" s="586"/>
      <c r="HW56" s="586"/>
      <c r="HX56" s="586"/>
      <c r="HY56" s="586"/>
      <c r="HZ56" s="586"/>
      <c r="IA56" s="586"/>
      <c r="IB56" s="586"/>
      <c r="IC56" s="586"/>
      <c r="ID56" s="586"/>
      <c r="IE56" s="586"/>
      <c r="IF56" s="586"/>
      <c r="IG56" s="586"/>
      <c r="IH56" s="586"/>
      <c r="II56" s="586"/>
      <c r="IJ56" s="586"/>
      <c r="IK56" s="586"/>
      <c r="IL56" s="586"/>
      <c r="IM56" s="586"/>
      <c r="IN56" s="586"/>
      <c r="IO56" s="586"/>
      <c r="IP56" s="586"/>
      <c r="IQ56" s="586"/>
      <c r="IR56" s="586"/>
      <c r="IS56" s="586"/>
      <c r="IT56" s="586"/>
      <c r="IU56" s="586"/>
      <c r="IV56" s="586"/>
      <c r="IW56" s="586"/>
    </row>
    <row r="57" customFormat="false" ht="12.75" hidden="false" customHeight="false" outlineLevel="0" collapsed="false">
      <c r="A57" s="593"/>
      <c r="B57" s="604"/>
      <c r="C57" s="605"/>
      <c r="D57" s="605"/>
      <c r="E57" s="605"/>
      <c r="F57" s="605"/>
      <c r="AD57" s="584"/>
      <c r="AE57" s="584"/>
      <c r="AF57" s="586"/>
      <c r="AG57" s="586"/>
      <c r="AH57" s="586"/>
      <c r="AI57" s="586"/>
      <c r="AJ57" s="586"/>
      <c r="AK57" s="586"/>
      <c r="AL57" s="586"/>
      <c r="AM57" s="586"/>
      <c r="AN57" s="586"/>
      <c r="AO57" s="586"/>
      <c r="AP57" s="586"/>
      <c r="AQ57" s="586"/>
      <c r="AR57" s="586"/>
      <c r="AS57" s="586"/>
      <c r="AT57" s="586"/>
      <c r="AU57" s="586"/>
      <c r="AV57" s="586"/>
      <c r="AW57" s="586"/>
      <c r="AX57" s="586"/>
      <c r="AY57" s="586"/>
      <c r="AZ57" s="586"/>
      <c r="BA57" s="586"/>
      <c r="BB57" s="586"/>
      <c r="BC57" s="586"/>
      <c r="BD57" s="586"/>
      <c r="BE57" s="586"/>
      <c r="BF57" s="586"/>
      <c r="BG57" s="586"/>
      <c r="BH57" s="586"/>
      <c r="BI57" s="586"/>
      <c r="BJ57" s="586"/>
      <c r="BK57" s="586"/>
      <c r="BL57" s="586"/>
      <c r="BM57" s="586"/>
      <c r="BN57" s="586"/>
      <c r="BO57" s="586"/>
      <c r="BP57" s="586"/>
      <c r="BQ57" s="586"/>
      <c r="BR57" s="586"/>
      <c r="BS57" s="586"/>
      <c r="BT57" s="586"/>
      <c r="BU57" s="586"/>
      <c r="BV57" s="586"/>
      <c r="BW57" s="586"/>
      <c r="BX57" s="586"/>
      <c r="BY57" s="586"/>
      <c r="BZ57" s="586"/>
      <c r="CA57" s="586"/>
      <c r="CB57" s="586"/>
      <c r="CC57" s="586"/>
      <c r="CD57" s="586"/>
      <c r="CE57" s="586"/>
      <c r="CF57" s="586"/>
      <c r="CG57" s="586"/>
      <c r="CH57" s="586"/>
      <c r="CI57" s="586"/>
      <c r="CJ57" s="586"/>
      <c r="CK57" s="586"/>
      <c r="CL57" s="586"/>
      <c r="CM57" s="586"/>
      <c r="CN57" s="586"/>
      <c r="CO57" s="586"/>
      <c r="CP57" s="586"/>
      <c r="CQ57" s="586"/>
      <c r="CR57" s="586"/>
      <c r="CS57" s="586"/>
      <c r="CT57" s="586"/>
      <c r="CU57" s="586"/>
      <c r="CV57" s="586"/>
      <c r="CW57" s="586"/>
      <c r="CX57" s="586"/>
      <c r="CY57" s="586"/>
      <c r="CZ57" s="586"/>
      <c r="DA57" s="586"/>
      <c r="DB57" s="586"/>
      <c r="DC57" s="586"/>
      <c r="DD57" s="586"/>
      <c r="DE57" s="586"/>
      <c r="DF57" s="586"/>
      <c r="DG57" s="586"/>
      <c r="DH57" s="586"/>
      <c r="DI57" s="586"/>
      <c r="DJ57" s="586"/>
      <c r="DK57" s="586"/>
      <c r="DL57" s="586"/>
      <c r="DM57" s="586"/>
      <c r="DN57" s="586"/>
      <c r="DO57" s="586"/>
      <c r="DP57" s="586"/>
      <c r="DQ57" s="586"/>
      <c r="DR57" s="586"/>
      <c r="DS57" s="586"/>
      <c r="DT57" s="586"/>
      <c r="DU57" s="586"/>
      <c r="DV57" s="586"/>
      <c r="DW57" s="586"/>
      <c r="DX57" s="586"/>
      <c r="DY57" s="586"/>
      <c r="DZ57" s="586"/>
      <c r="EA57" s="586"/>
      <c r="EB57" s="586"/>
      <c r="EC57" s="586"/>
      <c r="ED57" s="586"/>
      <c r="EE57" s="586"/>
      <c r="EF57" s="586"/>
      <c r="EG57" s="586"/>
      <c r="EH57" s="586"/>
      <c r="EI57" s="586"/>
      <c r="EJ57" s="586"/>
      <c r="EK57" s="586"/>
      <c r="EL57" s="586"/>
      <c r="EM57" s="586"/>
      <c r="EN57" s="586"/>
      <c r="EO57" s="586"/>
      <c r="EP57" s="586"/>
      <c r="EQ57" s="586"/>
      <c r="ER57" s="586"/>
      <c r="ES57" s="586"/>
      <c r="ET57" s="586"/>
      <c r="EU57" s="586"/>
      <c r="EV57" s="586"/>
      <c r="EW57" s="586"/>
      <c r="EX57" s="586"/>
      <c r="EY57" s="586"/>
      <c r="EZ57" s="586"/>
      <c r="FA57" s="586"/>
      <c r="FB57" s="586"/>
      <c r="FC57" s="586"/>
      <c r="FD57" s="586"/>
      <c r="FE57" s="586"/>
      <c r="FF57" s="586"/>
      <c r="FG57" s="586"/>
      <c r="FH57" s="586"/>
      <c r="FI57" s="586"/>
      <c r="FJ57" s="586"/>
      <c r="FK57" s="586"/>
      <c r="FL57" s="586"/>
      <c r="FM57" s="586"/>
      <c r="FN57" s="586"/>
      <c r="FO57" s="586"/>
      <c r="FP57" s="586"/>
      <c r="FQ57" s="586"/>
      <c r="FR57" s="586"/>
      <c r="FS57" s="586"/>
      <c r="FT57" s="586"/>
      <c r="FU57" s="586"/>
      <c r="FV57" s="586"/>
      <c r="FW57" s="586"/>
      <c r="FX57" s="586"/>
      <c r="FY57" s="586"/>
      <c r="FZ57" s="586"/>
      <c r="GA57" s="586"/>
      <c r="GB57" s="586"/>
      <c r="GC57" s="586"/>
      <c r="GD57" s="586"/>
      <c r="GE57" s="586"/>
      <c r="GF57" s="586"/>
      <c r="GG57" s="586"/>
      <c r="GH57" s="586"/>
      <c r="GI57" s="586"/>
      <c r="GJ57" s="586"/>
      <c r="GK57" s="586"/>
      <c r="GL57" s="586"/>
      <c r="GM57" s="586"/>
      <c r="GN57" s="586"/>
      <c r="GO57" s="586"/>
      <c r="GP57" s="586"/>
      <c r="GQ57" s="586"/>
      <c r="GR57" s="586"/>
      <c r="GS57" s="586"/>
      <c r="GT57" s="586"/>
      <c r="GU57" s="586"/>
      <c r="GV57" s="586"/>
      <c r="GW57" s="586"/>
      <c r="GX57" s="586"/>
      <c r="GY57" s="586"/>
      <c r="GZ57" s="586"/>
      <c r="HA57" s="586"/>
      <c r="HB57" s="586"/>
      <c r="HC57" s="586"/>
      <c r="HD57" s="586"/>
      <c r="HE57" s="586"/>
      <c r="HF57" s="586"/>
      <c r="HG57" s="586"/>
      <c r="HH57" s="586"/>
      <c r="HI57" s="586"/>
      <c r="HJ57" s="586"/>
      <c r="HK57" s="586"/>
      <c r="HL57" s="586"/>
      <c r="HM57" s="586"/>
      <c r="HN57" s="586"/>
      <c r="HO57" s="586"/>
      <c r="HP57" s="586"/>
      <c r="HQ57" s="586"/>
      <c r="HR57" s="586"/>
      <c r="HS57" s="586"/>
      <c r="HT57" s="586"/>
      <c r="HU57" s="586"/>
      <c r="HV57" s="586"/>
      <c r="HW57" s="586"/>
      <c r="HX57" s="586"/>
      <c r="HY57" s="586"/>
      <c r="HZ57" s="586"/>
      <c r="IA57" s="586"/>
      <c r="IB57" s="586"/>
      <c r="IC57" s="586"/>
      <c r="ID57" s="586"/>
      <c r="IE57" s="586"/>
      <c r="IF57" s="586"/>
      <c r="IG57" s="586"/>
      <c r="IH57" s="586"/>
      <c r="II57" s="586"/>
      <c r="IJ57" s="586"/>
      <c r="IK57" s="586"/>
      <c r="IL57" s="586"/>
      <c r="IM57" s="586"/>
      <c r="IN57" s="586"/>
      <c r="IO57" s="586"/>
      <c r="IP57" s="586"/>
      <c r="IQ57" s="586"/>
      <c r="IR57" s="586"/>
      <c r="IS57" s="586"/>
      <c r="IT57" s="586"/>
      <c r="IU57" s="586"/>
      <c r="IV57" s="586"/>
      <c r="IW57" s="586"/>
    </row>
    <row r="58" customFormat="false" ht="12.75" hidden="false" customHeight="false" outlineLevel="0" collapsed="false">
      <c r="A58" s="603" t="s">
        <v>426</v>
      </c>
      <c r="B58" s="606"/>
      <c r="G58" s="102" t="n">
        <f aca="false">B56-G56</f>
        <v>736611.369049307</v>
      </c>
      <c r="H58" s="102" t="n">
        <f aca="false">G58-H56</f>
        <v>699780.800596842</v>
      </c>
      <c r="I58" s="102" t="n">
        <f aca="false">H58-I56</f>
        <v>630329.220537158</v>
      </c>
      <c r="J58" s="102" t="n">
        <f aca="false">I58-J56</f>
        <v>567764.298483442</v>
      </c>
      <c r="K58" s="102" t="n">
        <f aca="false">J58-K56</f>
        <v>511361.123066645</v>
      </c>
      <c r="L58" s="102" t="n">
        <f aca="false">K58-L56</f>
        <v>460539.765191528</v>
      </c>
      <c r="M58" s="102" t="n">
        <f aca="false">L58-M56</f>
        <v>414792.786899757</v>
      </c>
      <c r="N58" s="102" t="n">
        <f aca="false">M58-N56</f>
        <v>371438.016125847</v>
      </c>
      <c r="O58" s="102" t="n">
        <f aca="false">N58-O56</f>
        <v>328010.754215033</v>
      </c>
      <c r="P58" s="102" t="n">
        <f aca="false">O58-P56</f>
        <v>284655.983441124</v>
      </c>
      <c r="Q58" s="102" t="n">
        <f aca="false">P58-Q56</f>
        <v>241228.72153031</v>
      </c>
      <c r="R58" s="102" t="n">
        <f aca="false">Q58-R56</f>
        <v>197873.950756401</v>
      </c>
      <c r="S58" s="102" t="n">
        <f aca="false">R58-S56</f>
        <v>154446.688845587</v>
      </c>
      <c r="T58" s="102" t="n">
        <f aca="false">S58-T56</f>
        <v>111091.918071678</v>
      </c>
      <c r="U58" s="102" t="n">
        <f aca="false">T58-U56</f>
        <v>67664.6561608637</v>
      </c>
      <c r="V58" s="102" t="n">
        <f aca="false">U58-V56</f>
        <v>24309.8853869546</v>
      </c>
      <c r="W58" s="102" t="n">
        <f aca="false">V58-W56</f>
        <v>2340.00000000003</v>
      </c>
      <c r="X58" s="102" t="n">
        <f aca="false">W58-X56</f>
        <v>1755.00000000003</v>
      </c>
      <c r="Y58" s="102" t="n">
        <f aca="false">X58-Y56</f>
        <v>1170.00000000003</v>
      </c>
      <c r="Z58" s="102" t="n">
        <f aca="false">Y58-Z56</f>
        <v>585.000000000026</v>
      </c>
      <c r="AA58" s="102" t="n">
        <f aca="false">Z58-AA56</f>
        <v>2.5465851649642E-011</v>
      </c>
      <c r="AB58" s="102" t="n">
        <f aca="false">AA58-AB56</f>
        <v>2.5465851649642E-011</v>
      </c>
      <c r="AC58" s="102" t="n">
        <f aca="false">AB58-AC56</f>
        <v>2.5465851649642E-011</v>
      </c>
      <c r="AD58" s="584"/>
      <c r="AE58" s="584"/>
      <c r="AF58" s="586"/>
      <c r="AG58" s="586"/>
      <c r="AH58" s="586"/>
      <c r="AI58" s="586"/>
      <c r="AJ58" s="586"/>
      <c r="AK58" s="586"/>
      <c r="AL58" s="586"/>
      <c r="AM58" s="586"/>
      <c r="AN58" s="586"/>
      <c r="AO58" s="586"/>
      <c r="AP58" s="586"/>
      <c r="AQ58" s="586"/>
      <c r="AR58" s="586"/>
      <c r="AS58" s="586"/>
      <c r="AT58" s="586"/>
      <c r="AU58" s="586"/>
      <c r="AV58" s="586"/>
      <c r="AW58" s="586"/>
      <c r="AX58" s="586"/>
      <c r="AY58" s="586"/>
      <c r="AZ58" s="586"/>
      <c r="BA58" s="586"/>
      <c r="BB58" s="586"/>
      <c r="BC58" s="586"/>
      <c r="BD58" s="586"/>
      <c r="BE58" s="586"/>
      <c r="BF58" s="586"/>
      <c r="BG58" s="586"/>
      <c r="BH58" s="586"/>
      <c r="BI58" s="586"/>
      <c r="BJ58" s="586"/>
      <c r="BK58" s="586"/>
      <c r="BL58" s="586"/>
      <c r="BM58" s="586"/>
      <c r="BN58" s="586"/>
      <c r="BO58" s="586"/>
      <c r="BP58" s="586"/>
      <c r="BQ58" s="586"/>
      <c r="BR58" s="586"/>
      <c r="BS58" s="586"/>
      <c r="BT58" s="586"/>
      <c r="BU58" s="586"/>
      <c r="BV58" s="586"/>
      <c r="BW58" s="586"/>
      <c r="BX58" s="586"/>
      <c r="BY58" s="586"/>
      <c r="BZ58" s="586"/>
      <c r="CA58" s="586"/>
      <c r="CB58" s="586"/>
      <c r="CC58" s="586"/>
      <c r="CD58" s="586"/>
      <c r="CE58" s="586"/>
      <c r="CF58" s="586"/>
      <c r="CG58" s="586"/>
      <c r="CH58" s="586"/>
      <c r="CI58" s="586"/>
      <c r="CJ58" s="586"/>
      <c r="CK58" s="586"/>
      <c r="CL58" s="586"/>
      <c r="CM58" s="586"/>
      <c r="CN58" s="586"/>
      <c r="CO58" s="586"/>
      <c r="CP58" s="586"/>
      <c r="CQ58" s="586"/>
      <c r="CR58" s="586"/>
      <c r="CS58" s="586"/>
      <c r="CT58" s="586"/>
      <c r="CU58" s="586"/>
      <c r="CV58" s="586"/>
      <c r="CW58" s="586"/>
      <c r="CX58" s="586"/>
      <c r="CY58" s="586"/>
      <c r="CZ58" s="586"/>
      <c r="DA58" s="586"/>
      <c r="DB58" s="586"/>
      <c r="DC58" s="586"/>
      <c r="DD58" s="586"/>
      <c r="DE58" s="586"/>
      <c r="DF58" s="586"/>
      <c r="DG58" s="586"/>
      <c r="DH58" s="586"/>
      <c r="DI58" s="586"/>
      <c r="DJ58" s="586"/>
      <c r="DK58" s="586"/>
      <c r="DL58" s="586"/>
      <c r="DM58" s="586"/>
      <c r="DN58" s="586"/>
      <c r="DO58" s="586"/>
      <c r="DP58" s="586"/>
      <c r="DQ58" s="586"/>
      <c r="DR58" s="586"/>
      <c r="DS58" s="586"/>
      <c r="DT58" s="586"/>
      <c r="DU58" s="586"/>
      <c r="DV58" s="586"/>
      <c r="DW58" s="586"/>
      <c r="DX58" s="586"/>
      <c r="DY58" s="586"/>
      <c r="DZ58" s="586"/>
      <c r="EA58" s="586"/>
      <c r="EB58" s="586"/>
      <c r="EC58" s="586"/>
      <c r="ED58" s="586"/>
      <c r="EE58" s="586"/>
      <c r="EF58" s="586"/>
      <c r="EG58" s="586"/>
      <c r="EH58" s="586"/>
      <c r="EI58" s="586"/>
      <c r="EJ58" s="586"/>
      <c r="EK58" s="586"/>
      <c r="EL58" s="586"/>
      <c r="EM58" s="586"/>
      <c r="EN58" s="586"/>
      <c r="EO58" s="586"/>
      <c r="EP58" s="586"/>
      <c r="EQ58" s="586"/>
      <c r="ER58" s="586"/>
      <c r="ES58" s="586"/>
      <c r="ET58" s="586"/>
      <c r="EU58" s="586"/>
      <c r="EV58" s="586"/>
      <c r="EW58" s="586"/>
      <c r="EX58" s="586"/>
      <c r="EY58" s="586"/>
      <c r="EZ58" s="586"/>
      <c r="FA58" s="586"/>
      <c r="FB58" s="586"/>
      <c r="FC58" s="586"/>
      <c r="FD58" s="586"/>
      <c r="FE58" s="586"/>
      <c r="FF58" s="586"/>
      <c r="FG58" s="586"/>
      <c r="FH58" s="586"/>
      <c r="FI58" s="586"/>
      <c r="FJ58" s="586"/>
      <c r="FK58" s="586"/>
      <c r="FL58" s="586"/>
      <c r="FM58" s="586"/>
      <c r="FN58" s="586"/>
      <c r="FO58" s="586"/>
      <c r="FP58" s="586"/>
      <c r="FQ58" s="586"/>
      <c r="FR58" s="586"/>
      <c r="FS58" s="586"/>
      <c r="FT58" s="586"/>
      <c r="FU58" s="586"/>
      <c r="FV58" s="586"/>
      <c r="FW58" s="586"/>
      <c r="FX58" s="586"/>
      <c r="FY58" s="586"/>
      <c r="FZ58" s="586"/>
      <c r="GA58" s="586"/>
      <c r="GB58" s="586"/>
      <c r="GC58" s="586"/>
      <c r="GD58" s="586"/>
      <c r="GE58" s="586"/>
      <c r="GF58" s="586"/>
      <c r="GG58" s="586"/>
      <c r="GH58" s="586"/>
      <c r="GI58" s="586"/>
      <c r="GJ58" s="586"/>
      <c r="GK58" s="586"/>
      <c r="GL58" s="586"/>
      <c r="GM58" s="586"/>
      <c r="GN58" s="586"/>
      <c r="GO58" s="586"/>
      <c r="GP58" s="586"/>
      <c r="GQ58" s="586"/>
      <c r="GR58" s="586"/>
      <c r="GS58" s="586"/>
      <c r="GT58" s="586"/>
      <c r="GU58" s="586"/>
      <c r="GV58" s="586"/>
      <c r="GW58" s="586"/>
      <c r="GX58" s="586"/>
      <c r="GY58" s="586"/>
      <c r="GZ58" s="586"/>
      <c r="HA58" s="586"/>
      <c r="HB58" s="586"/>
      <c r="HC58" s="586"/>
      <c r="HD58" s="586"/>
      <c r="HE58" s="586"/>
      <c r="HF58" s="586"/>
      <c r="HG58" s="586"/>
      <c r="HH58" s="586"/>
      <c r="HI58" s="586"/>
      <c r="HJ58" s="586"/>
      <c r="HK58" s="586"/>
      <c r="HL58" s="586"/>
      <c r="HM58" s="586"/>
      <c r="HN58" s="586"/>
      <c r="HO58" s="586"/>
      <c r="HP58" s="586"/>
      <c r="HQ58" s="586"/>
      <c r="HR58" s="586"/>
      <c r="HS58" s="586"/>
      <c r="HT58" s="586"/>
      <c r="HU58" s="586"/>
      <c r="HV58" s="586"/>
      <c r="HW58" s="586"/>
      <c r="HX58" s="586"/>
      <c r="HY58" s="586"/>
      <c r="HZ58" s="586"/>
      <c r="IA58" s="586"/>
      <c r="IB58" s="586"/>
      <c r="IC58" s="586"/>
      <c r="ID58" s="586"/>
      <c r="IE58" s="586"/>
      <c r="IF58" s="586"/>
      <c r="IG58" s="586"/>
      <c r="IH58" s="586"/>
      <c r="II58" s="586"/>
      <c r="IJ58" s="586"/>
      <c r="IK58" s="586"/>
      <c r="IL58" s="586"/>
      <c r="IM58" s="586"/>
      <c r="IN58" s="586"/>
      <c r="IO58" s="586"/>
      <c r="IP58" s="586"/>
      <c r="IQ58" s="586"/>
      <c r="IR58" s="586"/>
      <c r="IS58" s="586"/>
      <c r="IT58" s="586"/>
      <c r="IU58" s="586"/>
      <c r="IV58" s="586"/>
      <c r="IW58" s="586"/>
    </row>
    <row r="59" customFormat="false" ht="12.75" hidden="false" customHeight="false" outlineLevel="0" collapsed="false">
      <c r="A59" s="603"/>
      <c r="B59" s="606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584"/>
      <c r="AE59" s="584"/>
      <c r="AF59" s="586"/>
      <c r="AG59" s="586"/>
      <c r="AH59" s="586"/>
      <c r="AI59" s="586"/>
      <c r="AJ59" s="586"/>
      <c r="AK59" s="586"/>
      <c r="AL59" s="586"/>
      <c r="AM59" s="586"/>
      <c r="AN59" s="586"/>
      <c r="AO59" s="586"/>
      <c r="AP59" s="586"/>
      <c r="AQ59" s="586"/>
      <c r="AR59" s="586"/>
      <c r="AS59" s="586"/>
      <c r="AT59" s="586"/>
      <c r="AU59" s="586"/>
      <c r="AV59" s="586"/>
      <c r="AW59" s="586"/>
      <c r="AX59" s="586"/>
      <c r="AY59" s="586"/>
      <c r="AZ59" s="586"/>
      <c r="BA59" s="586"/>
      <c r="BB59" s="586"/>
      <c r="BC59" s="586"/>
      <c r="BD59" s="586"/>
      <c r="BE59" s="586"/>
      <c r="BF59" s="586"/>
      <c r="BG59" s="586"/>
      <c r="BH59" s="586"/>
      <c r="BI59" s="586"/>
      <c r="BJ59" s="586"/>
      <c r="BK59" s="586"/>
      <c r="BL59" s="586"/>
      <c r="BM59" s="586"/>
      <c r="BN59" s="586"/>
      <c r="BO59" s="586"/>
      <c r="BP59" s="586"/>
      <c r="BQ59" s="586"/>
      <c r="BR59" s="586"/>
      <c r="BS59" s="586"/>
      <c r="BT59" s="586"/>
      <c r="BU59" s="586"/>
      <c r="BV59" s="586"/>
      <c r="BW59" s="586"/>
      <c r="BX59" s="586"/>
      <c r="BY59" s="586"/>
      <c r="BZ59" s="586"/>
      <c r="CA59" s="586"/>
      <c r="CB59" s="586"/>
      <c r="CC59" s="586"/>
      <c r="CD59" s="586"/>
      <c r="CE59" s="586"/>
      <c r="CF59" s="586"/>
      <c r="CG59" s="586"/>
      <c r="CH59" s="586"/>
      <c r="CI59" s="586"/>
      <c r="CJ59" s="586"/>
      <c r="CK59" s="586"/>
      <c r="CL59" s="586"/>
      <c r="CM59" s="586"/>
      <c r="CN59" s="586"/>
      <c r="CO59" s="586"/>
      <c r="CP59" s="586"/>
      <c r="CQ59" s="586"/>
      <c r="CR59" s="586"/>
      <c r="CS59" s="586"/>
      <c r="CT59" s="586"/>
      <c r="CU59" s="586"/>
      <c r="CV59" s="586"/>
      <c r="CW59" s="586"/>
      <c r="CX59" s="586"/>
      <c r="CY59" s="586"/>
      <c r="CZ59" s="586"/>
      <c r="DA59" s="586"/>
      <c r="DB59" s="586"/>
      <c r="DC59" s="586"/>
      <c r="DD59" s="586"/>
      <c r="DE59" s="586"/>
      <c r="DF59" s="586"/>
      <c r="DG59" s="586"/>
      <c r="DH59" s="586"/>
      <c r="DI59" s="586"/>
      <c r="DJ59" s="586"/>
      <c r="DK59" s="586"/>
      <c r="DL59" s="586"/>
      <c r="DM59" s="586"/>
      <c r="DN59" s="586"/>
      <c r="DO59" s="586"/>
      <c r="DP59" s="586"/>
      <c r="DQ59" s="586"/>
      <c r="DR59" s="586"/>
      <c r="DS59" s="586"/>
      <c r="DT59" s="586"/>
      <c r="DU59" s="586"/>
      <c r="DV59" s="586"/>
      <c r="DW59" s="586"/>
      <c r="DX59" s="586"/>
      <c r="DY59" s="586"/>
      <c r="DZ59" s="586"/>
      <c r="EA59" s="586"/>
      <c r="EB59" s="586"/>
      <c r="EC59" s="586"/>
      <c r="ED59" s="586"/>
      <c r="EE59" s="586"/>
      <c r="EF59" s="586"/>
      <c r="EG59" s="586"/>
      <c r="EH59" s="586"/>
      <c r="EI59" s="586"/>
      <c r="EJ59" s="586"/>
      <c r="EK59" s="586"/>
      <c r="EL59" s="586"/>
      <c r="EM59" s="586"/>
      <c r="EN59" s="586"/>
      <c r="EO59" s="586"/>
      <c r="EP59" s="586"/>
      <c r="EQ59" s="586"/>
      <c r="ER59" s="586"/>
      <c r="ES59" s="586"/>
      <c r="ET59" s="586"/>
      <c r="EU59" s="586"/>
      <c r="EV59" s="586"/>
      <c r="EW59" s="586"/>
      <c r="EX59" s="586"/>
      <c r="EY59" s="586"/>
      <c r="EZ59" s="586"/>
      <c r="FA59" s="586"/>
      <c r="FB59" s="586"/>
      <c r="FC59" s="586"/>
      <c r="FD59" s="586"/>
      <c r="FE59" s="586"/>
      <c r="FF59" s="586"/>
      <c r="FG59" s="586"/>
      <c r="FH59" s="586"/>
      <c r="FI59" s="586"/>
      <c r="FJ59" s="586"/>
      <c r="FK59" s="586"/>
      <c r="FL59" s="586"/>
      <c r="FM59" s="586"/>
      <c r="FN59" s="586"/>
      <c r="FO59" s="586"/>
      <c r="FP59" s="586"/>
      <c r="FQ59" s="586"/>
      <c r="FR59" s="586"/>
      <c r="FS59" s="586"/>
      <c r="FT59" s="586"/>
      <c r="FU59" s="586"/>
      <c r="FV59" s="586"/>
      <c r="FW59" s="586"/>
      <c r="FX59" s="586"/>
      <c r="FY59" s="586"/>
      <c r="FZ59" s="586"/>
      <c r="GA59" s="586"/>
      <c r="GB59" s="586"/>
      <c r="GC59" s="586"/>
      <c r="GD59" s="586"/>
      <c r="GE59" s="586"/>
      <c r="GF59" s="586"/>
      <c r="GG59" s="586"/>
      <c r="GH59" s="586"/>
      <c r="GI59" s="586"/>
      <c r="GJ59" s="586"/>
      <c r="GK59" s="586"/>
      <c r="GL59" s="586"/>
      <c r="GM59" s="586"/>
      <c r="GN59" s="586"/>
      <c r="GO59" s="586"/>
      <c r="GP59" s="586"/>
      <c r="GQ59" s="586"/>
      <c r="GR59" s="586"/>
      <c r="GS59" s="586"/>
      <c r="GT59" s="586"/>
      <c r="GU59" s="586"/>
      <c r="GV59" s="586"/>
      <c r="GW59" s="586"/>
      <c r="GX59" s="586"/>
      <c r="GY59" s="586"/>
      <c r="GZ59" s="586"/>
      <c r="HA59" s="586"/>
      <c r="HB59" s="586"/>
      <c r="HC59" s="586"/>
      <c r="HD59" s="586"/>
      <c r="HE59" s="586"/>
      <c r="HF59" s="586"/>
      <c r="HG59" s="586"/>
      <c r="HH59" s="586"/>
      <c r="HI59" s="586"/>
      <c r="HJ59" s="586"/>
      <c r="HK59" s="586"/>
      <c r="HL59" s="586"/>
      <c r="HM59" s="586"/>
      <c r="HN59" s="586"/>
      <c r="HO59" s="586"/>
      <c r="HP59" s="586"/>
      <c r="HQ59" s="586"/>
      <c r="HR59" s="586"/>
      <c r="HS59" s="586"/>
      <c r="HT59" s="586"/>
      <c r="HU59" s="586"/>
      <c r="HV59" s="586"/>
      <c r="HW59" s="586"/>
      <c r="HX59" s="586"/>
      <c r="HY59" s="586"/>
      <c r="HZ59" s="586"/>
      <c r="IA59" s="586"/>
      <c r="IB59" s="586"/>
      <c r="IC59" s="586"/>
      <c r="ID59" s="586"/>
      <c r="IE59" s="586"/>
      <c r="IF59" s="586"/>
      <c r="IG59" s="586"/>
      <c r="IH59" s="586"/>
      <c r="II59" s="586"/>
      <c r="IJ59" s="586"/>
      <c r="IK59" s="586"/>
      <c r="IL59" s="586"/>
      <c r="IM59" s="586"/>
      <c r="IN59" s="586"/>
      <c r="IO59" s="586"/>
      <c r="IP59" s="586"/>
      <c r="IQ59" s="586"/>
      <c r="IR59" s="586"/>
      <c r="IS59" s="586"/>
      <c r="IT59" s="586"/>
      <c r="IU59" s="586"/>
      <c r="IV59" s="586"/>
      <c r="IW59" s="586"/>
    </row>
    <row r="60" customFormat="false" ht="12.75" hidden="false" customHeight="false" outlineLevel="0" collapsed="false">
      <c r="A60" s="603"/>
      <c r="B60" s="587" t="s">
        <v>415</v>
      </c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584"/>
      <c r="AE60" s="584"/>
      <c r="AF60" s="586"/>
      <c r="AG60" s="586"/>
      <c r="AH60" s="586"/>
      <c r="AI60" s="586"/>
      <c r="AJ60" s="586"/>
      <c r="AK60" s="586"/>
      <c r="AL60" s="586"/>
      <c r="AM60" s="586"/>
      <c r="AN60" s="586"/>
      <c r="AO60" s="586"/>
      <c r="AP60" s="586"/>
      <c r="AQ60" s="586"/>
      <c r="AR60" s="586"/>
      <c r="AS60" s="586"/>
      <c r="AT60" s="586"/>
      <c r="AU60" s="586"/>
      <c r="AV60" s="586"/>
      <c r="AW60" s="586"/>
      <c r="AX60" s="586"/>
      <c r="AY60" s="586"/>
      <c r="AZ60" s="586"/>
      <c r="BA60" s="586"/>
      <c r="BB60" s="586"/>
      <c r="BC60" s="586"/>
      <c r="BD60" s="586"/>
      <c r="BE60" s="586"/>
      <c r="BF60" s="586"/>
      <c r="BG60" s="586"/>
      <c r="BH60" s="586"/>
      <c r="BI60" s="586"/>
      <c r="BJ60" s="586"/>
      <c r="BK60" s="586"/>
      <c r="BL60" s="586"/>
      <c r="BM60" s="586"/>
      <c r="BN60" s="586"/>
      <c r="BO60" s="586"/>
      <c r="BP60" s="586"/>
      <c r="BQ60" s="586"/>
      <c r="BR60" s="586"/>
      <c r="BS60" s="586"/>
      <c r="BT60" s="586"/>
      <c r="BU60" s="586"/>
      <c r="BV60" s="586"/>
      <c r="BW60" s="586"/>
      <c r="BX60" s="586"/>
      <c r="BY60" s="586"/>
      <c r="BZ60" s="586"/>
      <c r="CA60" s="586"/>
      <c r="CB60" s="586"/>
      <c r="CC60" s="586"/>
      <c r="CD60" s="586"/>
      <c r="CE60" s="586"/>
      <c r="CF60" s="586"/>
      <c r="CG60" s="586"/>
      <c r="CH60" s="586"/>
      <c r="CI60" s="586"/>
      <c r="CJ60" s="586"/>
      <c r="CK60" s="586"/>
      <c r="CL60" s="586"/>
      <c r="CM60" s="586"/>
      <c r="CN60" s="586"/>
      <c r="CO60" s="586"/>
      <c r="CP60" s="586"/>
      <c r="CQ60" s="586"/>
      <c r="CR60" s="586"/>
      <c r="CS60" s="586"/>
      <c r="CT60" s="586"/>
      <c r="CU60" s="586"/>
      <c r="CV60" s="586"/>
      <c r="CW60" s="586"/>
      <c r="CX60" s="586"/>
      <c r="CY60" s="586"/>
      <c r="CZ60" s="586"/>
      <c r="DA60" s="586"/>
      <c r="DB60" s="586"/>
      <c r="DC60" s="586"/>
      <c r="DD60" s="586"/>
      <c r="DE60" s="586"/>
      <c r="DF60" s="586"/>
      <c r="DG60" s="586"/>
      <c r="DH60" s="586"/>
      <c r="DI60" s="586"/>
      <c r="DJ60" s="586"/>
      <c r="DK60" s="586"/>
      <c r="DL60" s="586"/>
      <c r="DM60" s="586"/>
      <c r="DN60" s="586"/>
      <c r="DO60" s="586"/>
      <c r="DP60" s="586"/>
      <c r="DQ60" s="586"/>
      <c r="DR60" s="586"/>
      <c r="DS60" s="586"/>
      <c r="DT60" s="586"/>
      <c r="DU60" s="586"/>
      <c r="DV60" s="586"/>
      <c r="DW60" s="586"/>
      <c r="DX60" s="586"/>
      <c r="DY60" s="586"/>
      <c r="DZ60" s="586"/>
      <c r="EA60" s="586"/>
      <c r="EB60" s="586"/>
      <c r="EC60" s="586"/>
      <c r="ED60" s="586"/>
      <c r="EE60" s="586"/>
      <c r="EF60" s="586"/>
      <c r="EG60" s="586"/>
      <c r="EH60" s="586"/>
      <c r="EI60" s="586"/>
      <c r="EJ60" s="586"/>
      <c r="EK60" s="586"/>
      <c r="EL60" s="586"/>
      <c r="EM60" s="586"/>
      <c r="EN60" s="586"/>
      <c r="EO60" s="586"/>
      <c r="EP60" s="586"/>
      <c r="EQ60" s="586"/>
      <c r="ER60" s="586"/>
      <c r="ES60" s="586"/>
      <c r="ET60" s="586"/>
      <c r="EU60" s="586"/>
      <c r="EV60" s="586"/>
      <c r="EW60" s="586"/>
      <c r="EX60" s="586"/>
      <c r="EY60" s="586"/>
      <c r="EZ60" s="586"/>
      <c r="FA60" s="586"/>
      <c r="FB60" s="586"/>
      <c r="FC60" s="586"/>
      <c r="FD60" s="586"/>
      <c r="FE60" s="586"/>
      <c r="FF60" s="586"/>
      <c r="FG60" s="586"/>
      <c r="FH60" s="586"/>
      <c r="FI60" s="586"/>
      <c r="FJ60" s="586"/>
      <c r="FK60" s="586"/>
      <c r="FL60" s="586"/>
      <c r="FM60" s="586"/>
      <c r="FN60" s="586"/>
      <c r="FO60" s="586"/>
      <c r="FP60" s="586"/>
      <c r="FQ60" s="586"/>
      <c r="FR60" s="586"/>
      <c r="FS60" s="586"/>
      <c r="FT60" s="586"/>
      <c r="FU60" s="586"/>
      <c r="FV60" s="586"/>
      <c r="FW60" s="586"/>
      <c r="FX60" s="586"/>
      <c r="FY60" s="586"/>
      <c r="FZ60" s="586"/>
      <c r="GA60" s="586"/>
      <c r="GB60" s="586"/>
      <c r="GC60" s="586"/>
      <c r="GD60" s="586"/>
      <c r="GE60" s="586"/>
      <c r="GF60" s="586"/>
      <c r="GG60" s="586"/>
      <c r="GH60" s="586"/>
      <c r="GI60" s="586"/>
      <c r="GJ60" s="586"/>
      <c r="GK60" s="586"/>
      <c r="GL60" s="586"/>
      <c r="GM60" s="586"/>
      <c r="GN60" s="586"/>
      <c r="GO60" s="586"/>
      <c r="GP60" s="586"/>
      <c r="GQ60" s="586"/>
      <c r="GR60" s="586"/>
      <c r="GS60" s="586"/>
      <c r="GT60" s="586"/>
      <c r="GU60" s="586"/>
      <c r="GV60" s="586"/>
      <c r="GW60" s="586"/>
      <c r="GX60" s="586"/>
      <c r="GY60" s="586"/>
      <c r="GZ60" s="586"/>
      <c r="HA60" s="586"/>
      <c r="HB60" s="586"/>
      <c r="HC60" s="586"/>
      <c r="HD60" s="586"/>
      <c r="HE60" s="586"/>
      <c r="HF60" s="586"/>
      <c r="HG60" s="586"/>
      <c r="HH60" s="586"/>
      <c r="HI60" s="586"/>
      <c r="HJ60" s="586"/>
      <c r="HK60" s="586"/>
      <c r="HL60" s="586"/>
      <c r="HM60" s="586"/>
      <c r="HN60" s="586"/>
      <c r="HO60" s="586"/>
      <c r="HP60" s="586"/>
      <c r="HQ60" s="586"/>
      <c r="HR60" s="586"/>
      <c r="HS60" s="586"/>
      <c r="HT60" s="586"/>
      <c r="HU60" s="586"/>
      <c r="HV60" s="586"/>
      <c r="HW60" s="586"/>
      <c r="HX60" s="586"/>
      <c r="HY60" s="586"/>
      <c r="HZ60" s="586"/>
      <c r="IA60" s="586"/>
      <c r="IB60" s="586"/>
      <c r="IC60" s="586"/>
      <c r="ID60" s="586"/>
      <c r="IE60" s="586"/>
      <c r="IF60" s="586"/>
      <c r="IG60" s="586"/>
      <c r="IH60" s="586"/>
      <c r="II60" s="586"/>
      <c r="IJ60" s="586"/>
      <c r="IK60" s="586"/>
      <c r="IL60" s="586"/>
      <c r="IM60" s="586"/>
      <c r="IN60" s="586"/>
      <c r="IO60" s="586"/>
      <c r="IP60" s="586"/>
      <c r="IQ60" s="586"/>
      <c r="IR60" s="586"/>
      <c r="IS60" s="586"/>
      <c r="IT60" s="586"/>
      <c r="IU60" s="586"/>
      <c r="IV60" s="586"/>
      <c r="IW60" s="586"/>
    </row>
    <row r="61" customFormat="false" ht="12.75" hidden="false" customHeight="false" outlineLevel="0" collapsed="false">
      <c r="A61" s="581" t="s">
        <v>421</v>
      </c>
      <c r="B61" s="591" t="n">
        <f aca="false">Assumptions!$D$41</f>
        <v>15</v>
      </c>
      <c r="C61" s="620"/>
      <c r="D61" s="620"/>
      <c r="E61" s="620"/>
      <c r="F61" s="620"/>
      <c r="G61" s="406" t="n">
        <f aca="false">G51</f>
        <v>0</v>
      </c>
      <c r="H61" s="406" t="n">
        <f aca="false">H51</f>
        <v>0.05</v>
      </c>
      <c r="I61" s="406" t="n">
        <f aca="false">I51</f>
        <v>0.095</v>
      </c>
      <c r="J61" s="406" t="n">
        <f aca="false">J51</f>
        <v>0.0855</v>
      </c>
      <c r="K61" s="406" t="n">
        <f aca="false">K51</f>
        <v>0.077</v>
      </c>
      <c r="L61" s="406" t="n">
        <f aca="false">L51</f>
        <v>0.0693</v>
      </c>
      <c r="M61" s="406" t="n">
        <f aca="false">M51</f>
        <v>0.0623</v>
      </c>
      <c r="N61" s="406" t="n">
        <f aca="false">N51</f>
        <v>0.059</v>
      </c>
      <c r="O61" s="406" t="n">
        <f aca="false">O51</f>
        <v>0.0591</v>
      </c>
      <c r="P61" s="406" t="n">
        <f aca="false">P51</f>
        <v>0.059</v>
      </c>
      <c r="Q61" s="406" t="n">
        <f aca="false">Q51</f>
        <v>0.0591</v>
      </c>
      <c r="R61" s="406" t="n">
        <f aca="false">R51</f>
        <v>0.059</v>
      </c>
      <c r="S61" s="406" t="n">
        <f aca="false">S51</f>
        <v>0.0591</v>
      </c>
      <c r="T61" s="406" t="n">
        <f aca="false">T51</f>
        <v>0.059</v>
      </c>
      <c r="U61" s="406" t="n">
        <f aca="false">U51</f>
        <v>0.0591</v>
      </c>
      <c r="V61" s="406" t="n">
        <f aca="false">V51</f>
        <v>0.059</v>
      </c>
      <c r="W61" s="406" t="n">
        <f aca="false">W51</f>
        <v>0.0295</v>
      </c>
      <c r="X61" s="406" t="n">
        <f aca="false">X51</f>
        <v>0</v>
      </c>
      <c r="Y61" s="406" t="n">
        <f aca="false">Y51</f>
        <v>0</v>
      </c>
      <c r="Z61" s="406" t="n">
        <f aca="false">Z51</f>
        <v>0</v>
      </c>
      <c r="AA61" s="406" t="n">
        <f aca="false">AA51</f>
        <v>0</v>
      </c>
      <c r="AB61" s="406" t="n">
        <f aca="false">AB51</f>
        <v>0</v>
      </c>
      <c r="AC61" s="406" t="n">
        <f aca="false">AC51</f>
        <v>0</v>
      </c>
      <c r="AD61" s="584"/>
      <c r="AE61" s="584"/>
      <c r="AF61" s="586"/>
      <c r="AG61" s="586"/>
      <c r="AH61" s="586"/>
      <c r="AI61" s="586"/>
      <c r="AJ61" s="586"/>
      <c r="AK61" s="586"/>
      <c r="AL61" s="586"/>
      <c r="AM61" s="586"/>
      <c r="AN61" s="586"/>
      <c r="AO61" s="586"/>
      <c r="AP61" s="586"/>
      <c r="AQ61" s="586"/>
      <c r="AR61" s="586"/>
      <c r="AS61" s="586"/>
      <c r="AT61" s="586"/>
      <c r="AU61" s="586"/>
      <c r="AV61" s="586"/>
      <c r="AW61" s="586"/>
      <c r="AX61" s="586"/>
      <c r="AY61" s="586"/>
      <c r="AZ61" s="586"/>
      <c r="BA61" s="586"/>
      <c r="BB61" s="586"/>
      <c r="BC61" s="586"/>
      <c r="BD61" s="586"/>
      <c r="BE61" s="586"/>
      <c r="BF61" s="586"/>
      <c r="BG61" s="586"/>
      <c r="BH61" s="586"/>
      <c r="BI61" s="586"/>
      <c r="BJ61" s="586"/>
      <c r="BK61" s="586"/>
      <c r="BL61" s="586"/>
      <c r="BM61" s="586"/>
      <c r="BN61" s="586"/>
      <c r="BO61" s="586"/>
      <c r="BP61" s="586"/>
      <c r="BQ61" s="586"/>
      <c r="BR61" s="586"/>
      <c r="BS61" s="586"/>
      <c r="BT61" s="586"/>
      <c r="BU61" s="586"/>
      <c r="BV61" s="586"/>
      <c r="BW61" s="586"/>
      <c r="BX61" s="586"/>
      <c r="BY61" s="586"/>
      <c r="BZ61" s="586"/>
      <c r="CA61" s="586"/>
      <c r="CB61" s="586"/>
      <c r="CC61" s="586"/>
      <c r="CD61" s="586"/>
      <c r="CE61" s="586"/>
      <c r="CF61" s="586"/>
      <c r="CG61" s="586"/>
      <c r="CH61" s="586"/>
      <c r="CI61" s="586"/>
      <c r="CJ61" s="586"/>
      <c r="CK61" s="586"/>
      <c r="CL61" s="586"/>
      <c r="CM61" s="586"/>
      <c r="CN61" s="586"/>
      <c r="CO61" s="586"/>
      <c r="CP61" s="586"/>
      <c r="CQ61" s="586"/>
      <c r="CR61" s="586"/>
      <c r="CS61" s="586"/>
      <c r="CT61" s="586"/>
      <c r="CU61" s="586"/>
      <c r="CV61" s="586"/>
      <c r="CW61" s="586"/>
      <c r="CX61" s="586"/>
      <c r="CY61" s="586"/>
      <c r="CZ61" s="586"/>
      <c r="DA61" s="586"/>
      <c r="DB61" s="586"/>
      <c r="DC61" s="586"/>
      <c r="DD61" s="586"/>
      <c r="DE61" s="586"/>
      <c r="DF61" s="586"/>
      <c r="DG61" s="586"/>
      <c r="DH61" s="586"/>
      <c r="DI61" s="586"/>
      <c r="DJ61" s="586"/>
      <c r="DK61" s="586"/>
      <c r="DL61" s="586"/>
      <c r="DM61" s="586"/>
      <c r="DN61" s="586"/>
      <c r="DO61" s="586"/>
      <c r="DP61" s="586"/>
      <c r="DQ61" s="586"/>
      <c r="DR61" s="586"/>
      <c r="DS61" s="586"/>
      <c r="DT61" s="586"/>
      <c r="DU61" s="586"/>
      <c r="DV61" s="586"/>
      <c r="DW61" s="586"/>
      <c r="DX61" s="586"/>
      <c r="DY61" s="586"/>
      <c r="DZ61" s="586"/>
      <c r="EA61" s="586"/>
      <c r="EB61" s="586"/>
      <c r="EC61" s="586"/>
      <c r="ED61" s="586"/>
      <c r="EE61" s="586"/>
      <c r="EF61" s="586"/>
      <c r="EG61" s="586"/>
      <c r="EH61" s="586"/>
      <c r="EI61" s="586"/>
      <c r="EJ61" s="586"/>
      <c r="EK61" s="586"/>
      <c r="EL61" s="586"/>
      <c r="EM61" s="586"/>
      <c r="EN61" s="586"/>
      <c r="EO61" s="586"/>
      <c r="EP61" s="586"/>
      <c r="EQ61" s="586"/>
      <c r="ER61" s="586"/>
      <c r="ES61" s="586"/>
      <c r="ET61" s="586"/>
      <c r="EU61" s="586"/>
      <c r="EV61" s="586"/>
      <c r="EW61" s="586"/>
      <c r="EX61" s="586"/>
      <c r="EY61" s="586"/>
      <c r="EZ61" s="586"/>
      <c r="FA61" s="586"/>
      <c r="FB61" s="586"/>
      <c r="FC61" s="586"/>
      <c r="FD61" s="586"/>
      <c r="FE61" s="586"/>
      <c r="FF61" s="586"/>
      <c r="FG61" s="586"/>
      <c r="FH61" s="586"/>
      <c r="FI61" s="586"/>
      <c r="FJ61" s="586"/>
      <c r="FK61" s="586"/>
      <c r="FL61" s="586"/>
      <c r="FM61" s="586"/>
      <c r="FN61" s="586"/>
      <c r="FO61" s="586"/>
      <c r="FP61" s="586"/>
      <c r="FQ61" s="586"/>
      <c r="FR61" s="586"/>
      <c r="FS61" s="586"/>
      <c r="FT61" s="586"/>
      <c r="FU61" s="586"/>
      <c r="FV61" s="586"/>
      <c r="FW61" s="586"/>
      <c r="FX61" s="586"/>
      <c r="FY61" s="586"/>
      <c r="FZ61" s="586"/>
      <c r="GA61" s="586"/>
      <c r="GB61" s="586"/>
      <c r="GC61" s="586"/>
      <c r="GD61" s="586"/>
      <c r="GE61" s="586"/>
      <c r="GF61" s="586"/>
      <c r="GG61" s="586"/>
      <c r="GH61" s="586"/>
      <c r="GI61" s="586"/>
      <c r="GJ61" s="586"/>
      <c r="GK61" s="586"/>
      <c r="GL61" s="586"/>
      <c r="GM61" s="586"/>
      <c r="GN61" s="586"/>
      <c r="GO61" s="586"/>
      <c r="GP61" s="586"/>
      <c r="GQ61" s="586"/>
      <c r="GR61" s="586"/>
      <c r="GS61" s="586"/>
      <c r="GT61" s="586"/>
      <c r="GU61" s="586"/>
      <c r="GV61" s="586"/>
      <c r="GW61" s="586"/>
      <c r="GX61" s="586"/>
      <c r="GY61" s="586"/>
      <c r="GZ61" s="586"/>
      <c r="HA61" s="586"/>
      <c r="HB61" s="586"/>
      <c r="HC61" s="586"/>
      <c r="HD61" s="586"/>
      <c r="HE61" s="586"/>
      <c r="HF61" s="586"/>
      <c r="HG61" s="586"/>
      <c r="HH61" s="586"/>
      <c r="HI61" s="586"/>
      <c r="HJ61" s="586"/>
      <c r="HK61" s="586"/>
      <c r="HL61" s="586"/>
      <c r="HM61" s="586"/>
      <c r="HN61" s="586"/>
      <c r="HO61" s="586"/>
      <c r="HP61" s="586"/>
      <c r="HQ61" s="586"/>
      <c r="HR61" s="586"/>
      <c r="HS61" s="586"/>
      <c r="HT61" s="586"/>
      <c r="HU61" s="586"/>
      <c r="HV61" s="586"/>
      <c r="HW61" s="586"/>
      <c r="HX61" s="586"/>
      <c r="HY61" s="586"/>
      <c r="HZ61" s="586"/>
      <c r="IA61" s="586"/>
      <c r="IB61" s="586"/>
      <c r="IC61" s="586"/>
      <c r="ID61" s="586"/>
      <c r="IE61" s="586"/>
      <c r="IF61" s="586"/>
      <c r="IG61" s="586"/>
      <c r="IH61" s="586"/>
      <c r="II61" s="586"/>
      <c r="IJ61" s="586"/>
      <c r="IK61" s="586"/>
      <c r="IL61" s="586"/>
      <c r="IM61" s="586"/>
      <c r="IN61" s="586"/>
      <c r="IO61" s="586"/>
      <c r="IP61" s="586"/>
      <c r="IQ61" s="586"/>
      <c r="IR61" s="586"/>
      <c r="IS61" s="586"/>
      <c r="IT61" s="586"/>
      <c r="IU61" s="586"/>
      <c r="IV61" s="586"/>
      <c r="IW61" s="586"/>
    </row>
    <row r="62" customFormat="false" ht="12.75" hidden="false" customHeight="false" outlineLevel="0" collapsed="false">
      <c r="A62" s="581"/>
      <c r="B62" s="594" t="n">
        <f aca="false">Assumptions!$D$42</f>
        <v>20</v>
      </c>
      <c r="G62" s="406" t="n">
        <f aca="false">G52</f>
        <v>0</v>
      </c>
      <c r="H62" s="406" t="n">
        <f aca="false">H52</f>
        <v>0.05</v>
      </c>
      <c r="I62" s="406" t="n">
        <f aca="false">I52</f>
        <v>0.05</v>
      </c>
      <c r="J62" s="406" t="n">
        <f aca="false">J52</f>
        <v>0.05</v>
      </c>
      <c r="K62" s="406" t="n">
        <f aca="false">K52</f>
        <v>0.05</v>
      </c>
      <c r="L62" s="406" t="n">
        <f aca="false">L52</f>
        <v>0.05</v>
      </c>
      <c r="M62" s="406" t="n">
        <f aca="false">M52</f>
        <v>0.05</v>
      </c>
      <c r="N62" s="406" t="n">
        <f aca="false">N52</f>
        <v>0.05</v>
      </c>
      <c r="O62" s="406" t="n">
        <f aca="false">O52</f>
        <v>0.05</v>
      </c>
      <c r="P62" s="406" t="n">
        <f aca="false">P52</f>
        <v>0.05</v>
      </c>
      <c r="Q62" s="406" t="n">
        <f aca="false">Q52</f>
        <v>0.05</v>
      </c>
      <c r="R62" s="406" t="n">
        <f aca="false">R52</f>
        <v>0.05</v>
      </c>
      <c r="S62" s="406" t="n">
        <f aca="false">S52</f>
        <v>0.05</v>
      </c>
      <c r="T62" s="406" t="n">
        <f aca="false">T52</f>
        <v>0.05</v>
      </c>
      <c r="U62" s="406" t="n">
        <f aca="false">U52</f>
        <v>0.05</v>
      </c>
      <c r="V62" s="406" t="n">
        <f aca="false">V52</f>
        <v>0.05</v>
      </c>
      <c r="W62" s="406" t="n">
        <f aca="false">W52</f>
        <v>0.05</v>
      </c>
      <c r="X62" s="406" t="n">
        <f aca="false">X52</f>
        <v>0.05</v>
      </c>
      <c r="Y62" s="406" t="n">
        <f aca="false">Y52</f>
        <v>0.05</v>
      </c>
      <c r="Z62" s="406" t="n">
        <f aca="false">Z52</f>
        <v>0.05</v>
      </c>
      <c r="AA62" s="406" t="n">
        <f aca="false">AA52</f>
        <v>0.05</v>
      </c>
      <c r="AB62" s="406" t="n">
        <f aca="false">AB52</f>
        <v>0</v>
      </c>
      <c r="AC62" s="406" t="n">
        <f aca="false">AC52</f>
        <v>0</v>
      </c>
      <c r="AD62" s="584"/>
      <c r="AE62" s="584"/>
      <c r="AF62" s="586"/>
      <c r="AG62" s="586"/>
      <c r="AH62" s="586"/>
      <c r="AI62" s="586"/>
      <c r="AJ62" s="586"/>
      <c r="AK62" s="586"/>
      <c r="AL62" s="586"/>
      <c r="AM62" s="586"/>
      <c r="AN62" s="586"/>
      <c r="AO62" s="586"/>
      <c r="AP62" s="586"/>
      <c r="AQ62" s="586"/>
      <c r="AR62" s="586"/>
      <c r="AS62" s="586"/>
      <c r="AT62" s="586"/>
      <c r="AU62" s="586"/>
      <c r="AV62" s="586"/>
      <c r="AW62" s="586"/>
      <c r="AX62" s="586"/>
      <c r="AY62" s="586"/>
      <c r="AZ62" s="586"/>
      <c r="BA62" s="586"/>
      <c r="BB62" s="586"/>
      <c r="BC62" s="586"/>
      <c r="BD62" s="586"/>
      <c r="BE62" s="586"/>
      <c r="BF62" s="586"/>
      <c r="BG62" s="586"/>
      <c r="BH62" s="586"/>
      <c r="BI62" s="586"/>
      <c r="BJ62" s="586"/>
      <c r="BK62" s="586"/>
      <c r="BL62" s="586"/>
      <c r="BM62" s="586"/>
      <c r="BN62" s="586"/>
      <c r="BO62" s="586"/>
      <c r="BP62" s="586"/>
      <c r="BQ62" s="586"/>
      <c r="BR62" s="586"/>
      <c r="BS62" s="586"/>
      <c r="BT62" s="586"/>
      <c r="BU62" s="586"/>
      <c r="BV62" s="586"/>
      <c r="BW62" s="586"/>
      <c r="BX62" s="586"/>
      <c r="BY62" s="586"/>
      <c r="BZ62" s="586"/>
      <c r="CA62" s="586"/>
      <c r="CB62" s="586"/>
      <c r="CC62" s="586"/>
      <c r="CD62" s="586"/>
      <c r="CE62" s="586"/>
      <c r="CF62" s="586"/>
      <c r="CG62" s="586"/>
      <c r="CH62" s="586"/>
      <c r="CI62" s="586"/>
      <c r="CJ62" s="586"/>
      <c r="CK62" s="586"/>
      <c r="CL62" s="586"/>
      <c r="CM62" s="586"/>
      <c r="CN62" s="586"/>
      <c r="CO62" s="586"/>
      <c r="CP62" s="586"/>
      <c r="CQ62" s="586"/>
      <c r="CR62" s="586"/>
      <c r="CS62" s="586"/>
      <c r="CT62" s="586"/>
      <c r="CU62" s="586"/>
      <c r="CV62" s="586"/>
      <c r="CW62" s="586"/>
      <c r="CX62" s="586"/>
      <c r="CY62" s="586"/>
      <c r="CZ62" s="586"/>
      <c r="DA62" s="586"/>
      <c r="DB62" s="586"/>
      <c r="DC62" s="586"/>
      <c r="DD62" s="586"/>
      <c r="DE62" s="586"/>
      <c r="DF62" s="586"/>
      <c r="DG62" s="586"/>
      <c r="DH62" s="586"/>
      <c r="DI62" s="586"/>
      <c r="DJ62" s="586"/>
      <c r="DK62" s="586"/>
      <c r="DL62" s="586"/>
      <c r="DM62" s="586"/>
      <c r="DN62" s="586"/>
      <c r="DO62" s="586"/>
      <c r="DP62" s="586"/>
      <c r="DQ62" s="586"/>
      <c r="DR62" s="586"/>
      <c r="DS62" s="586"/>
      <c r="DT62" s="586"/>
      <c r="DU62" s="586"/>
      <c r="DV62" s="586"/>
      <c r="DW62" s="586"/>
      <c r="DX62" s="586"/>
      <c r="DY62" s="586"/>
      <c r="DZ62" s="586"/>
      <c r="EA62" s="586"/>
      <c r="EB62" s="586"/>
      <c r="EC62" s="586"/>
      <c r="ED62" s="586"/>
      <c r="EE62" s="586"/>
      <c r="EF62" s="586"/>
      <c r="EG62" s="586"/>
      <c r="EH62" s="586"/>
      <c r="EI62" s="586"/>
      <c r="EJ62" s="586"/>
      <c r="EK62" s="586"/>
      <c r="EL62" s="586"/>
      <c r="EM62" s="586"/>
      <c r="EN62" s="586"/>
      <c r="EO62" s="586"/>
      <c r="EP62" s="586"/>
      <c r="EQ62" s="586"/>
      <c r="ER62" s="586"/>
      <c r="ES62" s="586"/>
      <c r="ET62" s="586"/>
      <c r="EU62" s="586"/>
      <c r="EV62" s="586"/>
      <c r="EW62" s="586"/>
      <c r="EX62" s="586"/>
      <c r="EY62" s="586"/>
      <c r="EZ62" s="586"/>
      <c r="FA62" s="586"/>
      <c r="FB62" s="586"/>
      <c r="FC62" s="586"/>
      <c r="FD62" s="586"/>
      <c r="FE62" s="586"/>
      <c r="FF62" s="586"/>
      <c r="FG62" s="586"/>
      <c r="FH62" s="586"/>
      <c r="FI62" s="586"/>
      <c r="FJ62" s="586"/>
      <c r="FK62" s="586"/>
      <c r="FL62" s="586"/>
      <c r="FM62" s="586"/>
      <c r="FN62" s="586"/>
      <c r="FO62" s="586"/>
      <c r="FP62" s="586"/>
      <c r="FQ62" s="586"/>
      <c r="FR62" s="586"/>
      <c r="FS62" s="586"/>
      <c r="FT62" s="586"/>
      <c r="FU62" s="586"/>
      <c r="FV62" s="586"/>
      <c r="FW62" s="586"/>
      <c r="FX62" s="586"/>
      <c r="FY62" s="586"/>
      <c r="FZ62" s="586"/>
      <c r="GA62" s="586"/>
      <c r="GB62" s="586"/>
      <c r="GC62" s="586"/>
      <c r="GD62" s="586"/>
      <c r="GE62" s="586"/>
      <c r="GF62" s="586"/>
      <c r="GG62" s="586"/>
      <c r="GH62" s="586"/>
      <c r="GI62" s="586"/>
      <c r="GJ62" s="586"/>
      <c r="GK62" s="586"/>
      <c r="GL62" s="586"/>
      <c r="GM62" s="586"/>
      <c r="GN62" s="586"/>
      <c r="GO62" s="586"/>
      <c r="GP62" s="586"/>
      <c r="GQ62" s="586"/>
      <c r="GR62" s="586"/>
      <c r="GS62" s="586"/>
      <c r="GT62" s="586"/>
      <c r="GU62" s="586"/>
      <c r="GV62" s="586"/>
      <c r="GW62" s="586"/>
      <c r="GX62" s="586"/>
      <c r="GY62" s="586"/>
      <c r="GZ62" s="586"/>
      <c r="HA62" s="586"/>
      <c r="HB62" s="586"/>
      <c r="HC62" s="586"/>
      <c r="HD62" s="586"/>
      <c r="HE62" s="586"/>
      <c r="HF62" s="586"/>
      <c r="HG62" s="586"/>
      <c r="HH62" s="586"/>
      <c r="HI62" s="586"/>
      <c r="HJ62" s="586"/>
      <c r="HK62" s="586"/>
      <c r="HL62" s="586"/>
      <c r="HM62" s="586"/>
      <c r="HN62" s="586"/>
      <c r="HO62" s="586"/>
      <c r="HP62" s="586"/>
      <c r="HQ62" s="586"/>
      <c r="HR62" s="586"/>
      <c r="HS62" s="586"/>
      <c r="HT62" s="586"/>
      <c r="HU62" s="586"/>
      <c r="HV62" s="586"/>
      <c r="HW62" s="586"/>
      <c r="HX62" s="586"/>
      <c r="HY62" s="586"/>
      <c r="HZ62" s="586"/>
      <c r="IA62" s="586"/>
      <c r="IB62" s="586"/>
      <c r="IC62" s="586"/>
      <c r="ID62" s="586"/>
      <c r="IE62" s="586"/>
      <c r="IF62" s="586"/>
      <c r="IG62" s="586"/>
      <c r="IH62" s="586"/>
      <c r="II62" s="586"/>
      <c r="IJ62" s="586"/>
      <c r="IK62" s="586"/>
      <c r="IL62" s="586"/>
      <c r="IM62" s="586"/>
      <c r="IN62" s="586"/>
      <c r="IO62" s="586"/>
      <c r="IP62" s="586"/>
      <c r="IQ62" s="586"/>
      <c r="IR62" s="586"/>
      <c r="IS62" s="586"/>
      <c r="IT62" s="586"/>
      <c r="IU62" s="586"/>
      <c r="IV62" s="586"/>
      <c r="IW62" s="586"/>
    </row>
    <row r="63" customFormat="false" ht="12.75" hidden="false" customHeight="false" outlineLevel="0" collapsed="false">
      <c r="A63" s="586"/>
      <c r="B63" s="591"/>
      <c r="G63" s="406"/>
      <c r="H63" s="406"/>
      <c r="I63" s="406"/>
      <c r="J63" s="406"/>
      <c r="K63" s="406"/>
      <c r="L63" s="406"/>
      <c r="M63" s="406"/>
      <c r="N63" s="406"/>
      <c r="O63" s="406"/>
      <c r="P63" s="406"/>
      <c r="Q63" s="406"/>
      <c r="R63" s="406"/>
      <c r="S63" s="406"/>
      <c r="T63" s="406"/>
      <c r="U63" s="406"/>
      <c r="V63" s="406"/>
      <c r="W63" s="406"/>
      <c r="X63" s="406"/>
      <c r="Y63" s="406"/>
      <c r="Z63" s="406"/>
      <c r="AA63" s="406"/>
      <c r="AB63" s="406"/>
      <c r="AC63" s="406"/>
      <c r="AD63" s="584"/>
      <c r="AE63" s="584"/>
      <c r="AF63" s="586"/>
      <c r="AG63" s="586"/>
      <c r="AH63" s="586"/>
      <c r="AI63" s="586"/>
      <c r="AJ63" s="586"/>
      <c r="AK63" s="586"/>
      <c r="AL63" s="586"/>
      <c r="AM63" s="586"/>
      <c r="AN63" s="586"/>
      <c r="AO63" s="586"/>
      <c r="AP63" s="586"/>
      <c r="AQ63" s="586"/>
      <c r="AR63" s="586"/>
      <c r="AS63" s="586"/>
      <c r="AT63" s="586"/>
      <c r="AU63" s="586"/>
      <c r="AV63" s="586"/>
      <c r="AW63" s="586"/>
      <c r="AX63" s="586"/>
      <c r="AY63" s="586"/>
      <c r="AZ63" s="586"/>
      <c r="BA63" s="586"/>
      <c r="BB63" s="586"/>
      <c r="BC63" s="586"/>
      <c r="BD63" s="586"/>
      <c r="BE63" s="586"/>
      <c r="BF63" s="586"/>
      <c r="BG63" s="586"/>
      <c r="BH63" s="586"/>
      <c r="BI63" s="586"/>
      <c r="BJ63" s="586"/>
      <c r="BK63" s="586"/>
      <c r="BL63" s="586"/>
      <c r="BM63" s="586"/>
      <c r="BN63" s="586"/>
      <c r="BO63" s="586"/>
      <c r="BP63" s="586"/>
      <c r="BQ63" s="586"/>
      <c r="BR63" s="586"/>
      <c r="BS63" s="586"/>
      <c r="BT63" s="586"/>
      <c r="BU63" s="586"/>
      <c r="BV63" s="586"/>
      <c r="BW63" s="586"/>
      <c r="BX63" s="586"/>
      <c r="BY63" s="586"/>
      <c r="BZ63" s="586"/>
      <c r="CA63" s="586"/>
      <c r="CB63" s="586"/>
      <c r="CC63" s="586"/>
      <c r="CD63" s="586"/>
      <c r="CE63" s="586"/>
      <c r="CF63" s="586"/>
      <c r="CG63" s="586"/>
      <c r="CH63" s="586"/>
      <c r="CI63" s="586"/>
      <c r="CJ63" s="586"/>
      <c r="CK63" s="586"/>
      <c r="CL63" s="586"/>
      <c r="CM63" s="586"/>
      <c r="CN63" s="586"/>
      <c r="CO63" s="586"/>
      <c r="CP63" s="586"/>
      <c r="CQ63" s="586"/>
      <c r="CR63" s="586"/>
      <c r="CS63" s="586"/>
      <c r="CT63" s="586"/>
      <c r="CU63" s="586"/>
      <c r="CV63" s="586"/>
      <c r="CW63" s="586"/>
      <c r="CX63" s="586"/>
      <c r="CY63" s="586"/>
      <c r="CZ63" s="586"/>
      <c r="DA63" s="586"/>
      <c r="DB63" s="586"/>
      <c r="DC63" s="586"/>
      <c r="DD63" s="586"/>
      <c r="DE63" s="586"/>
      <c r="DF63" s="586"/>
      <c r="DG63" s="586"/>
      <c r="DH63" s="586"/>
      <c r="DI63" s="586"/>
      <c r="DJ63" s="586"/>
      <c r="DK63" s="586"/>
      <c r="DL63" s="586"/>
      <c r="DM63" s="586"/>
      <c r="DN63" s="586"/>
      <c r="DO63" s="586"/>
      <c r="DP63" s="586"/>
      <c r="DQ63" s="586"/>
      <c r="DR63" s="586"/>
      <c r="DS63" s="586"/>
      <c r="DT63" s="586"/>
      <c r="DU63" s="586"/>
      <c r="DV63" s="586"/>
      <c r="DW63" s="586"/>
      <c r="DX63" s="586"/>
      <c r="DY63" s="586"/>
      <c r="DZ63" s="586"/>
      <c r="EA63" s="586"/>
      <c r="EB63" s="586"/>
      <c r="EC63" s="586"/>
      <c r="ED63" s="586"/>
      <c r="EE63" s="586"/>
      <c r="EF63" s="586"/>
      <c r="EG63" s="586"/>
      <c r="EH63" s="586"/>
      <c r="EI63" s="586"/>
      <c r="EJ63" s="586"/>
      <c r="EK63" s="586"/>
      <c r="EL63" s="586"/>
      <c r="EM63" s="586"/>
      <c r="EN63" s="586"/>
      <c r="EO63" s="586"/>
      <c r="EP63" s="586"/>
      <c r="EQ63" s="586"/>
      <c r="ER63" s="586"/>
      <c r="ES63" s="586"/>
      <c r="ET63" s="586"/>
      <c r="EU63" s="586"/>
      <c r="EV63" s="586"/>
      <c r="EW63" s="586"/>
      <c r="EX63" s="586"/>
      <c r="EY63" s="586"/>
      <c r="EZ63" s="586"/>
      <c r="FA63" s="586"/>
      <c r="FB63" s="586"/>
      <c r="FC63" s="586"/>
      <c r="FD63" s="586"/>
      <c r="FE63" s="586"/>
      <c r="FF63" s="586"/>
      <c r="FG63" s="586"/>
      <c r="FH63" s="586"/>
      <c r="FI63" s="586"/>
      <c r="FJ63" s="586"/>
      <c r="FK63" s="586"/>
      <c r="FL63" s="586"/>
      <c r="FM63" s="586"/>
      <c r="FN63" s="586"/>
      <c r="FO63" s="586"/>
      <c r="FP63" s="586"/>
      <c r="FQ63" s="586"/>
      <c r="FR63" s="586"/>
      <c r="FS63" s="586"/>
      <c r="FT63" s="586"/>
      <c r="FU63" s="586"/>
      <c r="FV63" s="586"/>
      <c r="FW63" s="586"/>
      <c r="FX63" s="586"/>
      <c r="FY63" s="586"/>
      <c r="FZ63" s="586"/>
      <c r="GA63" s="586"/>
      <c r="GB63" s="586"/>
      <c r="GC63" s="586"/>
      <c r="GD63" s="586"/>
      <c r="GE63" s="586"/>
      <c r="GF63" s="586"/>
      <c r="GG63" s="586"/>
      <c r="GH63" s="586"/>
      <c r="GI63" s="586"/>
      <c r="GJ63" s="586"/>
      <c r="GK63" s="586"/>
      <c r="GL63" s="586"/>
      <c r="GM63" s="586"/>
      <c r="GN63" s="586"/>
      <c r="GO63" s="586"/>
      <c r="GP63" s="586"/>
      <c r="GQ63" s="586"/>
      <c r="GR63" s="586"/>
      <c r="GS63" s="586"/>
      <c r="GT63" s="586"/>
      <c r="GU63" s="586"/>
      <c r="GV63" s="586"/>
      <c r="GW63" s="586"/>
      <c r="GX63" s="586"/>
      <c r="GY63" s="586"/>
      <c r="GZ63" s="586"/>
      <c r="HA63" s="586"/>
      <c r="HB63" s="586"/>
      <c r="HC63" s="586"/>
      <c r="HD63" s="586"/>
      <c r="HE63" s="586"/>
      <c r="HF63" s="586"/>
      <c r="HG63" s="586"/>
      <c r="HH63" s="586"/>
      <c r="HI63" s="586"/>
      <c r="HJ63" s="586"/>
      <c r="HK63" s="586"/>
      <c r="HL63" s="586"/>
      <c r="HM63" s="586"/>
      <c r="HN63" s="586"/>
      <c r="HO63" s="586"/>
      <c r="HP63" s="586"/>
      <c r="HQ63" s="586"/>
      <c r="HR63" s="586"/>
      <c r="HS63" s="586"/>
      <c r="HT63" s="586"/>
      <c r="HU63" s="586"/>
      <c r="HV63" s="586"/>
      <c r="HW63" s="586"/>
      <c r="HX63" s="586"/>
      <c r="HY63" s="586"/>
      <c r="HZ63" s="586"/>
      <c r="IA63" s="586"/>
      <c r="IB63" s="586"/>
      <c r="IC63" s="586"/>
      <c r="ID63" s="586"/>
      <c r="IE63" s="586"/>
      <c r="IF63" s="586"/>
      <c r="IG63" s="586"/>
      <c r="IH63" s="586"/>
      <c r="II63" s="586"/>
      <c r="IJ63" s="586"/>
      <c r="IK63" s="586"/>
      <c r="IL63" s="586"/>
      <c r="IM63" s="586"/>
      <c r="IN63" s="586"/>
      <c r="IO63" s="586"/>
      <c r="IP63" s="586"/>
      <c r="IQ63" s="586"/>
      <c r="IR63" s="586"/>
      <c r="IS63" s="586"/>
      <c r="IT63" s="586"/>
      <c r="IU63" s="586"/>
      <c r="IV63" s="586"/>
      <c r="IW63" s="586"/>
    </row>
    <row r="64" customFormat="false" ht="12.75" hidden="false" customHeight="false" outlineLevel="0" collapsed="false">
      <c r="A64" s="586"/>
      <c r="B64" s="587"/>
      <c r="AD64" s="584"/>
      <c r="AE64" s="584"/>
      <c r="AF64" s="586"/>
      <c r="AG64" s="586"/>
      <c r="AH64" s="586"/>
      <c r="AI64" s="586"/>
      <c r="AJ64" s="586"/>
      <c r="AK64" s="586"/>
      <c r="AL64" s="586"/>
      <c r="AM64" s="586"/>
      <c r="AN64" s="586"/>
      <c r="AO64" s="586"/>
      <c r="AP64" s="586"/>
      <c r="AQ64" s="586"/>
      <c r="AR64" s="586"/>
      <c r="AS64" s="586"/>
      <c r="AT64" s="586"/>
      <c r="AU64" s="586"/>
      <c r="AV64" s="586"/>
      <c r="AW64" s="586"/>
      <c r="AX64" s="586"/>
      <c r="AY64" s="586"/>
      <c r="AZ64" s="586"/>
      <c r="BA64" s="586"/>
      <c r="BB64" s="586"/>
      <c r="BC64" s="586"/>
      <c r="BD64" s="586"/>
      <c r="BE64" s="586"/>
      <c r="BF64" s="586"/>
      <c r="BG64" s="586"/>
      <c r="BH64" s="586"/>
      <c r="BI64" s="586"/>
      <c r="BJ64" s="586"/>
      <c r="BK64" s="586"/>
      <c r="BL64" s="586"/>
      <c r="BM64" s="586"/>
      <c r="BN64" s="586"/>
      <c r="BO64" s="586"/>
      <c r="BP64" s="586"/>
      <c r="BQ64" s="586"/>
      <c r="BR64" s="586"/>
      <c r="BS64" s="586"/>
      <c r="BT64" s="586"/>
      <c r="BU64" s="586"/>
      <c r="BV64" s="586"/>
      <c r="BW64" s="586"/>
      <c r="BX64" s="586"/>
      <c r="BY64" s="586"/>
      <c r="BZ64" s="586"/>
      <c r="CA64" s="586"/>
      <c r="CB64" s="586"/>
      <c r="CC64" s="586"/>
      <c r="CD64" s="586"/>
      <c r="CE64" s="586"/>
      <c r="CF64" s="586"/>
      <c r="CG64" s="586"/>
      <c r="CH64" s="586"/>
      <c r="CI64" s="586"/>
      <c r="CJ64" s="586"/>
      <c r="CK64" s="586"/>
      <c r="CL64" s="586"/>
      <c r="CM64" s="586"/>
      <c r="CN64" s="586"/>
      <c r="CO64" s="586"/>
      <c r="CP64" s="586"/>
      <c r="CQ64" s="586"/>
      <c r="CR64" s="586"/>
      <c r="CS64" s="586"/>
      <c r="CT64" s="586"/>
      <c r="CU64" s="586"/>
      <c r="CV64" s="586"/>
      <c r="CW64" s="586"/>
      <c r="CX64" s="586"/>
      <c r="CY64" s="586"/>
      <c r="CZ64" s="586"/>
      <c r="DA64" s="586"/>
      <c r="DB64" s="586"/>
      <c r="DC64" s="586"/>
      <c r="DD64" s="586"/>
      <c r="DE64" s="586"/>
      <c r="DF64" s="586"/>
      <c r="DG64" s="586"/>
      <c r="DH64" s="586"/>
      <c r="DI64" s="586"/>
      <c r="DJ64" s="586"/>
      <c r="DK64" s="586"/>
      <c r="DL64" s="586"/>
      <c r="DM64" s="586"/>
      <c r="DN64" s="586"/>
      <c r="DO64" s="586"/>
      <c r="DP64" s="586"/>
      <c r="DQ64" s="586"/>
      <c r="DR64" s="586"/>
      <c r="DS64" s="586"/>
      <c r="DT64" s="586"/>
      <c r="DU64" s="586"/>
      <c r="DV64" s="586"/>
      <c r="DW64" s="586"/>
      <c r="DX64" s="586"/>
      <c r="DY64" s="586"/>
      <c r="DZ64" s="586"/>
      <c r="EA64" s="586"/>
      <c r="EB64" s="586"/>
      <c r="EC64" s="586"/>
      <c r="ED64" s="586"/>
      <c r="EE64" s="586"/>
      <c r="EF64" s="586"/>
      <c r="EG64" s="586"/>
      <c r="EH64" s="586"/>
      <c r="EI64" s="586"/>
      <c r="EJ64" s="586"/>
      <c r="EK64" s="586"/>
      <c r="EL64" s="586"/>
      <c r="EM64" s="586"/>
      <c r="EN64" s="586"/>
      <c r="EO64" s="586"/>
      <c r="EP64" s="586"/>
      <c r="EQ64" s="586"/>
      <c r="ER64" s="586"/>
      <c r="ES64" s="586"/>
      <c r="ET64" s="586"/>
      <c r="EU64" s="586"/>
      <c r="EV64" s="586"/>
      <c r="EW64" s="586"/>
      <c r="EX64" s="586"/>
      <c r="EY64" s="586"/>
      <c r="EZ64" s="586"/>
      <c r="FA64" s="586"/>
      <c r="FB64" s="586"/>
      <c r="FC64" s="586"/>
      <c r="FD64" s="586"/>
      <c r="FE64" s="586"/>
      <c r="FF64" s="586"/>
      <c r="FG64" s="586"/>
      <c r="FH64" s="586"/>
      <c r="FI64" s="586"/>
      <c r="FJ64" s="586"/>
      <c r="FK64" s="586"/>
      <c r="FL64" s="586"/>
      <c r="FM64" s="586"/>
      <c r="FN64" s="586"/>
      <c r="FO64" s="586"/>
      <c r="FP64" s="586"/>
      <c r="FQ64" s="586"/>
      <c r="FR64" s="586"/>
      <c r="FS64" s="586"/>
      <c r="FT64" s="586"/>
      <c r="FU64" s="586"/>
      <c r="FV64" s="586"/>
      <c r="FW64" s="586"/>
      <c r="FX64" s="586"/>
      <c r="FY64" s="586"/>
      <c r="FZ64" s="586"/>
      <c r="GA64" s="586"/>
      <c r="GB64" s="586"/>
      <c r="GC64" s="586"/>
      <c r="GD64" s="586"/>
      <c r="GE64" s="586"/>
      <c r="GF64" s="586"/>
      <c r="GG64" s="586"/>
      <c r="GH64" s="586"/>
      <c r="GI64" s="586"/>
      <c r="GJ64" s="586"/>
      <c r="GK64" s="586"/>
      <c r="GL64" s="586"/>
      <c r="GM64" s="586"/>
      <c r="GN64" s="586"/>
      <c r="GO64" s="586"/>
      <c r="GP64" s="586"/>
      <c r="GQ64" s="586"/>
      <c r="GR64" s="586"/>
      <c r="GS64" s="586"/>
      <c r="GT64" s="586"/>
      <c r="GU64" s="586"/>
      <c r="GV64" s="586"/>
      <c r="GW64" s="586"/>
      <c r="GX64" s="586"/>
      <c r="GY64" s="586"/>
      <c r="GZ64" s="586"/>
      <c r="HA64" s="586"/>
      <c r="HB64" s="586"/>
      <c r="HC64" s="586"/>
      <c r="HD64" s="586"/>
      <c r="HE64" s="586"/>
      <c r="HF64" s="586"/>
      <c r="HG64" s="586"/>
      <c r="HH64" s="586"/>
      <c r="HI64" s="586"/>
      <c r="HJ64" s="586"/>
      <c r="HK64" s="586"/>
      <c r="HL64" s="586"/>
      <c r="HM64" s="586"/>
      <c r="HN64" s="586"/>
      <c r="HO64" s="586"/>
      <c r="HP64" s="586"/>
      <c r="HQ64" s="586"/>
      <c r="HR64" s="586"/>
      <c r="HS64" s="586"/>
      <c r="HT64" s="586"/>
      <c r="HU64" s="586"/>
      <c r="HV64" s="586"/>
      <c r="HW64" s="586"/>
      <c r="HX64" s="586"/>
      <c r="HY64" s="586"/>
      <c r="HZ64" s="586"/>
      <c r="IA64" s="586"/>
      <c r="IB64" s="586"/>
      <c r="IC64" s="586"/>
      <c r="ID64" s="586"/>
      <c r="IE64" s="586"/>
      <c r="IF64" s="586"/>
      <c r="IG64" s="586"/>
      <c r="IH64" s="586"/>
      <c r="II64" s="586"/>
      <c r="IJ64" s="586"/>
      <c r="IK64" s="586"/>
      <c r="IL64" s="586"/>
      <c r="IM64" s="586"/>
      <c r="IN64" s="586"/>
      <c r="IO64" s="586"/>
      <c r="IP64" s="586"/>
      <c r="IQ64" s="586"/>
      <c r="IR64" s="586"/>
      <c r="IS64" s="586"/>
      <c r="IT64" s="586"/>
      <c r="IU64" s="586"/>
      <c r="IV64" s="586"/>
      <c r="IW64" s="586"/>
    </row>
    <row r="65" customFormat="false" ht="12.75" hidden="false" customHeight="false" outlineLevel="0" collapsed="false">
      <c r="A65" s="590" t="s">
        <v>416</v>
      </c>
      <c r="B65" s="598" t="n">
        <f aca="false">B54</f>
        <v>724911.369049307</v>
      </c>
      <c r="C65" s="599"/>
      <c r="D65" s="599"/>
      <c r="E65" s="599"/>
      <c r="F65" s="599"/>
      <c r="G65" s="598" t="n">
        <f aca="false">$B$65*G61</f>
        <v>0</v>
      </c>
      <c r="H65" s="598" t="n">
        <f aca="false">$B$65*H61</f>
        <v>36245.5684524654</v>
      </c>
      <c r="I65" s="598" t="n">
        <f aca="false">$B$65*I61</f>
        <v>68866.5800596842</v>
      </c>
      <c r="J65" s="598" t="n">
        <f aca="false">$B$65*J61</f>
        <v>61979.9220537158</v>
      </c>
      <c r="K65" s="598" t="n">
        <f aca="false">$B$65*K61</f>
        <v>55818.1754167967</v>
      </c>
      <c r="L65" s="598" t="n">
        <f aca="false">$B$65*L61</f>
        <v>50236.357875117</v>
      </c>
      <c r="M65" s="598" t="n">
        <f aca="false">$B$65*M61</f>
        <v>45161.9782917719</v>
      </c>
      <c r="N65" s="598" t="n">
        <f aca="false">$B$65*N61</f>
        <v>42769.7707739091</v>
      </c>
      <c r="O65" s="598" t="n">
        <f aca="false">$B$65*O61</f>
        <v>42842.2619108141</v>
      </c>
      <c r="P65" s="598" t="n">
        <f aca="false">$B$65*P61</f>
        <v>42769.7707739091</v>
      </c>
      <c r="Q65" s="598" t="n">
        <f aca="false">$B$65*Q61</f>
        <v>42842.2619108141</v>
      </c>
      <c r="R65" s="598" t="n">
        <f aca="false">$B$65*R61</f>
        <v>42769.7707739091</v>
      </c>
      <c r="S65" s="598" t="n">
        <f aca="false">$B$65*S61</f>
        <v>42842.2619108141</v>
      </c>
      <c r="T65" s="598" t="n">
        <f aca="false">$B$65*T61</f>
        <v>42769.7707739091</v>
      </c>
      <c r="U65" s="598" t="n">
        <f aca="false">$B$65*U61</f>
        <v>42842.2619108141</v>
      </c>
      <c r="V65" s="598" t="n">
        <f aca="false">$B$65*V61</f>
        <v>42769.7707739091</v>
      </c>
      <c r="W65" s="598" t="n">
        <f aca="false">$B$65*W61</f>
        <v>21384.8853869546</v>
      </c>
      <c r="X65" s="598" t="n">
        <f aca="false">$B$65*X61</f>
        <v>0</v>
      </c>
      <c r="Y65" s="598" t="n">
        <f aca="false">$B$65*Y61</f>
        <v>0</v>
      </c>
      <c r="Z65" s="598" t="n">
        <f aca="false">$B$65*Z61</f>
        <v>0</v>
      </c>
      <c r="AA65" s="598" t="n">
        <f aca="false">$B$65*AA61</f>
        <v>0</v>
      </c>
      <c r="AB65" s="598" t="n">
        <f aca="false">$B$65*AB61</f>
        <v>0</v>
      </c>
      <c r="AC65" s="598" t="n">
        <f aca="false">$B$65*AC61</f>
        <v>0</v>
      </c>
      <c r="AD65" s="607"/>
      <c r="AE65" s="607"/>
      <c r="AF65" s="586"/>
      <c r="AG65" s="586"/>
      <c r="AH65" s="607"/>
      <c r="AI65" s="607"/>
      <c r="AJ65" s="607"/>
      <c r="AK65" s="607"/>
      <c r="AL65" s="607"/>
      <c r="AM65" s="607"/>
      <c r="AN65" s="607"/>
      <c r="AO65" s="607"/>
      <c r="AP65" s="607"/>
      <c r="AQ65" s="607"/>
      <c r="AR65" s="607"/>
      <c r="AS65" s="607"/>
      <c r="AT65" s="607"/>
      <c r="AU65" s="607"/>
      <c r="AV65" s="607"/>
      <c r="AW65" s="607"/>
      <c r="AX65" s="607"/>
      <c r="AY65" s="607"/>
      <c r="AZ65" s="607"/>
      <c r="BA65" s="607"/>
      <c r="BB65" s="607"/>
      <c r="BC65" s="607"/>
      <c r="BD65" s="607"/>
      <c r="BE65" s="607"/>
      <c r="BF65" s="607"/>
      <c r="BG65" s="607"/>
      <c r="BH65" s="607"/>
      <c r="BI65" s="607"/>
      <c r="BJ65" s="607"/>
      <c r="BK65" s="607"/>
      <c r="BL65" s="607"/>
      <c r="BM65" s="607"/>
      <c r="BN65" s="607"/>
      <c r="BO65" s="607"/>
      <c r="BP65" s="607"/>
      <c r="BQ65" s="607"/>
      <c r="BR65" s="607"/>
      <c r="BS65" s="607"/>
      <c r="BT65" s="607"/>
      <c r="BU65" s="607"/>
      <c r="BV65" s="607"/>
      <c r="BW65" s="607"/>
      <c r="BX65" s="607"/>
      <c r="BY65" s="607"/>
      <c r="BZ65" s="607"/>
      <c r="CA65" s="607"/>
      <c r="CB65" s="607"/>
      <c r="CC65" s="607"/>
      <c r="CD65" s="607"/>
      <c r="CE65" s="607"/>
      <c r="CF65" s="607"/>
      <c r="CG65" s="607"/>
      <c r="CH65" s="607"/>
      <c r="CI65" s="607"/>
      <c r="CJ65" s="607"/>
      <c r="CK65" s="607"/>
      <c r="CL65" s="607"/>
      <c r="CM65" s="607"/>
      <c r="CN65" s="607"/>
      <c r="CO65" s="607"/>
      <c r="CP65" s="607"/>
      <c r="CQ65" s="607"/>
      <c r="CR65" s="607"/>
      <c r="CS65" s="607"/>
      <c r="CT65" s="607"/>
      <c r="CU65" s="607"/>
      <c r="CV65" s="607"/>
      <c r="CW65" s="607"/>
      <c r="CX65" s="607"/>
      <c r="CY65" s="607"/>
      <c r="CZ65" s="607"/>
      <c r="DA65" s="607"/>
      <c r="DB65" s="607"/>
      <c r="DC65" s="607"/>
      <c r="DD65" s="607"/>
      <c r="DE65" s="607"/>
      <c r="DF65" s="607"/>
      <c r="DG65" s="607"/>
      <c r="DH65" s="607"/>
      <c r="DI65" s="607"/>
      <c r="DJ65" s="607"/>
      <c r="DK65" s="607"/>
      <c r="DL65" s="607"/>
      <c r="DM65" s="607"/>
      <c r="DN65" s="607"/>
      <c r="DO65" s="607"/>
      <c r="DP65" s="607"/>
      <c r="DQ65" s="607"/>
      <c r="DR65" s="607"/>
      <c r="DS65" s="607"/>
      <c r="DT65" s="607"/>
      <c r="DU65" s="607"/>
      <c r="DV65" s="607"/>
      <c r="DW65" s="607"/>
      <c r="DX65" s="607"/>
      <c r="DY65" s="607"/>
      <c r="DZ65" s="607"/>
      <c r="EA65" s="607"/>
      <c r="EB65" s="607"/>
      <c r="EC65" s="607"/>
      <c r="ED65" s="607"/>
      <c r="EE65" s="607"/>
      <c r="EF65" s="607"/>
      <c r="EG65" s="607"/>
      <c r="EH65" s="607"/>
      <c r="EI65" s="607"/>
      <c r="EJ65" s="607"/>
      <c r="EK65" s="607"/>
      <c r="EL65" s="607"/>
      <c r="EM65" s="607"/>
      <c r="EN65" s="607"/>
      <c r="EO65" s="607"/>
      <c r="EP65" s="607"/>
      <c r="EQ65" s="607"/>
      <c r="ER65" s="607"/>
      <c r="ES65" s="607"/>
      <c r="ET65" s="607"/>
      <c r="EU65" s="607"/>
      <c r="EV65" s="607"/>
      <c r="EW65" s="607"/>
      <c r="EX65" s="607"/>
      <c r="EY65" s="607"/>
      <c r="EZ65" s="607"/>
      <c r="FA65" s="607"/>
      <c r="FB65" s="607"/>
      <c r="FC65" s="607"/>
      <c r="FD65" s="607"/>
      <c r="FE65" s="607"/>
      <c r="FF65" s="607"/>
      <c r="FG65" s="607"/>
      <c r="FH65" s="607"/>
      <c r="FI65" s="607"/>
      <c r="FJ65" s="607"/>
      <c r="FK65" s="607"/>
      <c r="FL65" s="607"/>
      <c r="FM65" s="607"/>
      <c r="FN65" s="607"/>
      <c r="FO65" s="607"/>
      <c r="FP65" s="607"/>
      <c r="FQ65" s="607"/>
      <c r="FR65" s="607"/>
      <c r="FS65" s="607"/>
      <c r="FT65" s="607"/>
      <c r="FU65" s="607"/>
      <c r="FV65" s="607"/>
      <c r="FW65" s="607"/>
      <c r="FX65" s="607"/>
      <c r="FY65" s="607"/>
      <c r="FZ65" s="607"/>
      <c r="GA65" s="607"/>
      <c r="GB65" s="607"/>
      <c r="GC65" s="607"/>
      <c r="GD65" s="607"/>
      <c r="GE65" s="607"/>
      <c r="GF65" s="607"/>
      <c r="GG65" s="607"/>
      <c r="GH65" s="607"/>
      <c r="GI65" s="607"/>
      <c r="GJ65" s="607"/>
      <c r="GK65" s="607"/>
      <c r="GL65" s="607"/>
      <c r="GM65" s="607"/>
      <c r="GN65" s="607"/>
      <c r="GO65" s="607"/>
      <c r="GP65" s="607"/>
      <c r="GQ65" s="607"/>
      <c r="GR65" s="607"/>
      <c r="GS65" s="607"/>
      <c r="GT65" s="607"/>
      <c r="GU65" s="607"/>
      <c r="GV65" s="607"/>
      <c r="GW65" s="607"/>
      <c r="GX65" s="607"/>
      <c r="GY65" s="607"/>
      <c r="GZ65" s="607"/>
      <c r="HA65" s="607"/>
      <c r="HB65" s="607"/>
      <c r="HC65" s="607"/>
      <c r="HD65" s="607"/>
      <c r="HE65" s="607"/>
      <c r="HF65" s="607"/>
      <c r="HG65" s="607"/>
      <c r="HH65" s="607"/>
      <c r="HI65" s="607"/>
      <c r="HJ65" s="607"/>
      <c r="HK65" s="607"/>
      <c r="HL65" s="607"/>
      <c r="HM65" s="607"/>
      <c r="HN65" s="607"/>
      <c r="HO65" s="607"/>
      <c r="HP65" s="607"/>
      <c r="HQ65" s="607"/>
      <c r="HR65" s="607"/>
      <c r="HS65" s="607"/>
      <c r="HT65" s="607"/>
      <c r="HU65" s="607"/>
      <c r="HV65" s="607"/>
      <c r="HW65" s="607"/>
      <c r="HX65" s="607"/>
      <c r="HY65" s="607"/>
      <c r="HZ65" s="607"/>
      <c r="IA65" s="607"/>
      <c r="IB65" s="607"/>
      <c r="IC65" s="607"/>
      <c r="ID65" s="607"/>
      <c r="IE65" s="607"/>
      <c r="IF65" s="607"/>
      <c r="IG65" s="607"/>
      <c r="IH65" s="607"/>
      <c r="II65" s="607"/>
      <c r="IJ65" s="607"/>
      <c r="IK65" s="607"/>
      <c r="IL65" s="607"/>
      <c r="IM65" s="607"/>
      <c r="IN65" s="607"/>
      <c r="IO65" s="607"/>
      <c r="IP65" s="607"/>
      <c r="IQ65" s="607"/>
      <c r="IR65" s="607"/>
      <c r="IS65" s="607"/>
      <c r="IT65" s="607"/>
      <c r="IU65" s="607"/>
      <c r="IV65" s="607"/>
      <c r="IW65" s="607"/>
    </row>
    <row r="66" customFormat="false" ht="15" hidden="false" customHeight="false" outlineLevel="0" collapsed="false">
      <c r="A66" s="593" t="s">
        <v>417</v>
      </c>
      <c r="B66" s="601" t="n">
        <f aca="false">B55</f>
        <v>11700</v>
      </c>
      <c r="C66" s="599"/>
      <c r="D66" s="599"/>
      <c r="E66" s="599"/>
      <c r="F66" s="599"/>
      <c r="G66" s="601" t="n">
        <f aca="false">$B66*G62</f>
        <v>0</v>
      </c>
      <c r="H66" s="601" t="n">
        <f aca="false">$B66*H62</f>
        <v>585</v>
      </c>
      <c r="I66" s="601" t="n">
        <f aca="false">$B66*I62</f>
        <v>585</v>
      </c>
      <c r="J66" s="601" t="n">
        <f aca="false">$B66*J62</f>
        <v>585</v>
      </c>
      <c r="K66" s="601" t="n">
        <f aca="false">$B66*K62</f>
        <v>585</v>
      </c>
      <c r="L66" s="601" t="n">
        <f aca="false">$B66*L62</f>
        <v>585</v>
      </c>
      <c r="M66" s="601" t="n">
        <f aca="false">$B66*M62</f>
        <v>585</v>
      </c>
      <c r="N66" s="601" t="n">
        <f aca="false">$B66*N62</f>
        <v>585</v>
      </c>
      <c r="O66" s="601" t="n">
        <f aca="false">$B66*O62</f>
        <v>585</v>
      </c>
      <c r="P66" s="601" t="n">
        <f aca="false">$B66*P62</f>
        <v>585</v>
      </c>
      <c r="Q66" s="601" t="n">
        <f aca="false">$B66*Q62</f>
        <v>585</v>
      </c>
      <c r="R66" s="601" t="n">
        <f aca="false">$B66*R62</f>
        <v>585</v>
      </c>
      <c r="S66" s="601" t="n">
        <f aca="false">$B66*S62</f>
        <v>585</v>
      </c>
      <c r="T66" s="601" t="n">
        <f aca="false">$B66*T62</f>
        <v>585</v>
      </c>
      <c r="U66" s="601" t="n">
        <f aca="false">$B66*U62</f>
        <v>585</v>
      </c>
      <c r="V66" s="601" t="n">
        <f aca="false">$B66*V62</f>
        <v>585</v>
      </c>
      <c r="W66" s="601" t="n">
        <f aca="false">$B66*W62</f>
        <v>585</v>
      </c>
      <c r="X66" s="601" t="n">
        <f aca="false">$B66*X62</f>
        <v>585</v>
      </c>
      <c r="Y66" s="601" t="n">
        <f aca="false">$B66*Y62</f>
        <v>585</v>
      </c>
      <c r="Z66" s="601" t="n">
        <f aca="false">$B66*Z62</f>
        <v>585</v>
      </c>
      <c r="AA66" s="601" t="n">
        <f aca="false">$B66*AA62</f>
        <v>585</v>
      </c>
      <c r="AB66" s="601" t="n">
        <f aca="false">$B66*AB62</f>
        <v>0</v>
      </c>
      <c r="AC66" s="601" t="n">
        <f aca="false">$B66*AC62</f>
        <v>0</v>
      </c>
      <c r="AD66" s="584"/>
      <c r="AE66" s="584"/>
      <c r="AF66" s="607"/>
      <c r="AG66" s="607"/>
      <c r="AH66" s="586"/>
      <c r="AI66" s="586"/>
      <c r="AJ66" s="586"/>
      <c r="AK66" s="586"/>
      <c r="AL66" s="586"/>
      <c r="AM66" s="586"/>
      <c r="AN66" s="586"/>
      <c r="AO66" s="586"/>
      <c r="AP66" s="586"/>
      <c r="AQ66" s="586"/>
      <c r="AR66" s="586"/>
      <c r="AS66" s="586"/>
      <c r="AT66" s="586"/>
      <c r="AU66" s="586"/>
      <c r="AV66" s="586"/>
      <c r="AW66" s="586"/>
      <c r="AX66" s="586"/>
      <c r="AY66" s="586"/>
      <c r="AZ66" s="586"/>
      <c r="BA66" s="586"/>
      <c r="BB66" s="586"/>
      <c r="BC66" s="586"/>
      <c r="BD66" s="586"/>
      <c r="BE66" s="586"/>
      <c r="BF66" s="586"/>
      <c r="BG66" s="586"/>
      <c r="BH66" s="586"/>
      <c r="BI66" s="586"/>
      <c r="BJ66" s="586"/>
      <c r="BK66" s="586"/>
      <c r="BL66" s="586"/>
      <c r="BM66" s="586"/>
      <c r="BN66" s="586"/>
      <c r="BO66" s="586"/>
      <c r="BP66" s="586"/>
      <c r="BQ66" s="586"/>
      <c r="BR66" s="586"/>
      <c r="BS66" s="586"/>
      <c r="BT66" s="586"/>
      <c r="BU66" s="586"/>
      <c r="BV66" s="586"/>
      <c r="BW66" s="586"/>
      <c r="BX66" s="586"/>
      <c r="BY66" s="586"/>
      <c r="BZ66" s="586"/>
      <c r="CA66" s="586"/>
      <c r="CB66" s="586"/>
      <c r="CC66" s="586"/>
      <c r="CD66" s="586"/>
      <c r="CE66" s="586"/>
      <c r="CF66" s="586"/>
      <c r="CG66" s="586"/>
      <c r="CH66" s="586"/>
      <c r="CI66" s="586"/>
      <c r="CJ66" s="586"/>
      <c r="CK66" s="586"/>
      <c r="CL66" s="586"/>
      <c r="CM66" s="586"/>
      <c r="CN66" s="586"/>
      <c r="CO66" s="586"/>
      <c r="CP66" s="586"/>
      <c r="CQ66" s="586"/>
      <c r="CR66" s="586"/>
      <c r="CS66" s="586"/>
      <c r="CT66" s="586"/>
      <c r="CU66" s="586"/>
      <c r="CV66" s="586"/>
      <c r="CW66" s="586"/>
      <c r="CX66" s="586"/>
      <c r="CY66" s="586"/>
      <c r="CZ66" s="586"/>
      <c r="DA66" s="586"/>
      <c r="DB66" s="586"/>
      <c r="DC66" s="586"/>
      <c r="DD66" s="586"/>
      <c r="DE66" s="586"/>
      <c r="DF66" s="586"/>
      <c r="DG66" s="586"/>
      <c r="DH66" s="586"/>
      <c r="DI66" s="586"/>
      <c r="DJ66" s="586"/>
      <c r="DK66" s="586"/>
      <c r="DL66" s="586"/>
      <c r="DM66" s="586"/>
      <c r="DN66" s="586"/>
      <c r="DO66" s="586"/>
      <c r="DP66" s="586"/>
      <c r="DQ66" s="586"/>
      <c r="DR66" s="586"/>
      <c r="DS66" s="586"/>
      <c r="DT66" s="586"/>
      <c r="DU66" s="586"/>
      <c r="DV66" s="586"/>
      <c r="DW66" s="586"/>
      <c r="DX66" s="586"/>
      <c r="DY66" s="586"/>
      <c r="DZ66" s="586"/>
      <c r="EA66" s="586"/>
      <c r="EB66" s="586"/>
      <c r="EC66" s="586"/>
      <c r="ED66" s="586"/>
      <c r="EE66" s="586"/>
      <c r="EF66" s="586"/>
      <c r="EG66" s="586"/>
      <c r="EH66" s="586"/>
      <c r="EI66" s="586"/>
      <c r="EJ66" s="586"/>
      <c r="EK66" s="586"/>
      <c r="EL66" s="586"/>
      <c r="EM66" s="586"/>
      <c r="EN66" s="586"/>
      <c r="EO66" s="586"/>
      <c r="EP66" s="586"/>
      <c r="EQ66" s="586"/>
      <c r="ER66" s="586"/>
      <c r="ES66" s="586"/>
      <c r="ET66" s="586"/>
      <c r="EU66" s="586"/>
      <c r="EV66" s="586"/>
      <c r="EW66" s="586"/>
      <c r="EX66" s="586"/>
      <c r="EY66" s="586"/>
      <c r="EZ66" s="586"/>
      <c r="FA66" s="586"/>
      <c r="FB66" s="586"/>
      <c r="FC66" s="586"/>
      <c r="FD66" s="586"/>
      <c r="FE66" s="586"/>
      <c r="FF66" s="586"/>
      <c r="FG66" s="586"/>
      <c r="FH66" s="586"/>
      <c r="FI66" s="586"/>
      <c r="FJ66" s="586"/>
      <c r="FK66" s="586"/>
      <c r="FL66" s="586"/>
      <c r="FM66" s="586"/>
      <c r="FN66" s="586"/>
      <c r="FO66" s="586"/>
      <c r="FP66" s="586"/>
      <c r="FQ66" s="586"/>
      <c r="FR66" s="586"/>
      <c r="FS66" s="586"/>
      <c r="FT66" s="586"/>
      <c r="FU66" s="586"/>
      <c r="FV66" s="586"/>
      <c r="FW66" s="586"/>
      <c r="FX66" s="586"/>
      <c r="FY66" s="586"/>
      <c r="FZ66" s="586"/>
      <c r="GA66" s="586"/>
      <c r="GB66" s="586"/>
      <c r="GC66" s="586"/>
      <c r="GD66" s="586"/>
      <c r="GE66" s="586"/>
      <c r="GF66" s="586"/>
      <c r="GG66" s="586"/>
      <c r="GH66" s="586"/>
      <c r="GI66" s="586"/>
      <c r="GJ66" s="586"/>
      <c r="GK66" s="586"/>
      <c r="GL66" s="586"/>
      <c r="GM66" s="586"/>
      <c r="GN66" s="586"/>
      <c r="GO66" s="586"/>
      <c r="GP66" s="586"/>
      <c r="GQ66" s="586"/>
      <c r="GR66" s="586"/>
      <c r="GS66" s="586"/>
      <c r="GT66" s="586"/>
      <c r="GU66" s="586"/>
      <c r="GV66" s="586"/>
      <c r="GW66" s="586"/>
      <c r="GX66" s="586"/>
      <c r="GY66" s="586"/>
      <c r="GZ66" s="586"/>
      <c r="HA66" s="586"/>
      <c r="HB66" s="586"/>
      <c r="HC66" s="586"/>
      <c r="HD66" s="586"/>
      <c r="HE66" s="586"/>
      <c r="HF66" s="586"/>
      <c r="HG66" s="586"/>
      <c r="HH66" s="586"/>
      <c r="HI66" s="586"/>
      <c r="HJ66" s="586"/>
      <c r="HK66" s="586"/>
      <c r="HL66" s="586"/>
      <c r="HM66" s="586"/>
      <c r="HN66" s="586"/>
      <c r="HO66" s="586"/>
      <c r="HP66" s="586"/>
      <c r="HQ66" s="586"/>
      <c r="HR66" s="586"/>
      <c r="HS66" s="586"/>
      <c r="HT66" s="586"/>
      <c r="HU66" s="586"/>
      <c r="HV66" s="586"/>
      <c r="HW66" s="586"/>
      <c r="HX66" s="586"/>
      <c r="HY66" s="586"/>
      <c r="HZ66" s="586"/>
      <c r="IA66" s="586"/>
      <c r="IB66" s="586"/>
      <c r="IC66" s="586"/>
      <c r="ID66" s="586"/>
      <c r="IE66" s="586"/>
      <c r="IF66" s="586"/>
      <c r="IG66" s="586"/>
      <c r="IH66" s="586"/>
      <c r="II66" s="586"/>
      <c r="IJ66" s="586"/>
      <c r="IK66" s="586"/>
      <c r="IL66" s="586"/>
      <c r="IM66" s="586"/>
      <c r="IN66" s="586"/>
      <c r="IO66" s="586"/>
      <c r="IP66" s="586"/>
      <c r="IQ66" s="586"/>
      <c r="IR66" s="586"/>
      <c r="IS66" s="586"/>
      <c r="IT66" s="586"/>
      <c r="IU66" s="586"/>
      <c r="IV66" s="586"/>
      <c r="IW66" s="586"/>
    </row>
    <row r="67" customFormat="false" ht="12.75" hidden="false" customHeight="false" outlineLevel="0" collapsed="false">
      <c r="A67" s="603" t="s">
        <v>419</v>
      </c>
      <c r="B67" s="598" t="n">
        <f aca="false">SUM(B65:B66)</f>
        <v>736611.369049307</v>
      </c>
      <c r="C67" s="599"/>
      <c r="D67" s="599"/>
      <c r="E67" s="599"/>
      <c r="F67" s="599"/>
      <c r="G67" s="598" t="n">
        <f aca="false">SUM(G65:G66)</f>
        <v>0</v>
      </c>
      <c r="H67" s="598" t="n">
        <f aca="false">SUM(H65:H66)</f>
        <v>36830.5684524654</v>
      </c>
      <c r="I67" s="598" t="n">
        <f aca="false">SUM(I65:I66)</f>
        <v>69451.5800596842</v>
      </c>
      <c r="J67" s="598" t="n">
        <f aca="false">SUM(J65:J66)</f>
        <v>62564.9220537158</v>
      </c>
      <c r="K67" s="598" t="n">
        <f aca="false">SUM(K65:K66)</f>
        <v>56403.1754167967</v>
      </c>
      <c r="L67" s="598" t="n">
        <f aca="false">SUM(L65:L66)</f>
        <v>50821.357875117</v>
      </c>
      <c r="M67" s="598" t="n">
        <f aca="false">SUM(M65:M66)</f>
        <v>45746.9782917719</v>
      </c>
      <c r="N67" s="598" t="n">
        <f aca="false">SUM(N65:N66)</f>
        <v>43354.7707739091</v>
      </c>
      <c r="O67" s="598" t="n">
        <f aca="false">SUM(O65:O66)</f>
        <v>43427.2619108141</v>
      </c>
      <c r="P67" s="598" t="n">
        <f aca="false">SUM(P65:P66)</f>
        <v>43354.7707739091</v>
      </c>
      <c r="Q67" s="598" t="n">
        <f aca="false">SUM(Q65:Q66)</f>
        <v>43427.2619108141</v>
      </c>
      <c r="R67" s="598" t="n">
        <f aca="false">SUM(R65:R66)</f>
        <v>43354.7707739091</v>
      </c>
      <c r="S67" s="598" t="n">
        <f aca="false">SUM(S65:S66)</f>
        <v>43427.2619108141</v>
      </c>
      <c r="T67" s="598" t="n">
        <f aca="false">SUM(T65:T66)</f>
        <v>43354.7707739091</v>
      </c>
      <c r="U67" s="598" t="n">
        <f aca="false">SUM(U65:U66)</f>
        <v>43427.2619108141</v>
      </c>
      <c r="V67" s="598" t="n">
        <f aca="false">SUM(V65:V66)</f>
        <v>43354.7707739091</v>
      </c>
      <c r="W67" s="598" t="n">
        <f aca="false">SUM(W65:W66)</f>
        <v>21969.8853869546</v>
      </c>
      <c r="X67" s="598" t="n">
        <f aca="false">SUM(X65:X66)</f>
        <v>585</v>
      </c>
      <c r="Y67" s="598" t="n">
        <f aca="false">SUM(Y65:Y66)</f>
        <v>585</v>
      </c>
      <c r="Z67" s="598" t="n">
        <f aca="false">SUM(Z65:Z66)</f>
        <v>585</v>
      </c>
      <c r="AA67" s="598" t="n">
        <f aca="false">SUM(AA65:AA66)</f>
        <v>585</v>
      </c>
      <c r="AB67" s="598" t="n">
        <f aca="false">SUM(AB65:AB66)</f>
        <v>0</v>
      </c>
      <c r="AC67" s="598" t="n">
        <f aca="false">SUM(AC65:AC66)</f>
        <v>0</v>
      </c>
      <c r="AD67" s="584"/>
      <c r="AE67" s="584"/>
      <c r="AF67" s="586"/>
      <c r="AG67" s="586"/>
      <c r="AH67" s="586"/>
      <c r="AI67" s="586"/>
      <c r="AJ67" s="586"/>
      <c r="AK67" s="586"/>
      <c r="AL67" s="586"/>
      <c r="AM67" s="586"/>
      <c r="AN67" s="586"/>
      <c r="AO67" s="586"/>
      <c r="AP67" s="586"/>
      <c r="AQ67" s="586"/>
      <c r="AR67" s="586"/>
      <c r="AS67" s="586"/>
      <c r="AT67" s="586"/>
      <c r="AU67" s="586"/>
      <c r="AV67" s="586"/>
      <c r="AW67" s="586"/>
      <c r="AX67" s="586"/>
      <c r="AY67" s="586"/>
      <c r="AZ67" s="586"/>
      <c r="BA67" s="586"/>
      <c r="BB67" s="586"/>
      <c r="BC67" s="586"/>
      <c r="BD67" s="586"/>
      <c r="BE67" s="586"/>
      <c r="BF67" s="586"/>
      <c r="BG67" s="586"/>
      <c r="BH67" s="586"/>
      <c r="BI67" s="586"/>
      <c r="BJ67" s="586"/>
      <c r="BK67" s="586"/>
      <c r="BL67" s="586"/>
      <c r="BM67" s="586"/>
      <c r="BN67" s="586"/>
      <c r="BO67" s="586"/>
      <c r="BP67" s="586"/>
      <c r="BQ67" s="586"/>
      <c r="BR67" s="586"/>
      <c r="BS67" s="586"/>
      <c r="BT67" s="586"/>
      <c r="BU67" s="586"/>
      <c r="BV67" s="586"/>
      <c r="BW67" s="586"/>
      <c r="BX67" s="586"/>
      <c r="BY67" s="586"/>
      <c r="BZ67" s="586"/>
      <c r="CA67" s="586"/>
      <c r="CB67" s="586"/>
      <c r="CC67" s="586"/>
      <c r="CD67" s="586"/>
      <c r="CE67" s="586"/>
      <c r="CF67" s="586"/>
      <c r="CG67" s="586"/>
      <c r="CH67" s="586"/>
      <c r="CI67" s="586"/>
      <c r="CJ67" s="586"/>
      <c r="CK67" s="586"/>
      <c r="CL67" s="586"/>
      <c r="CM67" s="586"/>
      <c r="CN67" s="586"/>
      <c r="CO67" s="586"/>
      <c r="CP67" s="586"/>
      <c r="CQ67" s="586"/>
      <c r="CR67" s="586"/>
      <c r="CS67" s="586"/>
      <c r="CT67" s="586"/>
      <c r="CU67" s="586"/>
      <c r="CV67" s="586"/>
      <c r="CW67" s="586"/>
      <c r="CX67" s="586"/>
      <c r="CY67" s="586"/>
      <c r="CZ67" s="586"/>
      <c r="DA67" s="586"/>
      <c r="DB67" s="586"/>
      <c r="DC67" s="586"/>
      <c r="DD67" s="586"/>
      <c r="DE67" s="586"/>
      <c r="DF67" s="586"/>
      <c r="DG67" s="586"/>
      <c r="DH67" s="586"/>
      <c r="DI67" s="586"/>
      <c r="DJ67" s="586"/>
      <c r="DK67" s="586"/>
      <c r="DL67" s="586"/>
      <c r="DM67" s="586"/>
      <c r="DN67" s="586"/>
      <c r="DO67" s="586"/>
      <c r="DP67" s="586"/>
      <c r="DQ67" s="586"/>
      <c r="DR67" s="586"/>
      <c r="DS67" s="586"/>
      <c r="DT67" s="586"/>
      <c r="DU67" s="586"/>
      <c r="DV67" s="586"/>
      <c r="DW67" s="586"/>
      <c r="DX67" s="586"/>
      <c r="DY67" s="586"/>
      <c r="DZ67" s="586"/>
      <c r="EA67" s="586"/>
      <c r="EB67" s="586"/>
      <c r="EC67" s="586"/>
      <c r="ED67" s="586"/>
      <c r="EE67" s="586"/>
      <c r="EF67" s="586"/>
      <c r="EG67" s="586"/>
      <c r="EH67" s="586"/>
      <c r="EI67" s="586"/>
      <c r="EJ67" s="586"/>
      <c r="EK67" s="586"/>
      <c r="EL67" s="586"/>
      <c r="EM67" s="586"/>
      <c r="EN67" s="586"/>
      <c r="EO67" s="586"/>
      <c r="EP67" s="586"/>
      <c r="EQ67" s="586"/>
      <c r="ER67" s="586"/>
      <c r="ES67" s="586"/>
      <c r="ET67" s="586"/>
      <c r="EU67" s="586"/>
      <c r="EV67" s="586"/>
      <c r="EW67" s="586"/>
      <c r="EX67" s="586"/>
      <c r="EY67" s="586"/>
      <c r="EZ67" s="586"/>
      <c r="FA67" s="586"/>
      <c r="FB67" s="586"/>
      <c r="FC67" s="586"/>
      <c r="FD67" s="586"/>
      <c r="FE67" s="586"/>
      <c r="FF67" s="586"/>
      <c r="FG67" s="586"/>
      <c r="FH67" s="586"/>
      <c r="FI67" s="586"/>
      <c r="FJ67" s="586"/>
      <c r="FK67" s="586"/>
      <c r="FL67" s="586"/>
      <c r="FM67" s="586"/>
      <c r="FN67" s="586"/>
      <c r="FO67" s="586"/>
      <c r="FP67" s="586"/>
      <c r="FQ67" s="586"/>
      <c r="FR67" s="586"/>
      <c r="FS67" s="586"/>
      <c r="FT67" s="586"/>
      <c r="FU67" s="586"/>
      <c r="FV67" s="586"/>
      <c r="FW67" s="586"/>
      <c r="FX67" s="586"/>
      <c r="FY67" s="586"/>
      <c r="FZ67" s="586"/>
      <c r="GA67" s="586"/>
      <c r="GB67" s="586"/>
      <c r="GC67" s="586"/>
      <c r="GD67" s="586"/>
      <c r="GE67" s="586"/>
      <c r="GF67" s="586"/>
      <c r="GG67" s="586"/>
      <c r="GH67" s="586"/>
      <c r="GI67" s="586"/>
      <c r="GJ67" s="586"/>
      <c r="GK67" s="586"/>
      <c r="GL67" s="586"/>
      <c r="GM67" s="586"/>
      <c r="GN67" s="586"/>
      <c r="GO67" s="586"/>
      <c r="GP67" s="586"/>
      <c r="GQ67" s="586"/>
      <c r="GR67" s="586"/>
      <c r="GS67" s="586"/>
      <c r="GT67" s="586"/>
      <c r="GU67" s="586"/>
      <c r="GV67" s="586"/>
      <c r="GW67" s="586"/>
      <c r="GX67" s="586"/>
      <c r="GY67" s="586"/>
      <c r="GZ67" s="586"/>
      <c r="HA67" s="586"/>
      <c r="HB67" s="586"/>
      <c r="HC67" s="586"/>
      <c r="HD67" s="586"/>
      <c r="HE67" s="586"/>
      <c r="HF67" s="586"/>
      <c r="HG67" s="586"/>
      <c r="HH67" s="586"/>
      <c r="HI67" s="586"/>
      <c r="HJ67" s="586"/>
      <c r="HK67" s="586"/>
      <c r="HL67" s="586"/>
      <c r="HM67" s="586"/>
      <c r="HN67" s="586"/>
      <c r="HO67" s="586"/>
      <c r="HP67" s="586"/>
      <c r="HQ67" s="586"/>
      <c r="HR67" s="586"/>
      <c r="HS67" s="586"/>
      <c r="HT67" s="586"/>
      <c r="HU67" s="586"/>
      <c r="HV67" s="586"/>
      <c r="HW67" s="586"/>
      <c r="HX67" s="586"/>
      <c r="HY67" s="586"/>
      <c r="HZ67" s="586"/>
      <c r="IA67" s="586"/>
      <c r="IB67" s="586"/>
      <c r="IC67" s="586"/>
      <c r="ID67" s="586"/>
      <c r="IE67" s="586"/>
      <c r="IF67" s="586"/>
      <c r="IG67" s="586"/>
      <c r="IH67" s="586"/>
      <c r="II67" s="586"/>
      <c r="IJ67" s="586"/>
      <c r="IK67" s="586"/>
      <c r="IL67" s="586"/>
      <c r="IM67" s="586"/>
      <c r="IN67" s="586"/>
      <c r="IO67" s="586"/>
      <c r="IP67" s="586"/>
      <c r="IQ67" s="586"/>
      <c r="IR67" s="586"/>
      <c r="IS67" s="586"/>
      <c r="IT67" s="586"/>
      <c r="IU67" s="586"/>
      <c r="IV67" s="586"/>
      <c r="IW67" s="586"/>
    </row>
    <row r="68" customFormat="false" ht="12.75" hidden="false" customHeight="false" outlineLevel="0" collapsed="false">
      <c r="A68" s="593"/>
      <c r="AD68" s="584"/>
      <c r="AE68" s="584"/>
      <c r="AF68" s="586"/>
      <c r="AG68" s="586"/>
      <c r="AH68" s="586"/>
      <c r="AI68" s="586"/>
      <c r="AJ68" s="586"/>
      <c r="AK68" s="586"/>
      <c r="AL68" s="586"/>
      <c r="AM68" s="586"/>
      <c r="AN68" s="586"/>
      <c r="AO68" s="586"/>
      <c r="AP68" s="586"/>
      <c r="AQ68" s="586"/>
      <c r="AR68" s="586"/>
      <c r="AS68" s="586"/>
      <c r="AT68" s="586"/>
      <c r="AU68" s="586"/>
      <c r="AV68" s="586"/>
      <c r="AW68" s="586"/>
      <c r="AX68" s="586"/>
      <c r="AY68" s="586"/>
      <c r="AZ68" s="586"/>
      <c r="BA68" s="586"/>
      <c r="BB68" s="586"/>
      <c r="BC68" s="586"/>
      <c r="BD68" s="586"/>
      <c r="BE68" s="586"/>
      <c r="BF68" s="586"/>
      <c r="BG68" s="586"/>
      <c r="BH68" s="586"/>
      <c r="BI68" s="586"/>
      <c r="BJ68" s="586"/>
      <c r="BK68" s="586"/>
      <c r="BL68" s="586"/>
      <c r="BM68" s="586"/>
      <c r="BN68" s="586"/>
      <c r="BO68" s="586"/>
      <c r="BP68" s="586"/>
      <c r="BQ68" s="586"/>
      <c r="BR68" s="586"/>
      <c r="BS68" s="586"/>
      <c r="BT68" s="586"/>
      <c r="BU68" s="586"/>
      <c r="BV68" s="586"/>
      <c r="BW68" s="586"/>
      <c r="BX68" s="586"/>
      <c r="BY68" s="586"/>
      <c r="BZ68" s="586"/>
      <c r="CA68" s="586"/>
      <c r="CB68" s="586"/>
      <c r="CC68" s="586"/>
      <c r="CD68" s="586"/>
      <c r="CE68" s="586"/>
      <c r="CF68" s="586"/>
      <c r="CG68" s="586"/>
      <c r="CH68" s="586"/>
      <c r="CI68" s="586"/>
      <c r="CJ68" s="586"/>
      <c r="CK68" s="586"/>
      <c r="CL68" s="586"/>
      <c r="CM68" s="586"/>
      <c r="CN68" s="586"/>
      <c r="CO68" s="586"/>
      <c r="CP68" s="586"/>
      <c r="CQ68" s="586"/>
      <c r="CR68" s="586"/>
      <c r="CS68" s="586"/>
      <c r="CT68" s="586"/>
      <c r="CU68" s="586"/>
      <c r="CV68" s="586"/>
      <c r="CW68" s="586"/>
      <c r="CX68" s="586"/>
      <c r="CY68" s="586"/>
      <c r="CZ68" s="586"/>
      <c r="DA68" s="586"/>
      <c r="DB68" s="586"/>
      <c r="DC68" s="586"/>
      <c r="DD68" s="586"/>
      <c r="DE68" s="586"/>
      <c r="DF68" s="586"/>
      <c r="DG68" s="586"/>
      <c r="DH68" s="586"/>
      <c r="DI68" s="586"/>
      <c r="DJ68" s="586"/>
      <c r="DK68" s="586"/>
      <c r="DL68" s="586"/>
      <c r="DM68" s="586"/>
      <c r="DN68" s="586"/>
      <c r="DO68" s="586"/>
      <c r="DP68" s="586"/>
      <c r="DQ68" s="586"/>
      <c r="DR68" s="586"/>
      <c r="DS68" s="586"/>
      <c r="DT68" s="586"/>
      <c r="DU68" s="586"/>
      <c r="DV68" s="586"/>
      <c r="DW68" s="586"/>
      <c r="DX68" s="586"/>
      <c r="DY68" s="586"/>
      <c r="DZ68" s="586"/>
      <c r="EA68" s="586"/>
      <c r="EB68" s="586"/>
      <c r="EC68" s="586"/>
      <c r="ED68" s="586"/>
      <c r="EE68" s="586"/>
      <c r="EF68" s="586"/>
      <c r="EG68" s="586"/>
      <c r="EH68" s="586"/>
      <c r="EI68" s="586"/>
      <c r="EJ68" s="586"/>
      <c r="EK68" s="586"/>
      <c r="EL68" s="586"/>
      <c r="EM68" s="586"/>
      <c r="EN68" s="586"/>
      <c r="EO68" s="586"/>
      <c r="EP68" s="586"/>
      <c r="EQ68" s="586"/>
      <c r="ER68" s="586"/>
      <c r="ES68" s="586"/>
      <c r="ET68" s="586"/>
      <c r="EU68" s="586"/>
      <c r="EV68" s="586"/>
      <c r="EW68" s="586"/>
      <c r="EX68" s="586"/>
      <c r="EY68" s="586"/>
      <c r="EZ68" s="586"/>
      <c r="FA68" s="586"/>
      <c r="FB68" s="586"/>
      <c r="FC68" s="586"/>
      <c r="FD68" s="586"/>
      <c r="FE68" s="586"/>
      <c r="FF68" s="586"/>
      <c r="FG68" s="586"/>
      <c r="FH68" s="586"/>
      <c r="FI68" s="586"/>
      <c r="FJ68" s="586"/>
      <c r="FK68" s="586"/>
      <c r="FL68" s="586"/>
      <c r="FM68" s="586"/>
      <c r="FN68" s="586"/>
      <c r="FO68" s="586"/>
      <c r="FP68" s="586"/>
      <c r="FQ68" s="586"/>
      <c r="FR68" s="586"/>
      <c r="FS68" s="586"/>
      <c r="FT68" s="586"/>
      <c r="FU68" s="586"/>
      <c r="FV68" s="586"/>
      <c r="FW68" s="586"/>
      <c r="FX68" s="586"/>
      <c r="FY68" s="586"/>
      <c r="FZ68" s="586"/>
      <c r="GA68" s="586"/>
      <c r="GB68" s="586"/>
      <c r="GC68" s="586"/>
      <c r="GD68" s="586"/>
      <c r="GE68" s="586"/>
      <c r="GF68" s="586"/>
      <c r="GG68" s="586"/>
      <c r="GH68" s="586"/>
      <c r="GI68" s="586"/>
      <c r="GJ68" s="586"/>
      <c r="GK68" s="586"/>
      <c r="GL68" s="586"/>
      <c r="GM68" s="586"/>
      <c r="GN68" s="586"/>
      <c r="GO68" s="586"/>
      <c r="GP68" s="586"/>
      <c r="GQ68" s="586"/>
      <c r="GR68" s="586"/>
      <c r="GS68" s="586"/>
      <c r="GT68" s="586"/>
      <c r="GU68" s="586"/>
      <c r="GV68" s="586"/>
      <c r="GW68" s="586"/>
      <c r="GX68" s="586"/>
      <c r="GY68" s="586"/>
      <c r="GZ68" s="586"/>
      <c r="HA68" s="586"/>
      <c r="HB68" s="586"/>
      <c r="HC68" s="586"/>
      <c r="HD68" s="586"/>
      <c r="HE68" s="586"/>
      <c r="HF68" s="586"/>
      <c r="HG68" s="586"/>
      <c r="HH68" s="586"/>
      <c r="HI68" s="586"/>
      <c r="HJ68" s="586"/>
      <c r="HK68" s="586"/>
      <c r="HL68" s="586"/>
      <c r="HM68" s="586"/>
      <c r="HN68" s="586"/>
      <c r="HO68" s="586"/>
      <c r="HP68" s="586"/>
      <c r="HQ68" s="586"/>
      <c r="HR68" s="586"/>
      <c r="HS68" s="586"/>
      <c r="HT68" s="586"/>
      <c r="HU68" s="586"/>
      <c r="HV68" s="586"/>
      <c r="HW68" s="586"/>
      <c r="HX68" s="586"/>
      <c r="HY68" s="586"/>
      <c r="HZ68" s="586"/>
      <c r="IA68" s="586"/>
      <c r="IB68" s="586"/>
      <c r="IC68" s="586"/>
      <c r="ID68" s="586"/>
      <c r="IE68" s="586"/>
      <c r="IF68" s="586"/>
      <c r="IG68" s="586"/>
      <c r="IH68" s="586"/>
      <c r="II68" s="586"/>
      <c r="IJ68" s="586"/>
      <c r="IK68" s="586"/>
      <c r="IL68" s="586"/>
      <c r="IM68" s="586"/>
      <c r="IN68" s="586"/>
      <c r="IO68" s="586"/>
      <c r="IP68" s="586"/>
      <c r="IQ68" s="586"/>
      <c r="IR68" s="586"/>
      <c r="IS68" s="586"/>
      <c r="IT68" s="586"/>
      <c r="IU68" s="586"/>
      <c r="IV68" s="586"/>
      <c r="IW68" s="586"/>
    </row>
    <row r="69" customFormat="false" ht="12.75" hidden="false" customHeight="false" outlineLevel="0" collapsed="false">
      <c r="A69" s="603" t="s">
        <v>426</v>
      </c>
      <c r="G69" s="102" t="n">
        <f aca="false">B67-G67</f>
        <v>736611.369049307</v>
      </c>
      <c r="H69" s="102" t="n">
        <f aca="false">G69-H67</f>
        <v>699780.800596842</v>
      </c>
      <c r="I69" s="102" t="n">
        <f aca="false">H69-I67</f>
        <v>630329.220537158</v>
      </c>
      <c r="J69" s="102" t="n">
        <f aca="false">I69-J67</f>
        <v>567764.298483442</v>
      </c>
      <c r="K69" s="102" t="n">
        <f aca="false">J69-K67</f>
        <v>511361.123066645</v>
      </c>
      <c r="L69" s="102" t="n">
        <f aca="false">K69-L67</f>
        <v>460539.765191528</v>
      </c>
      <c r="M69" s="102" t="n">
        <f aca="false">L69-M67</f>
        <v>414792.786899757</v>
      </c>
      <c r="N69" s="102" t="n">
        <f aca="false">M69-N67</f>
        <v>371438.016125847</v>
      </c>
      <c r="O69" s="102" t="n">
        <f aca="false">N69-O67</f>
        <v>328010.754215033</v>
      </c>
      <c r="P69" s="102" t="n">
        <f aca="false">O69-P67</f>
        <v>284655.983441124</v>
      </c>
      <c r="Q69" s="102" t="n">
        <f aca="false">P69-Q67</f>
        <v>241228.72153031</v>
      </c>
      <c r="R69" s="102" t="n">
        <f aca="false">Q69-R67</f>
        <v>197873.950756401</v>
      </c>
      <c r="S69" s="102" t="n">
        <f aca="false">R69-S67</f>
        <v>154446.688845587</v>
      </c>
      <c r="T69" s="102" t="n">
        <f aca="false">S69-T67</f>
        <v>111091.918071678</v>
      </c>
      <c r="U69" s="102" t="n">
        <f aca="false">T69-U67</f>
        <v>67664.6561608637</v>
      </c>
      <c r="V69" s="102" t="n">
        <f aca="false">U69-V67</f>
        <v>24309.8853869546</v>
      </c>
      <c r="W69" s="102" t="n">
        <f aca="false">V69-W67</f>
        <v>2340.00000000003</v>
      </c>
      <c r="X69" s="102" t="n">
        <f aca="false">W69-X67</f>
        <v>1755.00000000003</v>
      </c>
      <c r="Y69" s="102" t="n">
        <f aca="false">X69-Y67</f>
        <v>1170.00000000003</v>
      </c>
      <c r="Z69" s="102" t="n">
        <f aca="false">Y69-Z67</f>
        <v>585.000000000026</v>
      </c>
      <c r="AA69" s="102" t="n">
        <f aca="false">Z69-AA67</f>
        <v>2.5465851649642E-011</v>
      </c>
      <c r="AB69" s="102" t="n">
        <f aca="false">AA69-AB67</f>
        <v>2.5465851649642E-011</v>
      </c>
      <c r="AC69" s="102" t="n">
        <f aca="false">AB69-AC67</f>
        <v>2.5465851649642E-011</v>
      </c>
      <c r="AD69" s="584"/>
      <c r="AE69" s="584"/>
      <c r="AF69" s="586"/>
      <c r="AG69" s="586"/>
      <c r="AH69" s="586"/>
      <c r="AI69" s="586"/>
      <c r="AJ69" s="586"/>
      <c r="AK69" s="586"/>
      <c r="AL69" s="586"/>
      <c r="AM69" s="586"/>
      <c r="AN69" s="586"/>
      <c r="AO69" s="586"/>
      <c r="AP69" s="586"/>
      <c r="AQ69" s="586"/>
      <c r="AR69" s="586"/>
      <c r="AS69" s="586"/>
      <c r="AT69" s="586"/>
      <c r="AU69" s="586"/>
      <c r="AV69" s="586"/>
      <c r="AW69" s="586"/>
      <c r="AX69" s="586"/>
      <c r="AY69" s="586"/>
      <c r="AZ69" s="586"/>
      <c r="BA69" s="586"/>
      <c r="BB69" s="586"/>
      <c r="BC69" s="586"/>
      <c r="BD69" s="586"/>
      <c r="BE69" s="586"/>
      <c r="BF69" s="586"/>
      <c r="BG69" s="586"/>
      <c r="BH69" s="586"/>
      <c r="BI69" s="586"/>
      <c r="BJ69" s="586"/>
      <c r="BK69" s="586"/>
      <c r="BL69" s="586"/>
      <c r="BM69" s="586"/>
      <c r="BN69" s="586"/>
      <c r="BO69" s="586"/>
      <c r="BP69" s="586"/>
      <c r="BQ69" s="586"/>
      <c r="BR69" s="586"/>
      <c r="BS69" s="586"/>
      <c r="BT69" s="586"/>
      <c r="BU69" s="586"/>
      <c r="BV69" s="586"/>
      <c r="BW69" s="586"/>
      <c r="BX69" s="586"/>
      <c r="BY69" s="586"/>
      <c r="BZ69" s="586"/>
      <c r="CA69" s="586"/>
      <c r="CB69" s="586"/>
      <c r="CC69" s="586"/>
      <c r="CD69" s="586"/>
      <c r="CE69" s="586"/>
      <c r="CF69" s="586"/>
      <c r="CG69" s="586"/>
      <c r="CH69" s="586"/>
      <c r="CI69" s="586"/>
      <c r="CJ69" s="586"/>
      <c r="CK69" s="586"/>
      <c r="CL69" s="586"/>
      <c r="CM69" s="586"/>
      <c r="CN69" s="586"/>
      <c r="CO69" s="586"/>
      <c r="CP69" s="586"/>
      <c r="CQ69" s="586"/>
      <c r="CR69" s="586"/>
      <c r="CS69" s="586"/>
      <c r="CT69" s="586"/>
      <c r="CU69" s="586"/>
      <c r="CV69" s="586"/>
      <c r="CW69" s="586"/>
      <c r="CX69" s="586"/>
      <c r="CY69" s="586"/>
      <c r="CZ69" s="586"/>
      <c r="DA69" s="586"/>
      <c r="DB69" s="586"/>
      <c r="DC69" s="586"/>
      <c r="DD69" s="586"/>
      <c r="DE69" s="586"/>
      <c r="DF69" s="586"/>
      <c r="DG69" s="586"/>
      <c r="DH69" s="586"/>
      <c r="DI69" s="586"/>
      <c r="DJ69" s="586"/>
      <c r="DK69" s="586"/>
      <c r="DL69" s="586"/>
      <c r="DM69" s="586"/>
      <c r="DN69" s="586"/>
      <c r="DO69" s="586"/>
      <c r="DP69" s="586"/>
      <c r="DQ69" s="586"/>
      <c r="DR69" s="586"/>
      <c r="DS69" s="586"/>
      <c r="DT69" s="586"/>
      <c r="DU69" s="586"/>
      <c r="DV69" s="586"/>
      <c r="DW69" s="586"/>
      <c r="DX69" s="586"/>
      <c r="DY69" s="586"/>
      <c r="DZ69" s="586"/>
      <c r="EA69" s="586"/>
      <c r="EB69" s="586"/>
      <c r="EC69" s="586"/>
      <c r="ED69" s="586"/>
      <c r="EE69" s="586"/>
      <c r="EF69" s="586"/>
      <c r="EG69" s="586"/>
      <c r="EH69" s="586"/>
      <c r="EI69" s="586"/>
      <c r="EJ69" s="586"/>
      <c r="EK69" s="586"/>
      <c r="EL69" s="586"/>
      <c r="EM69" s="586"/>
      <c r="EN69" s="586"/>
      <c r="EO69" s="586"/>
      <c r="EP69" s="586"/>
      <c r="EQ69" s="586"/>
      <c r="ER69" s="586"/>
      <c r="ES69" s="586"/>
      <c r="ET69" s="586"/>
      <c r="EU69" s="586"/>
      <c r="EV69" s="586"/>
      <c r="EW69" s="586"/>
      <c r="EX69" s="586"/>
      <c r="EY69" s="586"/>
      <c r="EZ69" s="586"/>
      <c r="FA69" s="586"/>
      <c r="FB69" s="586"/>
      <c r="FC69" s="586"/>
      <c r="FD69" s="586"/>
      <c r="FE69" s="586"/>
      <c r="FF69" s="586"/>
      <c r="FG69" s="586"/>
      <c r="FH69" s="586"/>
      <c r="FI69" s="586"/>
      <c r="FJ69" s="586"/>
      <c r="FK69" s="586"/>
      <c r="FL69" s="586"/>
      <c r="FM69" s="586"/>
      <c r="FN69" s="586"/>
      <c r="FO69" s="586"/>
      <c r="FP69" s="586"/>
      <c r="FQ69" s="586"/>
      <c r="FR69" s="586"/>
      <c r="FS69" s="586"/>
      <c r="FT69" s="586"/>
      <c r="FU69" s="586"/>
      <c r="FV69" s="586"/>
      <c r="FW69" s="586"/>
      <c r="FX69" s="586"/>
      <c r="FY69" s="586"/>
      <c r="FZ69" s="586"/>
      <c r="GA69" s="586"/>
      <c r="GB69" s="586"/>
      <c r="GC69" s="586"/>
      <c r="GD69" s="586"/>
      <c r="GE69" s="586"/>
      <c r="GF69" s="586"/>
      <c r="GG69" s="586"/>
      <c r="GH69" s="586"/>
      <c r="GI69" s="586"/>
      <c r="GJ69" s="586"/>
      <c r="GK69" s="586"/>
      <c r="GL69" s="586"/>
      <c r="GM69" s="586"/>
      <c r="GN69" s="586"/>
      <c r="GO69" s="586"/>
      <c r="GP69" s="586"/>
      <c r="GQ69" s="586"/>
      <c r="GR69" s="586"/>
      <c r="GS69" s="586"/>
      <c r="GT69" s="586"/>
      <c r="GU69" s="586"/>
      <c r="GV69" s="586"/>
      <c r="GW69" s="586"/>
      <c r="GX69" s="586"/>
      <c r="GY69" s="586"/>
      <c r="GZ69" s="586"/>
      <c r="HA69" s="586"/>
      <c r="HB69" s="586"/>
      <c r="HC69" s="586"/>
      <c r="HD69" s="586"/>
      <c r="HE69" s="586"/>
      <c r="HF69" s="586"/>
      <c r="HG69" s="586"/>
      <c r="HH69" s="586"/>
      <c r="HI69" s="586"/>
      <c r="HJ69" s="586"/>
      <c r="HK69" s="586"/>
      <c r="HL69" s="586"/>
      <c r="HM69" s="586"/>
      <c r="HN69" s="586"/>
      <c r="HO69" s="586"/>
      <c r="HP69" s="586"/>
      <c r="HQ69" s="586"/>
      <c r="HR69" s="586"/>
      <c r="HS69" s="586"/>
      <c r="HT69" s="586"/>
      <c r="HU69" s="586"/>
      <c r="HV69" s="586"/>
      <c r="HW69" s="586"/>
      <c r="HX69" s="586"/>
      <c r="HY69" s="586"/>
      <c r="HZ69" s="586"/>
      <c r="IA69" s="586"/>
      <c r="IB69" s="586"/>
      <c r="IC69" s="586"/>
      <c r="ID69" s="586"/>
      <c r="IE69" s="586"/>
      <c r="IF69" s="586"/>
      <c r="IG69" s="586"/>
      <c r="IH69" s="586"/>
      <c r="II69" s="586"/>
      <c r="IJ69" s="586"/>
      <c r="IK69" s="586"/>
      <c r="IL69" s="586"/>
      <c r="IM69" s="586"/>
      <c r="IN69" s="586"/>
      <c r="IO69" s="586"/>
      <c r="IP69" s="586"/>
      <c r="IQ69" s="586"/>
      <c r="IR69" s="586"/>
      <c r="IS69" s="586"/>
      <c r="IT69" s="586"/>
      <c r="IU69" s="586"/>
      <c r="IV69" s="586"/>
      <c r="IW69" s="586"/>
    </row>
    <row r="70" customFormat="false" ht="12.75" hidden="false" customHeight="false" outlineLevel="0" collapsed="false">
      <c r="A70" s="603"/>
      <c r="G70" s="430"/>
      <c r="AD70" s="584"/>
      <c r="AE70" s="584"/>
      <c r="AF70" s="586"/>
      <c r="AG70" s="586"/>
      <c r="AH70" s="586"/>
      <c r="AI70" s="586"/>
      <c r="AJ70" s="586"/>
      <c r="AK70" s="586"/>
      <c r="AL70" s="586"/>
      <c r="AM70" s="586"/>
      <c r="AN70" s="586"/>
      <c r="AO70" s="586"/>
      <c r="AP70" s="586"/>
      <c r="AQ70" s="586"/>
      <c r="AR70" s="586"/>
      <c r="AS70" s="586"/>
      <c r="AT70" s="586"/>
      <c r="AU70" s="586"/>
      <c r="AV70" s="586"/>
      <c r="AW70" s="586"/>
      <c r="AX70" s="586"/>
      <c r="AY70" s="586"/>
      <c r="AZ70" s="586"/>
      <c r="BA70" s="586"/>
      <c r="BB70" s="586"/>
      <c r="BC70" s="586"/>
      <c r="BD70" s="586"/>
      <c r="BE70" s="586"/>
      <c r="BF70" s="586"/>
      <c r="BG70" s="586"/>
      <c r="BH70" s="586"/>
      <c r="BI70" s="586"/>
      <c r="BJ70" s="586"/>
      <c r="BK70" s="586"/>
      <c r="BL70" s="586"/>
      <c r="BM70" s="586"/>
      <c r="BN70" s="586"/>
      <c r="BO70" s="586"/>
      <c r="BP70" s="586"/>
      <c r="BQ70" s="586"/>
      <c r="BR70" s="586"/>
      <c r="BS70" s="586"/>
      <c r="BT70" s="586"/>
      <c r="BU70" s="586"/>
      <c r="BV70" s="586"/>
      <c r="BW70" s="586"/>
      <c r="BX70" s="586"/>
      <c r="BY70" s="586"/>
      <c r="BZ70" s="586"/>
      <c r="CA70" s="586"/>
      <c r="CB70" s="586"/>
      <c r="CC70" s="586"/>
      <c r="CD70" s="586"/>
      <c r="CE70" s="586"/>
      <c r="CF70" s="586"/>
      <c r="CG70" s="586"/>
      <c r="CH70" s="586"/>
      <c r="CI70" s="586"/>
      <c r="CJ70" s="586"/>
      <c r="CK70" s="586"/>
      <c r="CL70" s="586"/>
      <c r="CM70" s="586"/>
      <c r="CN70" s="586"/>
      <c r="CO70" s="586"/>
      <c r="CP70" s="586"/>
      <c r="CQ70" s="586"/>
      <c r="CR70" s="586"/>
      <c r="CS70" s="586"/>
      <c r="CT70" s="586"/>
      <c r="CU70" s="586"/>
      <c r="CV70" s="586"/>
      <c r="CW70" s="586"/>
      <c r="CX70" s="586"/>
      <c r="CY70" s="586"/>
      <c r="CZ70" s="586"/>
      <c r="DA70" s="586"/>
      <c r="DB70" s="586"/>
      <c r="DC70" s="586"/>
      <c r="DD70" s="586"/>
      <c r="DE70" s="586"/>
      <c r="DF70" s="586"/>
      <c r="DG70" s="586"/>
      <c r="DH70" s="586"/>
      <c r="DI70" s="586"/>
      <c r="DJ70" s="586"/>
      <c r="DK70" s="586"/>
      <c r="DL70" s="586"/>
      <c r="DM70" s="586"/>
      <c r="DN70" s="586"/>
      <c r="DO70" s="586"/>
      <c r="DP70" s="586"/>
      <c r="DQ70" s="586"/>
      <c r="DR70" s="586"/>
      <c r="DS70" s="586"/>
      <c r="DT70" s="586"/>
      <c r="DU70" s="586"/>
      <c r="DV70" s="586"/>
      <c r="DW70" s="586"/>
      <c r="DX70" s="586"/>
      <c r="DY70" s="586"/>
      <c r="DZ70" s="586"/>
      <c r="EA70" s="586"/>
      <c r="EB70" s="586"/>
      <c r="EC70" s="586"/>
      <c r="ED70" s="586"/>
      <c r="EE70" s="586"/>
      <c r="EF70" s="586"/>
      <c r="EG70" s="586"/>
      <c r="EH70" s="586"/>
      <c r="EI70" s="586"/>
      <c r="EJ70" s="586"/>
      <c r="EK70" s="586"/>
      <c r="EL70" s="586"/>
      <c r="EM70" s="586"/>
      <c r="EN70" s="586"/>
      <c r="EO70" s="586"/>
      <c r="EP70" s="586"/>
      <c r="EQ70" s="586"/>
      <c r="ER70" s="586"/>
      <c r="ES70" s="586"/>
      <c r="ET70" s="586"/>
      <c r="EU70" s="586"/>
      <c r="EV70" s="586"/>
      <c r="EW70" s="586"/>
      <c r="EX70" s="586"/>
      <c r="EY70" s="586"/>
      <c r="EZ70" s="586"/>
      <c r="FA70" s="586"/>
      <c r="FB70" s="586"/>
      <c r="FC70" s="586"/>
      <c r="FD70" s="586"/>
      <c r="FE70" s="586"/>
      <c r="FF70" s="586"/>
      <c r="FG70" s="586"/>
      <c r="FH70" s="586"/>
      <c r="FI70" s="586"/>
      <c r="FJ70" s="586"/>
      <c r="FK70" s="586"/>
      <c r="FL70" s="586"/>
      <c r="FM70" s="586"/>
      <c r="FN70" s="586"/>
      <c r="FO70" s="586"/>
      <c r="FP70" s="586"/>
      <c r="FQ70" s="586"/>
      <c r="FR70" s="586"/>
      <c r="FS70" s="586"/>
      <c r="FT70" s="586"/>
      <c r="FU70" s="586"/>
      <c r="FV70" s="586"/>
      <c r="FW70" s="586"/>
      <c r="FX70" s="586"/>
      <c r="FY70" s="586"/>
      <c r="FZ70" s="586"/>
      <c r="GA70" s="586"/>
      <c r="GB70" s="586"/>
      <c r="GC70" s="586"/>
      <c r="GD70" s="586"/>
      <c r="GE70" s="586"/>
      <c r="GF70" s="586"/>
      <c r="GG70" s="586"/>
      <c r="GH70" s="586"/>
      <c r="GI70" s="586"/>
      <c r="GJ70" s="586"/>
      <c r="GK70" s="586"/>
      <c r="GL70" s="586"/>
      <c r="GM70" s="586"/>
      <c r="GN70" s="586"/>
      <c r="GO70" s="586"/>
      <c r="GP70" s="586"/>
      <c r="GQ70" s="586"/>
      <c r="GR70" s="586"/>
      <c r="GS70" s="586"/>
      <c r="GT70" s="586"/>
      <c r="GU70" s="586"/>
      <c r="GV70" s="586"/>
      <c r="GW70" s="586"/>
      <c r="GX70" s="586"/>
      <c r="GY70" s="586"/>
      <c r="GZ70" s="586"/>
      <c r="HA70" s="586"/>
      <c r="HB70" s="586"/>
      <c r="HC70" s="586"/>
      <c r="HD70" s="586"/>
      <c r="HE70" s="586"/>
      <c r="HF70" s="586"/>
      <c r="HG70" s="586"/>
      <c r="HH70" s="586"/>
      <c r="HI70" s="586"/>
      <c r="HJ70" s="586"/>
      <c r="HK70" s="586"/>
      <c r="HL70" s="586"/>
      <c r="HM70" s="586"/>
      <c r="HN70" s="586"/>
      <c r="HO70" s="586"/>
      <c r="HP70" s="586"/>
      <c r="HQ70" s="586"/>
      <c r="HR70" s="586"/>
      <c r="HS70" s="586"/>
      <c r="HT70" s="586"/>
      <c r="HU70" s="586"/>
      <c r="HV70" s="586"/>
      <c r="HW70" s="586"/>
      <c r="HX70" s="586"/>
      <c r="HY70" s="586"/>
      <c r="HZ70" s="586"/>
      <c r="IA70" s="586"/>
      <c r="IB70" s="586"/>
      <c r="IC70" s="586"/>
      <c r="ID70" s="586"/>
      <c r="IE70" s="586"/>
      <c r="IF70" s="586"/>
      <c r="IG70" s="586"/>
      <c r="IH70" s="586"/>
      <c r="II70" s="586"/>
      <c r="IJ70" s="586"/>
      <c r="IK70" s="586"/>
      <c r="IL70" s="586"/>
      <c r="IM70" s="586"/>
      <c r="IN70" s="586"/>
      <c r="IO70" s="586"/>
      <c r="IP70" s="586"/>
      <c r="IQ70" s="586"/>
      <c r="IR70" s="586"/>
      <c r="IS70" s="586"/>
      <c r="IT70" s="586"/>
      <c r="IU70" s="586"/>
      <c r="IV70" s="586"/>
      <c r="IW70" s="586"/>
    </row>
    <row r="71" customFormat="false" ht="12.75" hidden="false" customHeight="false" outlineLevel="0" collapsed="false">
      <c r="B71" s="587" t="s">
        <v>415</v>
      </c>
      <c r="C71" s="612" t="s">
        <v>423</v>
      </c>
      <c r="D71" s="612"/>
      <c r="E71" s="612"/>
      <c r="F71" s="612"/>
      <c r="G71" s="621" t="n">
        <v>0</v>
      </c>
      <c r="H71" s="621" t="n">
        <v>1</v>
      </c>
      <c r="I71" s="621" t="n">
        <v>2</v>
      </c>
      <c r="J71" s="621" t="n">
        <v>3</v>
      </c>
      <c r="K71" s="621" t="n">
        <v>4</v>
      </c>
      <c r="L71" s="621" t="n">
        <v>5</v>
      </c>
      <c r="M71" s="621" t="n">
        <v>6</v>
      </c>
      <c r="N71" s="621" t="n">
        <v>7</v>
      </c>
      <c r="O71" s="621" t="n">
        <v>8</v>
      </c>
      <c r="P71" s="621" t="n">
        <v>9</v>
      </c>
      <c r="Q71" s="621" t="n">
        <v>10</v>
      </c>
      <c r="R71" s="621" t="n">
        <v>11</v>
      </c>
      <c r="S71" s="621" t="n">
        <v>12</v>
      </c>
      <c r="T71" s="621" t="n">
        <v>13</v>
      </c>
      <c r="U71" s="621" t="n">
        <v>14</v>
      </c>
      <c r="V71" s="621" t="n">
        <v>15</v>
      </c>
      <c r="W71" s="621" t="n">
        <v>16</v>
      </c>
      <c r="X71" s="621" t="n">
        <v>17</v>
      </c>
      <c r="Y71" s="621" t="n">
        <v>18</v>
      </c>
      <c r="Z71" s="621" t="n">
        <v>19</v>
      </c>
      <c r="AA71" s="621" t="n">
        <v>20</v>
      </c>
      <c r="AB71" s="621" t="n">
        <v>21</v>
      </c>
      <c r="AC71" s="621" t="n">
        <v>22</v>
      </c>
      <c r="AD71" s="584"/>
      <c r="AE71" s="584"/>
      <c r="AF71" s="586"/>
      <c r="AG71" s="586"/>
      <c r="AH71" s="586"/>
      <c r="AI71" s="586"/>
      <c r="AJ71" s="586"/>
      <c r="AK71" s="586"/>
      <c r="AL71" s="586"/>
      <c r="AM71" s="586"/>
      <c r="AN71" s="586"/>
      <c r="AO71" s="586"/>
      <c r="AP71" s="586"/>
      <c r="AQ71" s="586"/>
      <c r="AR71" s="586"/>
      <c r="AS71" s="586"/>
      <c r="AT71" s="586"/>
      <c r="AU71" s="586"/>
      <c r="AV71" s="586"/>
      <c r="AW71" s="586"/>
      <c r="AX71" s="586"/>
      <c r="AY71" s="586"/>
      <c r="AZ71" s="586"/>
      <c r="BA71" s="586"/>
      <c r="BB71" s="586"/>
      <c r="BC71" s="586"/>
      <c r="BD71" s="586"/>
      <c r="BE71" s="586"/>
      <c r="BF71" s="586"/>
      <c r="BG71" s="586"/>
      <c r="BH71" s="586"/>
      <c r="BI71" s="586"/>
      <c r="BJ71" s="586"/>
      <c r="BK71" s="586"/>
      <c r="BL71" s="586"/>
      <c r="BM71" s="586"/>
      <c r="BN71" s="586"/>
      <c r="BO71" s="586"/>
      <c r="BP71" s="586"/>
      <c r="BQ71" s="586"/>
      <c r="BR71" s="586"/>
      <c r="BS71" s="586"/>
      <c r="BT71" s="586"/>
      <c r="BU71" s="586"/>
      <c r="BV71" s="586"/>
      <c r="BW71" s="586"/>
      <c r="BX71" s="586"/>
      <c r="BY71" s="586"/>
      <c r="BZ71" s="586"/>
      <c r="CA71" s="586"/>
      <c r="CB71" s="586"/>
      <c r="CC71" s="586"/>
      <c r="CD71" s="586"/>
      <c r="CE71" s="586"/>
      <c r="CF71" s="586"/>
      <c r="CG71" s="586"/>
      <c r="CH71" s="586"/>
      <c r="CI71" s="586"/>
      <c r="CJ71" s="586"/>
      <c r="CK71" s="586"/>
      <c r="CL71" s="586"/>
      <c r="CM71" s="586"/>
      <c r="CN71" s="586"/>
      <c r="CO71" s="586"/>
      <c r="CP71" s="586"/>
      <c r="CQ71" s="586"/>
      <c r="CR71" s="586"/>
      <c r="CS71" s="586"/>
      <c r="CT71" s="586"/>
      <c r="CU71" s="586"/>
      <c r="CV71" s="586"/>
      <c r="CW71" s="586"/>
      <c r="CX71" s="586"/>
      <c r="CY71" s="586"/>
      <c r="CZ71" s="586"/>
      <c r="DA71" s="586"/>
      <c r="DB71" s="586"/>
      <c r="DC71" s="586"/>
      <c r="DD71" s="586"/>
      <c r="DE71" s="586"/>
      <c r="DF71" s="586"/>
      <c r="DG71" s="586"/>
      <c r="DH71" s="586"/>
      <c r="DI71" s="586"/>
      <c r="DJ71" s="586"/>
      <c r="DK71" s="586"/>
      <c r="DL71" s="586"/>
      <c r="DM71" s="586"/>
      <c r="DN71" s="586"/>
      <c r="DO71" s="586"/>
      <c r="DP71" s="586"/>
      <c r="DQ71" s="586"/>
      <c r="DR71" s="586"/>
      <c r="DS71" s="586"/>
      <c r="DT71" s="586"/>
      <c r="DU71" s="586"/>
      <c r="DV71" s="586"/>
      <c r="DW71" s="586"/>
      <c r="DX71" s="586"/>
      <c r="DY71" s="586"/>
      <c r="DZ71" s="586"/>
      <c r="EA71" s="586"/>
      <c r="EB71" s="586"/>
      <c r="EC71" s="586"/>
      <c r="ED71" s="586"/>
      <c r="EE71" s="586"/>
      <c r="EF71" s="586"/>
      <c r="EG71" s="586"/>
      <c r="EH71" s="586"/>
      <c r="EI71" s="586"/>
      <c r="EJ71" s="586"/>
      <c r="EK71" s="586"/>
      <c r="EL71" s="586"/>
      <c r="EM71" s="586"/>
      <c r="EN71" s="586"/>
      <c r="EO71" s="586"/>
      <c r="EP71" s="586"/>
      <c r="EQ71" s="586"/>
      <c r="ER71" s="586"/>
      <c r="ES71" s="586"/>
      <c r="ET71" s="586"/>
      <c r="EU71" s="586"/>
      <c r="EV71" s="586"/>
      <c r="EW71" s="586"/>
      <c r="EX71" s="586"/>
      <c r="EY71" s="586"/>
      <c r="EZ71" s="586"/>
      <c r="FA71" s="586"/>
      <c r="FB71" s="586"/>
      <c r="FC71" s="586"/>
      <c r="FD71" s="586"/>
      <c r="FE71" s="586"/>
      <c r="FF71" s="586"/>
      <c r="FG71" s="586"/>
      <c r="FH71" s="586"/>
      <c r="FI71" s="586"/>
      <c r="FJ71" s="586"/>
      <c r="FK71" s="586"/>
      <c r="FL71" s="586"/>
      <c r="FM71" s="586"/>
      <c r="FN71" s="586"/>
      <c r="FO71" s="586"/>
      <c r="FP71" s="586"/>
      <c r="FQ71" s="586"/>
      <c r="FR71" s="586"/>
      <c r="FS71" s="586"/>
      <c r="FT71" s="586"/>
      <c r="FU71" s="586"/>
      <c r="FV71" s="586"/>
      <c r="FW71" s="586"/>
      <c r="FX71" s="586"/>
      <c r="FY71" s="586"/>
      <c r="FZ71" s="586"/>
      <c r="GA71" s="586"/>
      <c r="GB71" s="586"/>
      <c r="GC71" s="586"/>
      <c r="GD71" s="586"/>
      <c r="GE71" s="586"/>
      <c r="GF71" s="586"/>
      <c r="GG71" s="586"/>
      <c r="GH71" s="586"/>
      <c r="GI71" s="586"/>
      <c r="GJ71" s="586"/>
      <c r="GK71" s="586"/>
      <c r="GL71" s="586"/>
      <c r="GM71" s="586"/>
      <c r="GN71" s="586"/>
      <c r="GO71" s="586"/>
      <c r="GP71" s="586"/>
      <c r="GQ71" s="586"/>
      <c r="GR71" s="586"/>
      <c r="GS71" s="586"/>
      <c r="GT71" s="586"/>
      <c r="GU71" s="586"/>
      <c r="GV71" s="586"/>
      <c r="GW71" s="586"/>
      <c r="GX71" s="586"/>
      <c r="GY71" s="586"/>
      <c r="GZ71" s="586"/>
      <c r="HA71" s="586"/>
      <c r="HB71" s="586"/>
      <c r="HC71" s="586"/>
      <c r="HD71" s="586"/>
      <c r="HE71" s="586"/>
      <c r="HF71" s="586"/>
      <c r="HG71" s="586"/>
      <c r="HH71" s="586"/>
      <c r="HI71" s="586"/>
      <c r="HJ71" s="586"/>
      <c r="HK71" s="586"/>
      <c r="HL71" s="586"/>
      <c r="HM71" s="586"/>
      <c r="HN71" s="586"/>
      <c r="HO71" s="586"/>
      <c r="HP71" s="586"/>
      <c r="HQ71" s="586"/>
      <c r="HR71" s="586"/>
      <c r="HS71" s="586"/>
      <c r="HT71" s="586"/>
      <c r="HU71" s="586"/>
      <c r="HV71" s="586"/>
      <c r="HW71" s="586"/>
      <c r="HX71" s="586"/>
      <c r="HY71" s="586"/>
      <c r="HZ71" s="586"/>
      <c r="IA71" s="586"/>
      <c r="IB71" s="586"/>
      <c r="IC71" s="586"/>
      <c r="ID71" s="586"/>
      <c r="IE71" s="586"/>
      <c r="IF71" s="586"/>
      <c r="IG71" s="586"/>
      <c r="IH71" s="586"/>
      <c r="II71" s="586"/>
      <c r="IJ71" s="586"/>
      <c r="IK71" s="586"/>
      <c r="IL71" s="586"/>
      <c r="IM71" s="586"/>
      <c r="IN71" s="586"/>
      <c r="IO71" s="586"/>
      <c r="IP71" s="586"/>
      <c r="IQ71" s="586"/>
      <c r="IR71" s="586"/>
      <c r="IS71" s="586"/>
      <c r="IT71" s="586"/>
      <c r="IU71" s="586"/>
      <c r="IV71" s="586"/>
      <c r="IW71" s="586"/>
    </row>
    <row r="72" customFormat="false" ht="12.75" hidden="false" customHeight="false" outlineLevel="0" collapsed="false">
      <c r="A72" s="581" t="s">
        <v>422</v>
      </c>
      <c r="B72" s="591" t="n">
        <f aca="false">Assumptions!$D$45</f>
        <v>30</v>
      </c>
      <c r="C72" s="615" t="n">
        <f aca="false">Assumptions!$F$45</f>
        <v>0.1</v>
      </c>
      <c r="D72" s="614"/>
      <c r="E72" s="614"/>
      <c r="F72" s="614"/>
      <c r="G72" s="406" t="n">
        <v>0</v>
      </c>
      <c r="H72" s="406" t="n">
        <f aca="false">((1-$C$72)/$B$72)*Assumptions!Q53/12*(Allocation!K12+Allocation!K14)+((1-$C$72)/$B$72)*Assumptions!R53/12*(Allocation!K13)</f>
        <v>0.015996868553652</v>
      </c>
      <c r="I72" s="406" t="n">
        <f aca="false">IF(I71&lt;=$B$72,(1-$C$72)/$B$72,IF(I71=$B$72+1,(1/$B72)*(1-$C$72)-$G$72,0))</f>
        <v>0.03</v>
      </c>
      <c r="J72" s="406" t="n">
        <f aca="false">IF(J71&lt;=$B$72,(1-$C$72)/$B$72,IF(J71=$B$72+1,(1/$B72)*(1-$C$72)-$G$72,0))</f>
        <v>0.03</v>
      </c>
      <c r="K72" s="406" t="n">
        <f aca="false">IF(K71&lt;=$B$72,(1-$C$72)/$B$72,IF(K71=$B$72+1,(1/$B72)*(1-$C$72)-$G$72,0))</f>
        <v>0.03</v>
      </c>
      <c r="L72" s="406" t="n">
        <f aca="false">IF(L71&lt;=$B$72,(1-$C$72)/$B$72,IF(L71=$B$72+1,(1/$B72)*(1-$C$72)-$G$72,0))</f>
        <v>0.03</v>
      </c>
      <c r="M72" s="406" t="n">
        <f aca="false">IF(M71&lt;=$B$72,(1-$C$72)/$B$72,IF(M71=$B$72+1,(1/$B72)*(1-$C$72)-$G$72,0))</f>
        <v>0.03</v>
      </c>
      <c r="N72" s="406" t="n">
        <f aca="false">IF(N71&lt;=$B$72,(1-$C$72)/$B$72,IF(N71=$B$72+1,(1/$B72)*(1-$C$72)-$G$72,0))</f>
        <v>0.03</v>
      </c>
      <c r="O72" s="406" t="n">
        <f aca="false">IF(O71&lt;=$B$72,(1-$C$72)/$B$72,IF(O71=$B$72+1,(1/$B72)*(1-$C$72)-$G$72,0))</f>
        <v>0.03</v>
      </c>
      <c r="P72" s="406" t="n">
        <f aca="false">IF(P71&lt;=$B$72,(1-$C$72)/$B$72,IF(P71=$B$72+1,(1/$B72)*(1-$C$72)-$G$72,0))</f>
        <v>0.03</v>
      </c>
      <c r="Q72" s="406" t="n">
        <f aca="false">IF(Q71&lt;=$B$72,(1-$C$72)/$B$72,IF(Q71=$B$72+1,(1/$B72)*(1-$C$72)-$G$72,0))</f>
        <v>0.03</v>
      </c>
      <c r="R72" s="406" t="n">
        <f aca="false">IF(R71&lt;=$B$72,(1-$C$72)/$B$72,IF(R71=$B$72+1,(1/$B72)*(1-$C$72)-$G$72,0))</f>
        <v>0.03</v>
      </c>
      <c r="S72" s="406" t="n">
        <f aca="false">IF(S71&lt;=$B$72,(1-$C$72)/$B$72,IF(S71=$B$72+1,(1/$B72)*(1-$C$72)-$G$72,0))</f>
        <v>0.03</v>
      </c>
      <c r="T72" s="406" t="n">
        <f aca="false">IF(T71&lt;=$B$72,(1-$C$72)/$B$72,IF(T71=$B$72+1,(1/$B72)*(1-$C$72)-$G$72,0))</f>
        <v>0.03</v>
      </c>
      <c r="U72" s="406" t="n">
        <f aca="false">IF(U71&lt;=$B$72,(1-$C$72)/$B$72,IF(U71=$B$72+1,(1/$B72)*(1-$C$72)-$G$72,0))</f>
        <v>0.03</v>
      </c>
      <c r="V72" s="406" t="n">
        <f aca="false">IF(V71&lt;=$B$72,(1-$C$72)/$B$72,IF(V71=$B$72+1,(1/$B72)*(1-$C$72)-$G$72,0))</f>
        <v>0.03</v>
      </c>
      <c r="W72" s="406" t="n">
        <f aca="false">IF(W71&lt;=$B$72,(1-$C$72)/$B$72,IF(W71=$B$72+1,(1/$B72)*(1-$C$72)-$G$72,0))</f>
        <v>0.03</v>
      </c>
      <c r="X72" s="406" t="n">
        <f aca="false">IF(X71&lt;=$B$72,(1-$C$72)/$B$72,IF(X71=$B$72+1,(1/$B72)*(1-$C$72)-$G$72,0))</f>
        <v>0.03</v>
      </c>
      <c r="Y72" s="406" t="n">
        <f aca="false">IF(Y71&lt;=$B$72,(1-$C$72)/$B$72,IF(Y71=$B$72+1,(1/$B72)*(1-$C$72)-$G$72,0))</f>
        <v>0.03</v>
      </c>
      <c r="Z72" s="406" t="n">
        <f aca="false">IF(Z71&lt;=$B$72,(1-$C$72)/$B$72,IF(Z71=$B$72+1,(1/$B72)*(1-$C$72)-$G$72,0))</f>
        <v>0.03</v>
      </c>
      <c r="AA72" s="406" t="n">
        <f aca="false">IF(AA71&lt;=$B$72,(1-$C$72)/$B$72,IF(AA71=$B$72+1,(1/$B72)*(1-$C$72)-$G$72,0))</f>
        <v>0.03</v>
      </c>
      <c r="AB72" s="406" t="n">
        <f aca="false">IF(AB71&lt;=$B$72,(1-$C$72)/$B$72,IF(AB71=$B$72+1,(1/$B72)*(1-$C$72)-$G$72,0))</f>
        <v>0.03</v>
      </c>
      <c r="AC72" s="406" t="n">
        <f aca="false">IF(AC71&lt;=$B$72,(1-$C$72)/$B$72,IF(AC71=$B$72+1,(1/$B72)*(1-$C$72)-$G$72,0))</f>
        <v>0.03</v>
      </c>
      <c r="AD72" s="584"/>
      <c r="AE72" s="584"/>
      <c r="AF72" s="586"/>
      <c r="AG72" s="586"/>
      <c r="AH72" s="586"/>
      <c r="AI72" s="586"/>
      <c r="AJ72" s="586"/>
      <c r="AK72" s="586"/>
      <c r="AL72" s="586"/>
      <c r="AM72" s="586"/>
      <c r="AN72" s="586"/>
      <c r="AO72" s="586"/>
      <c r="AP72" s="586"/>
      <c r="AQ72" s="586"/>
      <c r="AR72" s="586"/>
      <c r="AS72" s="586"/>
      <c r="AT72" s="586"/>
      <c r="AU72" s="586"/>
      <c r="AV72" s="586"/>
      <c r="AW72" s="586"/>
      <c r="AX72" s="586"/>
      <c r="AY72" s="586"/>
      <c r="AZ72" s="586"/>
      <c r="BA72" s="586"/>
      <c r="BB72" s="586"/>
      <c r="BC72" s="586"/>
      <c r="BD72" s="586"/>
      <c r="BE72" s="586"/>
      <c r="BF72" s="586"/>
      <c r="BG72" s="586"/>
      <c r="BH72" s="586"/>
      <c r="BI72" s="586"/>
      <c r="BJ72" s="586"/>
      <c r="BK72" s="586"/>
      <c r="BL72" s="586"/>
      <c r="BM72" s="586"/>
      <c r="BN72" s="586"/>
      <c r="BO72" s="586"/>
      <c r="BP72" s="586"/>
      <c r="BQ72" s="586"/>
      <c r="BR72" s="586"/>
      <c r="BS72" s="586"/>
      <c r="BT72" s="586"/>
      <c r="BU72" s="586"/>
      <c r="BV72" s="586"/>
      <c r="BW72" s="586"/>
      <c r="BX72" s="586"/>
      <c r="BY72" s="586"/>
      <c r="BZ72" s="586"/>
      <c r="CA72" s="586"/>
      <c r="CB72" s="586"/>
      <c r="CC72" s="586"/>
      <c r="CD72" s="586"/>
      <c r="CE72" s="586"/>
      <c r="CF72" s="586"/>
      <c r="CG72" s="586"/>
      <c r="CH72" s="586"/>
      <c r="CI72" s="586"/>
      <c r="CJ72" s="586"/>
      <c r="CK72" s="586"/>
      <c r="CL72" s="586"/>
      <c r="CM72" s="586"/>
      <c r="CN72" s="586"/>
      <c r="CO72" s="586"/>
      <c r="CP72" s="586"/>
      <c r="CQ72" s="586"/>
      <c r="CR72" s="586"/>
      <c r="CS72" s="586"/>
      <c r="CT72" s="586"/>
      <c r="CU72" s="586"/>
      <c r="CV72" s="586"/>
      <c r="CW72" s="586"/>
      <c r="CX72" s="586"/>
      <c r="CY72" s="586"/>
      <c r="CZ72" s="586"/>
      <c r="DA72" s="586"/>
      <c r="DB72" s="586"/>
      <c r="DC72" s="586"/>
      <c r="DD72" s="586"/>
      <c r="DE72" s="586"/>
      <c r="DF72" s="586"/>
      <c r="DG72" s="586"/>
      <c r="DH72" s="586"/>
      <c r="DI72" s="586"/>
      <c r="DJ72" s="586"/>
      <c r="DK72" s="586"/>
      <c r="DL72" s="586"/>
      <c r="DM72" s="586"/>
      <c r="DN72" s="586"/>
      <c r="DO72" s="586"/>
      <c r="DP72" s="586"/>
      <c r="DQ72" s="586"/>
      <c r="DR72" s="586"/>
      <c r="DS72" s="586"/>
      <c r="DT72" s="586"/>
      <c r="DU72" s="586"/>
      <c r="DV72" s="586"/>
      <c r="DW72" s="586"/>
      <c r="DX72" s="586"/>
      <c r="DY72" s="586"/>
      <c r="DZ72" s="586"/>
      <c r="EA72" s="586"/>
      <c r="EB72" s="586"/>
      <c r="EC72" s="586"/>
      <c r="ED72" s="586"/>
      <c r="EE72" s="586"/>
      <c r="EF72" s="586"/>
      <c r="EG72" s="586"/>
      <c r="EH72" s="586"/>
      <c r="EI72" s="586"/>
      <c r="EJ72" s="586"/>
      <c r="EK72" s="586"/>
      <c r="EL72" s="586"/>
      <c r="EM72" s="586"/>
      <c r="EN72" s="586"/>
      <c r="EO72" s="586"/>
      <c r="EP72" s="586"/>
      <c r="EQ72" s="586"/>
      <c r="ER72" s="586"/>
      <c r="ES72" s="586"/>
      <c r="ET72" s="586"/>
      <c r="EU72" s="586"/>
      <c r="EV72" s="586"/>
      <c r="EW72" s="586"/>
      <c r="EX72" s="586"/>
      <c r="EY72" s="586"/>
      <c r="EZ72" s="586"/>
      <c r="FA72" s="586"/>
      <c r="FB72" s="586"/>
      <c r="FC72" s="586"/>
      <c r="FD72" s="586"/>
      <c r="FE72" s="586"/>
      <c r="FF72" s="586"/>
      <c r="FG72" s="586"/>
      <c r="FH72" s="586"/>
      <c r="FI72" s="586"/>
      <c r="FJ72" s="586"/>
      <c r="FK72" s="586"/>
      <c r="FL72" s="586"/>
      <c r="FM72" s="586"/>
      <c r="FN72" s="586"/>
      <c r="FO72" s="586"/>
      <c r="FP72" s="586"/>
      <c r="FQ72" s="586"/>
      <c r="FR72" s="586"/>
      <c r="FS72" s="586"/>
      <c r="FT72" s="586"/>
      <c r="FU72" s="586"/>
      <c r="FV72" s="586"/>
      <c r="FW72" s="586"/>
      <c r="FX72" s="586"/>
      <c r="FY72" s="586"/>
      <c r="FZ72" s="586"/>
      <c r="GA72" s="586"/>
      <c r="GB72" s="586"/>
      <c r="GC72" s="586"/>
      <c r="GD72" s="586"/>
      <c r="GE72" s="586"/>
      <c r="GF72" s="586"/>
      <c r="GG72" s="586"/>
      <c r="GH72" s="586"/>
      <c r="GI72" s="586"/>
      <c r="GJ72" s="586"/>
      <c r="GK72" s="586"/>
      <c r="GL72" s="586"/>
      <c r="GM72" s="586"/>
      <c r="GN72" s="586"/>
      <c r="GO72" s="586"/>
      <c r="GP72" s="586"/>
      <c r="GQ72" s="586"/>
      <c r="GR72" s="586"/>
      <c r="GS72" s="586"/>
      <c r="GT72" s="586"/>
      <c r="GU72" s="586"/>
      <c r="GV72" s="586"/>
      <c r="GW72" s="586"/>
      <c r="GX72" s="586"/>
      <c r="GY72" s="586"/>
      <c r="GZ72" s="586"/>
      <c r="HA72" s="586"/>
      <c r="HB72" s="586"/>
      <c r="HC72" s="586"/>
      <c r="HD72" s="586"/>
      <c r="HE72" s="586"/>
      <c r="HF72" s="586"/>
      <c r="HG72" s="586"/>
      <c r="HH72" s="586"/>
      <c r="HI72" s="586"/>
      <c r="HJ72" s="586"/>
      <c r="HK72" s="586"/>
      <c r="HL72" s="586"/>
      <c r="HM72" s="586"/>
      <c r="HN72" s="586"/>
      <c r="HO72" s="586"/>
      <c r="HP72" s="586"/>
      <c r="HQ72" s="586"/>
      <c r="HR72" s="586"/>
      <c r="HS72" s="586"/>
      <c r="HT72" s="586"/>
      <c r="HU72" s="586"/>
      <c r="HV72" s="586"/>
      <c r="HW72" s="586"/>
      <c r="HX72" s="586"/>
      <c r="HY72" s="586"/>
      <c r="HZ72" s="586"/>
      <c r="IA72" s="586"/>
      <c r="IB72" s="586"/>
      <c r="IC72" s="586"/>
      <c r="ID72" s="586"/>
      <c r="IE72" s="586"/>
      <c r="IF72" s="586"/>
      <c r="IG72" s="586"/>
      <c r="IH72" s="586"/>
      <c r="II72" s="586"/>
      <c r="IJ72" s="586"/>
      <c r="IK72" s="586"/>
      <c r="IL72" s="586"/>
      <c r="IM72" s="586"/>
      <c r="IN72" s="586"/>
      <c r="IO72" s="586"/>
      <c r="IP72" s="586"/>
      <c r="IQ72" s="586"/>
      <c r="IR72" s="586"/>
      <c r="IS72" s="586"/>
      <c r="IT72" s="586"/>
      <c r="IU72" s="586"/>
      <c r="IV72" s="586"/>
      <c r="IW72" s="586"/>
    </row>
    <row r="73" customFormat="false" ht="12.75" hidden="false" customHeight="false" outlineLevel="0" collapsed="false">
      <c r="A73" s="581"/>
      <c r="B73" s="597" t="n">
        <f aca="false">Assumptions!$D$46</f>
        <v>20</v>
      </c>
      <c r="G73" s="406" t="n">
        <v>0</v>
      </c>
      <c r="H73" s="406" t="n">
        <f aca="false">H52</f>
        <v>0.05</v>
      </c>
      <c r="I73" s="406" t="n">
        <f aca="false">I52</f>
        <v>0.05</v>
      </c>
      <c r="J73" s="406" t="n">
        <f aca="false">J52</f>
        <v>0.05</v>
      </c>
      <c r="K73" s="406" t="n">
        <f aca="false">K52</f>
        <v>0.05</v>
      </c>
      <c r="L73" s="406" t="n">
        <f aca="false">L52</f>
        <v>0.05</v>
      </c>
      <c r="M73" s="406" t="n">
        <f aca="false">M52</f>
        <v>0.05</v>
      </c>
      <c r="N73" s="406" t="n">
        <f aca="false">N52</f>
        <v>0.05</v>
      </c>
      <c r="O73" s="406" t="n">
        <f aca="false">O52</f>
        <v>0.05</v>
      </c>
      <c r="P73" s="406" t="n">
        <f aca="false">P52</f>
        <v>0.05</v>
      </c>
      <c r="Q73" s="406" t="n">
        <f aca="false">Q52</f>
        <v>0.05</v>
      </c>
      <c r="R73" s="406" t="n">
        <f aca="false">R52</f>
        <v>0.05</v>
      </c>
      <c r="S73" s="406" t="n">
        <f aca="false">S52</f>
        <v>0.05</v>
      </c>
      <c r="T73" s="406" t="n">
        <f aca="false">T52</f>
        <v>0.05</v>
      </c>
      <c r="U73" s="406" t="n">
        <f aca="false">U52</f>
        <v>0.05</v>
      </c>
      <c r="V73" s="406" t="n">
        <f aca="false">V52</f>
        <v>0.05</v>
      </c>
      <c r="W73" s="406" t="n">
        <f aca="false">W52</f>
        <v>0.05</v>
      </c>
      <c r="X73" s="406" t="n">
        <f aca="false">X52</f>
        <v>0.05</v>
      </c>
      <c r="Y73" s="406" t="n">
        <f aca="false">Y52</f>
        <v>0.05</v>
      </c>
      <c r="Z73" s="406" t="n">
        <f aca="false">Z52</f>
        <v>0.05</v>
      </c>
      <c r="AA73" s="406" t="n">
        <f aca="false">AA52</f>
        <v>0.05</v>
      </c>
      <c r="AB73" s="406" t="n">
        <f aca="false">AB52</f>
        <v>0</v>
      </c>
      <c r="AC73" s="406" t="n">
        <f aca="false">AC52</f>
        <v>0</v>
      </c>
      <c r="AD73" s="584"/>
      <c r="AE73" s="584"/>
      <c r="AF73" s="586"/>
      <c r="AG73" s="586"/>
      <c r="AH73" s="586"/>
      <c r="AI73" s="586"/>
      <c r="AJ73" s="586"/>
      <c r="AK73" s="586"/>
      <c r="AL73" s="586"/>
      <c r="AM73" s="586"/>
      <c r="AN73" s="586"/>
      <c r="AO73" s="586"/>
      <c r="AP73" s="586"/>
      <c r="AQ73" s="586"/>
      <c r="AR73" s="586"/>
      <c r="AS73" s="586"/>
      <c r="AT73" s="586"/>
      <c r="AU73" s="586"/>
      <c r="AV73" s="586"/>
      <c r="AW73" s="586"/>
      <c r="AX73" s="586"/>
      <c r="AY73" s="586"/>
      <c r="AZ73" s="586"/>
      <c r="BA73" s="586"/>
      <c r="BB73" s="586"/>
      <c r="BC73" s="586"/>
      <c r="BD73" s="586"/>
      <c r="BE73" s="586"/>
      <c r="BF73" s="586"/>
      <c r="BG73" s="586"/>
      <c r="BH73" s="586"/>
      <c r="BI73" s="586"/>
      <c r="BJ73" s="586"/>
      <c r="BK73" s="586"/>
      <c r="BL73" s="586"/>
      <c r="BM73" s="586"/>
      <c r="BN73" s="586"/>
      <c r="BO73" s="586"/>
      <c r="BP73" s="586"/>
      <c r="BQ73" s="586"/>
      <c r="BR73" s="586"/>
      <c r="BS73" s="586"/>
      <c r="BT73" s="586"/>
      <c r="BU73" s="586"/>
      <c r="BV73" s="586"/>
      <c r="BW73" s="586"/>
      <c r="BX73" s="586"/>
      <c r="BY73" s="586"/>
      <c r="BZ73" s="586"/>
      <c r="CA73" s="586"/>
      <c r="CB73" s="586"/>
      <c r="CC73" s="586"/>
      <c r="CD73" s="586"/>
      <c r="CE73" s="586"/>
      <c r="CF73" s="586"/>
      <c r="CG73" s="586"/>
      <c r="CH73" s="586"/>
      <c r="CI73" s="586"/>
      <c r="CJ73" s="586"/>
      <c r="CK73" s="586"/>
      <c r="CL73" s="586"/>
      <c r="CM73" s="586"/>
      <c r="CN73" s="586"/>
      <c r="CO73" s="586"/>
      <c r="CP73" s="586"/>
      <c r="CQ73" s="586"/>
      <c r="CR73" s="586"/>
      <c r="CS73" s="586"/>
      <c r="CT73" s="586"/>
      <c r="CU73" s="586"/>
      <c r="CV73" s="586"/>
      <c r="CW73" s="586"/>
      <c r="CX73" s="586"/>
      <c r="CY73" s="586"/>
      <c r="CZ73" s="586"/>
      <c r="DA73" s="586"/>
      <c r="DB73" s="586"/>
      <c r="DC73" s="586"/>
      <c r="DD73" s="586"/>
      <c r="DE73" s="586"/>
      <c r="DF73" s="586"/>
      <c r="DG73" s="586"/>
      <c r="DH73" s="586"/>
      <c r="DI73" s="586"/>
      <c r="DJ73" s="586"/>
      <c r="DK73" s="586"/>
      <c r="DL73" s="586"/>
      <c r="DM73" s="586"/>
      <c r="DN73" s="586"/>
      <c r="DO73" s="586"/>
      <c r="DP73" s="586"/>
      <c r="DQ73" s="586"/>
      <c r="DR73" s="586"/>
      <c r="DS73" s="586"/>
      <c r="DT73" s="586"/>
      <c r="DU73" s="586"/>
      <c r="DV73" s="586"/>
      <c r="DW73" s="586"/>
      <c r="DX73" s="586"/>
      <c r="DY73" s="586"/>
      <c r="DZ73" s="586"/>
      <c r="EA73" s="586"/>
      <c r="EB73" s="586"/>
      <c r="EC73" s="586"/>
      <c r="ED73" s="586"/>
      <c r="EE73" s="586"/>
      <c r="EF73" s="586"/>
      <c r="EG73" s="586"/>
      <c r="EH73" s="586"/>
      <c r="EI73" s="586"/>
      <c r="EJ73" s="586"/>
      <c r="EK73" s="586"/>
      <c r="EL73" s="586"/>
      <c r="EM73" s="586"/>
      <c r="EN73" s="586"/>
      <c r="EO73" s="586"/>
      <c r="EP73" s="586"/>
      <c r="EQ73" s="586"/>
      <c r="ER73" s="586"/>
      <c r="ES73" s="586"/>
      <c r="ET73" s="586"/>
      <c r="EU73" s="586"/>
      <c r="EV73" s="586"/>
      <c r="EW73" s="586"/>
      <c r="EX73" s="586"/>
      <c r="EY73" s="586"/>
      <c r="EZ73" s="586"/>
      <c r="FA73" s="586"/>
      <c r="FB73" s="586"/>
      <c r="FC73" s="586"/>
      <c r="FD73" s="586"/>
      <c r="FE73" s="586"/>
      <c r="FF73" s="586"/>
      <c r="FG73" s="586"/>
      <c r="FH73" s="586"/>
      <c r="FI73" s="586"/>
      <c r="FJ73" s="586"/>
      <c r="FK73" s="586"/>
      <c r="FL73" s="586"/>
      <c r="FM73" s="586"/>
      <c r="FN73" s="586"/>
      <c r="FO73" s="586"/>
      <c r="FP73" s="586"/>
      <c r="FQ73" s="586"/>
      <c r="FR73" s="586"/>
      <c r="FS73" s="586"/>
      <c r="FT73" s="586"/>
      <c r="FU73" s="586"/>
      <c r="FV73" s="586"/>
      <c r="FW73" s="586"/>
      <c r="FX73" s="586"/>
      <c r="FY73" s="586"/>
      <c r="FZ73" s="586"/>
      <c r="GA73" s="586"/>
      <c r="GB73" s="586"/>
      <c r="GC73" s="586"/>
      <c r="GD73" s="586"/>
      <c r="GE73" s="586"/>
      <c r="GF73" s="586"/>
      <c r="GG73" s="586"/>
      <c r="GH73" s="586"/>
      <c r="GI73" s="586"/>
      <c r="GJ73" s="586"/>
      <c r="GK73" s="586"/>
      <c r="GL73" s="586"/>
      <c r="GM73" s="586"/>
      <c r="GN73" s="586"/>
      <c r="GO73" s="586"/>
      <c r="GP73" s="586"/>
      <c r="GQ73" s="586"/>
      <c r="GR73" s="586"/>
      <c r="GS73" s="586"/>
      <c r="GT73" s="586"/>
      <c r="GU73" s="586"/>
      <c r="GV73" s="586"/>
      <c r="GW73" s="586"/>
      <c r="GX73" s="586"/>
      <c r="GY73" s="586"/>
      <c r="GZ73" s="586"/>
      <c r="HA73" s="586"/>
      <c r="HB73" s="586"/>
      <c r="HC73" s="586"/>
      <c r="HD73" s="586"/>
      <c r="HE73" s="586"/>
      <c r="HF73" s="586"/>
      <c r="HG73" s="586"/>
      <c r="HH73" s="586"/>
      <c r="HI73" s="586"/>
      <c r="HJ73" s="586"/>
      <c r="HK73" s="586"/>
      <c r="HL73" s="586"/>
      <c r="HM73" s="586"/>
      <c r="HN73" s="586"/>
      <c r="HO73" s="586"/>
      <c r="HP73" s="586"/>
      <c r="HQ73" s="586"/>
      <c r="HR73" s="586"/>
      <c r="HS73" s="586"/>
      <c r="HT73" s="586"/>
      <c r="HU73" s="586"/>
      <c r="HV73" s="586"/>
      <c r="HW73" s="586"/>
      <c r="HX73" s="586"/>
      <c r="HY73" s="586"/>
      <c r="HZ73" s="586"/>
      <c r="IA73" s="586"/>
      <c r="IB73" s="586"/>
      <c r="IC73" s="586"/>
      <c r="ID73" s="586"/>
      <c r="IE73" s="586"/>
      <c r="IF73" s="586"/>
      <c r="IG73" s="586"/>
      <c r="IH73" s="586"/>
      <c r="II73" s="586"/>
      <c r="IJ73" s="586"/>
      <c r="IK73" s="586"/>
      <c r="IL73" s="586"/>
      <c r="IM73" s="586"/>
      <c r="IN73" s="586"/>
      <c r="IO73" s="586"/>
      <c r="IP73" s="586"/>
      <c r="IQ73" s="586"/>
      <c r="IR73" s="586"/>
      <c r="IS73" s="586"/>
      <c r="IT73" s="586"/>
      <c r="IU73" s="586"/>
      <c r="IV73" s="586"/>
      <c r="IW73" s="586"/>
    </row>
    <row r="74" customFormat="false" ht="12.75" hidden="false" customHeight="false" outlineLevel="0" collapsed="false">
      <c r="A74" s="586"/>
      <c r="B74" s="587"/>
      <c r="AD74" s="584"/>
      <c r="AE74" s="584"/>
      <c r="AF74" s="586"/>
      <c r="AG74" s="586"/>
      <c r="AH74" s="586"/>
      <c r="AI74" s="586"/>
      <c r="AJ74" s="586"/>
      <c r="AK74" s="586"/>
      <c r="AL74" s="586"/>
      <c r="AM74" s="586"/>
      <c r="AN74" s="586"/>
      <c r="AO74" s="586"/>
      <c r="AP74" s="586"/>
      <c r="AQ74" s="586"/>
      <c r="AR74" s="586"/>
      <c r="AS74" s="586"/>
      <c r="AT74" s="586"/>
      <c r="AU74" s="586"/>
      <c r="AV74" s="586"/>
      <c r="AW74" s="586"/>
      <c r="AX74" s="586"/>
      <c r="AY74" s="586"/>
      <c r="AZ74" s="586"/>
      <c r="BA74" s="586"/>
      <c r="BB74" s="586"/>
      <c r="BC74" s="586"/>
      <c r="BD74" s="586"/>
      <c r="BE74" s="586"/>
      <c r="BF74" s="586"/>
      <c r="BG74" s="586"/>
      <c r="BH74" s="586"/>
      <c r="BI74" s="586"/>
      <c r="BJ74" s="586"/>
      <c r="BK74" s="586"/>
      <c r="BL74" s="586"/>
      <c r="BM74" s="586"/>
      <c r="BN74" s="586"/>
      <c r="BO74" s="586"/>
      <c r="BP74" s="586"/>
      <c r="BQ74" s="586"/>
      <c r="BR74" s="586"/>
      <c r="BS74" s="586"/>
      <c r="BT74" s="586"/>
      <c r="BU74" s="586"/>
      <c r="BV74" s="586"/>
      <c r="BW74" s="586"/>
      <c r="BX74" s="586"/>
      <c r="BY74" s="586"/>
      <c r="BZ74" s="586"/>
      <c r="CA74" s="586"/>
      <c r="CB74" s="586"/>
      <c r="CC74" s="586"/>
      <c r="CD74" s="586"/>
      <c r="CE74" s="586"/>
      <c r="CF74" s="586"/>
      <c r="CG74" s="586"/>
      <c r="CH74" s="586"/>
      <c r="CI74" s="586"/>
      <c r="CJ74" s="586"/>
      <c r="CK74" s="586"/>
      <c r="CL74" s="586"/>
      <c r="CM74" s="586"/>
      <c r="CN74" s="586"/>
      <c r="CO74" s="586"/>
      <c r="CP74" s="586"/>
      <c r="CQ74" s="586"/>
      <c r="CR74" s="586"/>
      <c r="CS74" s="586"/>
      <c r="CT74" s="586"/>
      <c r="CU74" s="586"/>
      <c r="CV74" s="586"/>
      <c r="CW74" s="586"/>
      <c r="CX74" s="586"/>
      <c r="CY74" s="586"/>
      <c r="CZ74" s="586"/>
      <c r="DA74" s="586"/>
      <c r="DB74" s="586"/>
      <c r="DC74" s="586"/>
      <c r="DD74" s="586"/>
      <c r="DE74" s="586"/>
      <c r="DF74" s="586"/>
      <c r="DG74" s="586"/>
      <c r="DH74" s="586"/>
      <c r="DI74" s="586"/>
      <c r="DJ74" s="586"/>
      <c r="DK74" s="586"/>
      <c r="DL74" s="586"/>
      <c r="DM74" s="586"/>
      <c r="DN74" s="586"/>
      <c r="DO74" s="586"/>
      <c r="DP74" s="586"/>
      <c r="DQ74" s="586"/>
      <c r="DR74" s="586"/>
      <c r="DS74" s="586"/>
      <c r="DT74" s="586"/>
      <c r="DU74" s="586"/>
      <c r="DV74" s="586"/>
      <c r="DW74" s="586"/>
      <c r="DX74" s="586"/>
      <c r="DY74" s="586"/>
      <c r="DZ74" s="586"/>
      <c r="EA74" s="586"/>
      <c r="EB74" s="586"/>
      <c r="EC74" s="586"/>
      <c r="ED74" s="586"/>
      <c r="EE74" s="586"/>
      <c r="EF74" s="586"/>
      <c r="EG74" s="586"/>
      <c r="EH74" s="586"/>
      <c r="EI74" s="586"/>
      <c r="EJ74" s="586"/>
      <c r="EK74" s="586"/>
      <c r="EL74" s="586"/>
      <c r="EM74" s="586"/>
      <c r="EN74" s="586"/>
      <c r="EO74" s="586"/>
      <c r="EP74" s="586"/>
      <c r="EQ74" s="586"/>
      <c r="ER74" s="586"/>
      <c r="ES74" s="586"/>
      <c r="ET74" s="586"/>
      <c r="EU74" s="586"/>
      <c r="EV74" s="586"/>
      <c r="EW74" s="586"/>
      <c r="EX74" s="586"/>
      <c r="EY74" s="586"/>
      <c r="EZ74" s="586"/>
      <c r="FA74" s="586"/>
      <c r="FB74" s="586"/>
      <c r="FC74" s="586"/>
      <c r="FD74" s="586"/>
      <c r="FE74" s="586"/>
      <c r="FF74" s="586"/>
      <c r="FG74" s="586"/>
      <c r="FH74" s="586"/>
      <c r="FI74" s="586"/>
      <c r="FJ74" s="586"/>
      <c r="FK74" s="586"/>
      <c r="FL74" s="586"/>
      <c r="FM74" s="586"/>
      <c r="FN74" s="586"/>
      <c r="FO74" s="586"/>
      <c r="FP74" s="586"/>
      <c r="FQ74" s="586"/>
      <c r="FR74" s="586"/>
      <c r="FS74" s="586"/>
      <c r="FT74" s="586"/>
      <c r="FU74" s="586"/>
      <c r="FV74" s="586"/>
      <c r="FW74" s="586"/>
      <c r="FX74" s="586"/>
      <c r="FY74" s="586"/>
      <c r="FZ74" s="586"/>
      <c r="GA74" s="586"/>
      <c r="GB74" s="586"/>
      <c r="GC74" s="586"/>
      <c r="GD74" s="586"/>
      <c r="GE74" s="586"/>
      <c r="GF74" s="586"/>
      <c r="GG74" s="586"/>
      <c r="GH74" s="586"/>
      <c r="GI74" s="586"/>
      <c r="GJ74" s="586"/>
      <c r="GK74" s="586"/>
      <c r="GL74" s="586"/>
      <c r="GM74" s="586"/>
      <c r="GN74" s="586"/>
      <c r="GO74" s="586"/>
      <c r="GP74" s="586"/>
      <c r="GQ74" s="586"/>
      <c r="GR74" s="586"/>
      <c r="GS74" s="586"/>
      <c r="GT74" s="586"/>
      <c r="GU74" s="586"/>
      <c r="GV74" s="586"/>
      <c r="GW74" s="586"/>
      <c r="GX74" s="586"/>
      <c r="GY74" s="586"/>
      <c r="GZ74" s="586"/>
      <c r="HA74" s="586"/>
      <c r="HB74" s="586"/>
      <c r="HC74" s="586"/>
      <c r="HD74" s="586"/>
      <c r="HE74" s="586"/>
      <c r="HF74" s="586"/>
      <c r="HG74" s="586"/>
      <c r="HH74" s="586"/>
      <c r="HI74" s="586"/>
      <c r="HJ74" s="586"/>
      <c r="HK74" s="586"/>
      <c r="HL74" s="586"/>
      <c r="HM74" s="586"/>
      <c r="HN74" s="586"/>
      <c r="HO74" s="586"/>
      <c r="HP74" s="586"/>
      <c r="HQ74" s="586"/>
      <c r="HR74" s="586"/>
      <c r="HS74" s="586"/>
      <c r="HT74" s="586"/>
      <c r="HU74" s="586"/>
      <c r="HV74" s="586"/>
      <c r="HW74" s="586"/>
      <c r="HX74" s="586"/>
      <c r="HY74" s="586"/>
      <c r="HZ74" s="586"/>
      <c r="IA74" s="586"/>
      <c r="IB74" s="586"/>
      <c r="IC74" s="586"/>
      <c r="ID74" s="586"/>
      <c r="IE74" s="586"/>
      <c r="IF74" s="586"/>
      <c r="IG74" s="586"/>
      <c r="IH74" s="586"/>
      <c r="II74" s="586"/>
      <c r="IJ74" s="586"/>
      <c r="IK74" s="586"/>
      <c r="IL74" s="586"/>
      <c r="IM74" s="586"/>
      <c r="IN74" s="586"/>
      <c r="IO74" s="586"/>
      <c r="IP74" s="586"/>
      <c r="IQ74" s="586"/>
      <c r="IR74" s="586"/>
      <c r="IS74" s="586"/>
      <c r="IT74" s="586"/>
      <c r="IU74" s="586"/>
      <c r="IV74" s="586"/>
      <c r="IW74" s="586"/>
    </row>
    <row r="75" customFormat="false" ht="12.75" hidden="false" customHeight="false" outlineLevel="0" collapsed="false">
      <c r="A75" s="590" t="s">
        <v>424</v>
      </c>
      <c r="B75" s="598" t="n">
        <f aca="false">B54</f>
        <v>724911.369049307</v>
      </c>
      <c r="C75" s="599"/>
      <c r="D75" s="599"/>
      <c r="E75" s="599"/>
      <c r="F75" s="599"/>
      <c r="G75" s="598" t="n">
        <f aca="false">G72*$B$75</f>
        <v>0</v>
      </c>
      <c r="H75" s="598" t="n">
        <f aca="false">H72*$B$75</f>
        <v>11596.3118837297</v>
      </c>
      <c r="I75" s="598" t="n">
        <f aca="false">I72*$B$75</f>
        <v>21747.3410714792</v>
      </c>
      <c r="J75" s="598" t="n">
        <f aca="false">J72*$B$75</f>
        <v>21747.3410714792</v>
      </c>
      <c r="K75" s="598" t="n">
        <f aca="false">K72*$B$75</f>
        <v>21747.3410714792</v>
      </c>
      <c r="L75" s="598" t="n">
        <f aca="false">L72*$B$75</f>
        <v>21747.3410714792</v>
      </c>
      <c r="M75" s="598" t="n">
        <f aca="false">M72*$B$75</f>
        <v>21747.3410714792</v>
      </c>
      <c r="N75" s="598" t="n">
        <f aca="false">N72*$B$75</f>
        <v>21747.3410714792</v>
      </c>
      <c r="O75" s="598" t="n">
        <f aca="false">O72*$B$75</f>
        <v>21747.3410714792</v>
      </c>
      <c r="P75" s="598" t="n">
        <f aca="false">P72*$B$75</f>
        <v>21747.3410714792</v>
      </c>
      <c r="Q75" s="598" t="n">
        <f aca="false">Q72*$B$75</f>
        <v>21747.3410714792</v>
      </c>
      <c r="R75" s="598" t="n">
        <f aca="false">R72*$B$75</f>
        <v>21747.3410714792</v>
      </c>
      <c r="S75" s="598" t="n">
        <f aca="false">S72*$B$75</f>
        <v>21747.3410714792</v>
      </c>
      <c r="T75" s="598" t="n">
        <f aca="false">T72*$B$75</f>
        <v>21747.3410714792</v>
      </c>
      <c r="U75" s="598" t="n">
        <f aca="false">U72*$B$75</f>
        <v>21747.3410714792</v>
      </c>
      <c r="V75" s="598" t="n">
        <f aca="false">V72*$B$75</f>
        <v>21747.3410714792</v>
      </c>
      <c r="W75" s="598" t="n">
        <f aca="false">W72*$B$75</f>
        <v>21747.3410714792</v>
      </c>
      <c r="X75" s="598" t="n">
        <f aca="false">X72*$B$75</f>
        <v>21747.3410714792</v>
      </c>
      <c r="Y75" s="598" t="n">
        <f aca="false">Y72*$B$75</f>
        <v>21747.3410714792</v>
      </c>
      <c r="Z75" s="598" t="n">
        <f aca="false">Z72*$B$75</f>
        <v>21747.3410714792</v>
      </c>
      <c r="AA75" s="598" t="n">
        <f aca="false">AA72*$B$75</f>
        <v>21747.3410714792</v>
      </c>
      <c r="AB75" s="598" t="n">
        <f aca="false">AB72*$B$75</f>
        <v>21747.3410714792</v>
      </c>
      <c r="AC75" s="598" t="n">
        <f aca="false">AC72*$B$75</f>
        <v>21747.3410714792</v>
      </c>
      <c r="AD75" s="584"/>
      <c r="AE75" s="584"/>
      <c r="AF75" s="586"/>
      <c r="AG75" s="586"/>
      <c r="AH75" s="586"/>
      <c r="AI75" s="586"/>
      <c r="AJ75" s="586"/>
      <c r="AK75" s="586"/>
      <c r="AL75" s="586"/>
      <c r="AM75" s="586"/>
      <c r="AN75" s="586"/>
      <c r="AO75" s="586"/>
      <c r="AP75" s="586"/>
      <c r="AQ75" s="586"/>
      <c r="AR75" s="586"/>
      <c r="AS75" s="586"/>
      <c r="AT75" s="586"/>
      <c r="AU75" s="586"/>
      <c r="AV75" s="586"/>
      <c r="AW75" s="586"/>
      <c r="AX75" s="586"/>
      <c r="AY75" s="586"/>
      <c r="AZ75" s="586"/>
      <c r="BA75" s="586"/>
      <c r="BB75" s="586"/>
      <c r="BC75" s="586"/>
      <c r="BD75" s="586"/>
      <c r="BE75" s="586"/>
      <c r="BF75" s="586"/>
      <c r="BG75" s="586"/>
      <c r="BH75" s="586"/>
      <c r="BI75" s="586"/>
      <c r="BJ75" s="586"/>
      <c r="BK75" s="586"/>
      <c r="BL75" s="586"/>
      <c r="BM75" s="586"/>
      <c r="BN75" s="586"/>
      <c r="BO75" s="586"/>
      <c r="BP75" s="586"/>
      <c r="BQ75" s="586"/>
      <c r="BR75" s="586"/>
      <c r="BS75" s="586"/>
      <c r="BT75" s="586"/>
      <c r="BU75" s="586"/>
      <c r="BV75" s="586"/>
      <c r="BW75" s="586"/>
      <c r="BX75" s="586"/>
      <c r="BY75" s="586"/>
      <c r="BZ75" s="586"/>
      <c r="CA75" s="586"/>
      <c r="CB75" s="586"/>
      <c r="CC75" s="586"/>
      <c r="CD75" s="586"/>
      <c r="CE75" s="586"/>
      <c r="CF75" s="586"/>
      <c r="CG75" s="586"/>
      <c r="CH75" s="586"/>
      <c r="CI75" s="586"/>
      <c r="CJ75" s="586"/>
      <c r="CK75" s="586"/>
      <c r="CL75" s="586"/>
      <c r="CM75" s="586"/>
      <c r="CN75" s="586"/>
      <c r="CO75" s="586"/>
      <c r="CP75" s="586"/>
      <c r="CQ75" s="586"/>
      <c r="CR75" s="586"/>
      <c r="CS75" s="586"/>
      <c r="CT75" s="586"/>
      <c r="CU75" s="586"/>
      <c r="CV75" s="586"/>
      <c r="CW75" s="586"/>
      <c r="CX75" s="586"/>
      <c r="CY75" s="586"/>
      <c r="CZ75" s="586"/>
      <c r="DA75" s="586"/>
      <c r="DB75" s="586"/>
      <c r="DC75" s="586"/>
      <c r="DD75" s="586"/>
      <c r="DE75" s="586"/>
      <c r="DF75" s="586"/>
      <c r="DG75" s="586"/>
      <c r="DH75" s="586"/>
      <c r="DI75" s="586"/>
      <c r="DJ75" s="586"/>
      <c r="DK75" s="586"/>
      <c r="DL75" s="586"/>
      <c r="DM75" s="586"/>
      <c r="DN75" s="586"/>
      <c r="DO75" s="586"/>
      <c r="DP75" s="586"/>
      <c r="DQ75" s="586"/>
      <c r="DR75" s="586"/>
      <c r="DS75" s="586"/>
      <c r="DT75" s="586"/>
      <c r="DU75" s="586"/>
      <c r="DV75" s="586"/>
      <c r="DW75" s="586"/>
      <c r="DX75" s="586"/>
      <c r="DY75" s="586"/>
      <c r="DZ75" s="586"/>
      <c r="EA75" s="586"/>
      <c r="EB75" s="586"/>
      <c r="EC75" s="586"/>
      <c r="ED75" s="586"/>
      <c r="EE75" s="586"/>
      <c r="EF75" s="586"/>
      <c r="EG75" s="586"/>
      <c r="EH75" s="586"/>
      <c r="EI75" s="586"/>
      <c r="EJ75" s="586"/>
      <c r="EK75" s="586"/>
      <c r="EL75" s="586"/>
      <c r="EM75" s="586"/>
      <c r="EN75" s="586"/>
      <c r="EO75" s="586"/>
      <c r="EP75" s="586"/>
      <c r="EQ75" s="586"/>
      <c r="ER75" s="586"/>
      <c r="ES75" s="586"/>
      <c r="ET75" s="586"/>
      <c r="EU75" s="586"/>
      <c r="EV75" s="586"/>
      <c r="EW75" s="586"/>
      <c r="EX75" s="586"/>
      <c r="EY75" s="586"/>
      <c r="EZ75" s="586"/>
      <c r="FA75" s="586"/>
      <c r="FB75" s="586"/>
      <c r="FC75" s="586"/>
      <c r="FD75" s="586"/>
      <c r="FE75" s="586"/>
      <c r="FF75" s="586"/>
      <c r="FG75" s="586"/>
      <c r="FH75" s="586"/>
      <c r="FI75" s="586"/>
      <c r="FJ75" s="586"/>
      <c r="FK75" s="586"/>
      <c r="FL75" s="586"/>
      <c r="FM75" s="586"/>
      <c r="FN75" s="586"/>
      <c r="FO75" s="586"/>
      <c r="FP75" s="586"/>
      <c r="FQ75" s="586"/>
      <c r="FR75" s="586"/>
      <c r="FS75" s="586"/>
      <c r="FT75" s="586"/>
      <c r="FU75" s="586"/>
      <c r="FV75" s="586"/>
      <c r="FW75" s="586"/>
      <c r="FX75" s="586"/>
      <c r="FY75" s="586"/>
      <c r="FZ75" s="586"/>
      <c r="GA75" s="586"/>
      <c r="GB75" s="586"/>
      <c r="GC75" s="586"/>
      <c r="GD75" s="586"/>
      <c r="GE75" s="586"/>
      <c r="GF75" s="586"/>
      <c r="GG75" s="586"/>
      <c r="GH75" s="586"/>
      <c r="GI75" s="586"/>
      <c r="GJ75" s="586"/>
      <c r="GK75" s="586"/>
      <c r="GL75" s="586"/>
      <c r="GM75" s="586"/>
      <c r="GN75" s="586"/>
      <c r="GO75" s="586"/>
      <c r="GP75" s="586"/>
      <c r="GQ75" s="586"/>
      <c r="GR75" s="586"/>
      <c r="GS75" s="586"/>
      <c r="GT75" s="586"/>
      <c r="GU75" s="586"/>
      <c r="GV75" s="586"/>
      <c r="GW75" s="586"/>
      <c r="GX75" s="586"/>
      <c r="GY75" s="586"/>
      <c r="GZ75" s="586"/>
      <c r="HA75" s="586"/>
      <c r="HB75" s="586"/>
      <c r="HC75" s="586"/>
      <c r="HD75" s="586"/>
      <c r="HE75" s="586"/>
      <c r="HF75" s="586"/>
      <c r="HG75" s="586"/>
      <c r="HH75" s="586"/>
      <c r="HI75" s="586"/>
      <c r="HJ75" s="586"/>
      <c r="HK75" s="586"/>
      <c r="HL75" s="586"/>
      <c r="HM75" s="586"/>
      <c r="HN75" s="586"/>
      <c r="HO75" s="586"/>
      <c r="HP75" s="586"/>
      <c r="HQ75" s="586"/>
      <c r="HR75" s="586"/>
      <c r="HS75" s="586"/>
      <c r="HT75" s="586"/>
      <c r="HU75" s="586"/>
      <c r="HV75" s="586"/>
      <c r="HW75" s="586"/>
      <c r="HX75" s="586"/>
      <c r="HY75" s="586"/>
      <c r="HZ75" s="586"/>
      <c r="IA75" s="586"/>
      <c r="IB75" s="586"/>
      <c r="IC75" s="586"/>
      <c r="ID75" s="586"/>
      <c r="IE75" s="586"/>
      <c r="IF75" s="586"/>
      <c r="IG75" s="586"/>
      <c r="IH75" s="586"/>
      <c r="II75" s="586"/>
      <c r="IJ75" s="586"/>
      <c r="IK75" s="586"/>
      <c r="IL75" s="586"/>
      <c r="IM75" s="586"/>
      <c r="IN75" s="586"/>
      <c r="IO75" s="586"/>
      <c r="IP75" s="586"/>
      <c r="IQ75" s="586"/>
      <c r="IR75" s="586"/>
      <c r="IS75" s="586"/>
      <c r="IT75" s="586"/>
      <c r="IU75" s="586"/>
      <c r="IV75" s="586"/>
      <c r="IW75" s="586"/>
    </row>
    <row r="76" customFormat="false" ht="15" hidden="false" customHeight="false" outlineLevel="0" collapsed="false">
      <c r="A76" s="593" t="s">
        <v>417</v>
      </c>
      <c r="B76" s="601" t="n">
        <f aca="false">B55</f>
        <v>11700</v>
      </c>
      <c r="C76" s="599"/>
      <c r="D76" s="599"/>
      <c r="E76" s="599"/>
      <c r="F76" s="599"/>
      <c r="G76" s="601" t="n">
        <f aca="false">G73*$B$76</f>
        <v>0</v>
      </c>
      <c r="H76" s="601" t="n">
        <f aca="false">H73*$B$76</f>
        <v>585</v>
      </c>
      <c r="I76" s="601" t="n">
        <f aca="false">I73*$B$76</f>
        <v>585</v>
      </c>
      <c r="J76" s="601" t="n">
        <f aca="false">J73*$B$76</f>
        <v>585</v>
      </c>
      <c r="K76" s="601" t="n">
        <f aca="false">K73*$B$76</f>
        <v>585</v>
      </c>
      <c r="L76" s="601" t="n">
        <f aca="false">L73*$B$76</f>
        <v>585</v>
      </c>
      <c r="M76" s="601" t="n">
        <f aca="false">M73*$B$76</f>
        <v>585</v>
      </c>
      <c r="N76" s="601" t="n">
        <f aca="false">N73*$B$76</f>
        <v>585</v>
      </c>
      <c r="O76" s="601" t="n">
        <f aca="false">O73*$B$76</f>
        <v>585</v>
      </c>
      <c r="P76" s="601" t="n">
        <f aca="false">P73*$B$76</f>
        <v>585</v>
      </c>
      <c r="Q76" s="601" t="n">
        <f aca="false">Q73*$B$76</f>
        <v>585</v>
      </c>
      <c r="R76" s="601" t="n">
        <f aca="false">R73*$B$76</f>
        <v>585</v>
      </c>
      <c r="S76" s="601" t="n">
        <f aca="false">S73*$B$76</f>
        <v>585</v>
      </c>
      <c r="T76" s="601" t="n">
        <f aca="false">T73*$B$76</f>
        <v>585</v>
      </c>
      <c r="U76" s="601" t="n">
        <f aca="false">U73*$B$76</f>
        <v>585</v>
      </c>
      <c r="V76" s="601" t="n">
        <f aca="false">V73*$B$76</f>
        <v>585</v>
      </c>
      <c r="W76" s="601" t="n">
        <f aca="false">W73*$B$76</f>
        <v>585</v>
      </c>
      <c r="X76" s="601" t="n">
        <f aca="false">X73*$B$76</f>
        <v>585</v>
      </c>
      <c r="Y76" s="601" t="n">
        <f aca="false">Y73*$B$76</f>
        <v>585</v>
      </c>
      <c r="Z76" s="601" t="n">
        <f aca="false">Z73*$B$76</f>
        <v>585</v>
      </c>
      <c r="AA76" s="601" t="n">
        <f aca="false">AA73*$B$76</f>
        <v>585</v>
      </c>
      <c r="AB76" s="601" t="n">
        <f aca="false">AB73*$B$76</f>
        <v>0</v>
      </c>
      <c r="AC76" s="601" t="n">
        <f aca="false">AC73*$B$76</f>
        <v>0</v>
      </c>
      <c r="AD76" s="584"/>
      <c r="AE76" s="584"/>
      <c r="AF76" s="586"/>
      <c r="AG76" s="586"/>
      <c r="AH76" s="586"/>
      <c r="AI76" s="586"/>
      <c r="AJ76" s="586"/>
      <c r="AK76" s="586"/>
      <c r="AL76" s="586"/>
      <c r="AM76" s="586"/>
      <c r="AN76" s="586"/>
      <c r="AO76" s="586"/>
      <c r="AP76" s="586"/>
      <c r="AQ76" s="586"/>
      <c r="AR76" s="586"/>
      <c r="AS76" s="586"/>
      <c r="AT76" s="586"/>
      <c r="AU76" s="586"/>
      <c r="AV76" s="586"/>
      <c r="AW76" s="586"/>
      <c r="AX76" s="586"/>
      <c r="AY76" s="586"/>
      <c r="AZ76" s="586"/>
      <c r="BA76" s="586"/>
      <c r="BB76" s="586"/>
      <c r="BC76" s="586"/>
      <c r="BD76" s="586"/>
      <c r="BE76" s="586"/>
      <c r="BF76" s="586"/>
      <c r="BG76" s="586"/>
      <c r="BH76" s="586"/>
      <c r="BI76" s="586"/>
      <c r="BJ76" s="586"/>
      <c r="BK76" s="586"/>
      <c r="BL76" s="586"/>
      <c r="BM76" s="586"/>
      <c r="BN76" s="586"/>
      <c r="BO76" s="586"/>
      <c r="BP76" s="586"/>
      <c r="BQ76" s="586"/>
      <c r="BR76" s="586"/>
      <c r="BS76" s="586"/>
      <c r="BT76" s="586"/>
      <c r="BU76" s="586"/>
      <c r="BV76" s="586"/>
      <c r="BW76" s="586"/>
      <c r="BX76" s="586"/>
      <c r="BY76" s="586"/>
      <c r="BZ76" s="586"/>
      <c r="CA76" s="586"/>
      <c r="CB76" s="586"/>
      <c r="CC76" s="586"/>
      <c r="CD76" s="586"/>
      <c r="CE76" s="586"/>
      <c r="CF76" s="586"/>
      <c r="CG76" s="586"/>
      <c r="CH76" s="586"/>
      <c r="CI76" s="586"/>
      <c r="CJ76" s="586"/>
      <c r="CK76" s="586"/>
      <c r="CL76" s="586"/>
      <c r="CM76" s="586"/>
      <c r="CN76" s="586"/>
      <c r="CO76" s="586"/>
      <c r="CP76" s="586"/>
      <c r="CQ76" s="586"/>
      <c r="CR76" s="586"/>
      <c r="CS76" s="586"/>
      <c r="CT76" s="586"/>
      <c r="CU76" s="586"/>
      <c r="CV76" s="586"/>
      <c r="CW76" s="586"/>
      <c r="CX76" s="586"/>
      <c r="CY76" s="586"/>
      <c r="CZ76" s="586"/>
      <c r="DA76" s="586"/>
      <c r="DB76" s="586"/>
      <c r="DC76" s="586"/>
      <c r="DD76" s="586"/>
      <c r="DE76" s="586"/>
      <c r="DF76" s="586"/>
      <c r="DG76" s="586"/>
      <c r="DH76" s="586"/>
      <c r="DI76" s="586"/>
      <c r="DJ76" s="586"/>
      <c r="DK76" s="586"/>
      <c r="DL76" s="586"/>
      <c r="DM76" s="586"/>
      <c r="DN76" s="586"/>
      <c r="DO76" s="586"/>
      <c r="DP76" s="586"/>
      <c r="DQ76" s="586"/>
      <c r="DR76" s="586"/>
      <c r="DS76" s="586"/>
      <c r="DT76" s="586"/>
      <c r="DU76" s="586"/>
      <c r="DV76" s="586"/>
      <c r="DW76" s="586"/>
      <c r="DX76" s="586"/>
      <c r="DY76" s="586"/>
      <c r="DZ76" s="586"/>
      <c r="EA76" s="586"/>
      <c r="EB76" s="586"/>
      <c r="EC76" s="586"/>
      <c r="ED76" s="586"/>
      <c r="EE76" s="586"/>
      <c r="EF76" s="586"/>
      <c r="EG76" s="586"/>
      <c r="EH76" s="586"/>
      <c r="EI76" s="586"/>
      <c r="EJ76" s="586"/>
      <c r="EK76" s="586"/>
      <c r="EL76" s="586"/>
      <c r="EM76" s="586"/>
      <c r="EN76" s="586"/>
      <c r="EO76" s="586"/>
      <c r="EP76" s="586"/>
      <c r="EQ76" s="586"/>
      <c r="ER76" s="586"/>
      <c r="ES76" s="586"/>
      <c r="ET76" s="586"/>
      <c r="EU76" s="586"/>
      <c r="EV76" s="586"/>
      <c r="EW76" s="586"/>
      <c r="EX76" s="586"/>
      <c r="EY76" s="586"/>
      <c r="EZ76" s="586"/>
      <c r="FA76" s="586"/>
      <c r="FB76" s="586"/>
      <c r="FC76" s="586"/>
      <c r="FD76" s="586"/>
      <c r="FE76" s="586"/>
      <c r="FF76" s="586"/>
      <c r="FG76" s="586"/>
      <c r="FH76" s="586"/>
      <c r="FI76" s="586"/>
      <c r="FJ76" s="586"/>
      <c r="FK76" s="586"/>
      <c r="FL76" s="586"/>
      <c r="FM76" s="586"/>
      <c r="FN76" s="586"/>
      <c r="FO76" s="586"/>
      <c r="FP76" s="586"/>
      <c r="FQ76" s="586"/>
      <c r="FR76" s="586"/>
      <c r="FS76" s="586"/>
      <c r="FT76" s="586"/>
      <c r="FU76" s="586"/>
      <c r="FV76" s="586"/>
      <c r="FW76" s="586"/>
      <c r="FX76" s="586"/>
      <c r="FY76" s="586"/>
      <c r="FZ76" s="586"/>
      <c r="GA76" s="586"/>
      <c r="GB76" s="586"/>
      <c r="GC76" s="586"/>
      <c r="GD76" s="586"/>
      <c r="GE76" s="586"/>
      <c r="GF76" s="586"/>
      <c r="GG76" s="586"/>
      <c r="GH76" s="586"/>
      <c r="GI76" s="586"/>
      <c r="GJ76" s="586"/>
      <c r="GK76" s="586"/>
      <c r="GL76" s="586"/>
      <c r="GM76" s="586"/>
      <c r="GN76" s="586"/>
      <c r="GO76" s="586"/>
      <c r="GP76" s="586"/>
      <c r="GQ76" s="586"/>
      <c r="GR76" s="586"/>
      <c r="GS76" s="586"/>
      <c r="GT76" s="586"/>
      <c r="GU76" s="586"/>
      <c r="GV76" s="586"/>
      <c r="GW76" s="586"/>
      <c r="GX76" s="586"/>
      <c r="GY76" s="586"/>
      <c r="GZ76" s="586"/>
      <c r="HA76" s="586"/>
      <c r="HB76" s="586"/>
      <c r="HC76" s="586"/>
      <c r="HD76" s="586"/>
      <c r="HE76" s="586"/>
      <c r="HF76" s="586"/>
      <c r="HG76" s="586"/>
      <c r="HH76" s="586"/>
      <c r="HI76" s="586"/>
      <c r="HJ76" s="586"/>
      <c r="HK76" s="586"/>
      <c r="HL76" s="586"/>
      <c r="HM76" s="586"/>
      <c r="HN76" s="586"/>
      <c r="HO76" s="586"/>
      <c r="HP76" s="586"/>
      <c r="HQ76" s="586"/>
      <c r="HR76" s="586"/>
      <c r="HS76" s="586"/>
      <c r="HT76" s="586"/>
      <c r="HU76" s="586"/>
      <c r="HV76" s="586"/>
      <c r="HW76" s="586"/>
      <c r="HX76" s="586"/>
      <c r="HY76" s="586"/>
      <c r="HZ76" s="586"/>
      <c r="IA76" s="586"/>
      <c r="IB76" s="586"/>
      <c r="IC76" s="586"/>
      <c r="ID76" s="586"/>
      <c r="IE76" s="586"/>
      <c r="IF76" s="586"/>
      <c r="IG76" s="586"/>
      <c r="IH76" s="586"/>
      <c r="II76" s="586"/>
      <c r="IJ76" s="586"/>
      <c r="IK76" s="586"/>
      <c r="IL76" s="586"/>
      <c r="IM76" s="586"/>
      <c r="IN76" s="586"/>
      <c r="IO76" s="586"/>
      <c r="IP76" s="586"/>
      <c r="IQ76" s="586"/>
      <c r="IR76" s="586"/>
      <c r="IS76" s="586"/>
      <c r="IT76" s="586"/>
      <c r="IU76" s="586"/>
      <c r="IV76" s="586"/>
      <c r="IW76" s="586"/>
    </row>
    <row r="77" customFormat="false" ht="12.75" hidden="false" customHeight="false" outlineLevel="0" collapsed="false">
      <c r="A77" s="603" t="s">
        <v>419</v>
      </c>
      <c r="B77" s="598" t="n">
        <f aca="false">SUM(B75:B76)</f>
        <v>736611.369049307</v>
      </c>
      <c r="C77" s="599"/>
      <c r="D77" s="599"/>
      <c r="E77" s="599"/>
      <c r="F77" s="599"/>
      <c r="G77" s="598" t="n">
        <f aca="false">SUM(G75:G76)</f>
        <v>0</v>
      </c>
      <c r="H77" s="598" t="n">
        <f aca="false">SUM(H75:H76)</f>
        <v>12181.3118837297</v>
      </c>
      <c r="I77" s="598" t="n">
        <f aca="false">SUM(I75:I76)</f>
        <v>22332.3410714792</v>
      </c>
      <c r="J77" s="598" t="n">
        <f aca="false">SUM(J75:J76)</f>
        <v>22332.3410714792</v>
      </c>
      <c r="K77" s="598" t="n">
        <f aca="false">SUM(K75:K76)</f>
        <v>22332.3410714792</v>
      </c>
      <c r="L77" s="598" t="n">
        <f aca="false">SUM(L75:L76)</f>
        <v>22332.3410714792</v>
      </c>
      <c r="M77" s="598" t="n">
        <f aca="false">SUM(M75:M76)</f>
        <v>22332.3410714792</v>
      </c>
      <c r="N77" s="598" t="n">
        <f aca="false">SUM(N75:N76)</f>
        <v>22332.3410714792</v>
      </c>
      <c r="O77" s="598" t="n">
        <f aca="false">SUM(O75:O76)</f>
        <v>22332.3410714792</v>
      </c>
      <c r="P77" s="598" t="n">
        <f aca="false">SUM(P75:P76)</f>
        <v>22332.3410714792</v>
      </c>
      <c r="Q77" s="598" t="n">
        <f aca="false">SUM(Q75:Q76)</f>
        <v>22332.3410714792</v>
      </c>
      <c r="R77" s="598" t="n">
        <f aca="false">SUM(R75:R76)</f>
        <v>22332.3410714792</v>
      </c>
      <c r="S77" s="598" t="n">
        <f aca="false">SUM(S75:S76)</f>
        <v>22332.3410714792</v>
      </c>
      <c r="T77" s="598" t="n">
        <f aca="false">SUM(T75:T76)</f>
        <v>22332.3410714792</v>
      </c>
      <c r="U77" s="598" t="n">
        <f aca="false">SUM(U75:U76)</f>
        <v>22332.3410714792</v>
      </c>
      <c r="V77" s="598" t="n">
        <f aca="false">SUM(V75:V76)</f>
        <v>22332.3410714792</v>
      </c>
      <c r="W77" s="598" t="n">
        <f aca="false">SUM(W75:W76)</f>
        <v>22332.3410714792</v>
      </c>
      <c r="X77" s="598" t="n">
        <f aca="false">SUM(X75:X76)</f>
        <v>22332.3410714792</v>
      </c>
      <c r="Y77" s="598" t="n">
        <f aca="false">SUM(Y75:Y76)</f>
        <v>22332.3410714792</v>
      </c>
      <c r="Z77" s="598" t="n">
        <f aca="false">SUM(Z75:Z76)</f>
        <v>22332.3410714792</v>
      </c>
      <c r="AA77" s="598" t="n">
        <f aca="false">SUM(AA75:AA76)</f>
        <v>22332.3410714792</v>
      </c>
      <c r="AB77" s="598" t="n">
        <f aca="false">SUM(AB75:AB76)</f>
        <v>21747.3410714792</v>
      </c>
      <c r="AC77" s="598" t="n">
        <f aca="false">SUM(AC75:AC76)</f>
        <v>21747.3410714792</v>
      </c>
      <c r="AD77" s="584"/>
      <c r="AE77" s="584"/>
      <c r="AF77" s="586"/>
      <c r="AG77" s="586"/>
      <c r="AH77" s="586"/>
      <c r="AI77" s="586"/>
      <c r="AJ77" s="586"/>
      <c r="AK77" s="586"/>
      <c r="AL77" s="586"/>
      <c r="AM77" s="586"/>
      <c r="AN77" s="586"/>
      <c r="AO77" s="586"/>
      <c r="AP77" s="586"/>
      <c r="AQ77" s="586"/>
      <c r="AR77" s="586"/>
      <c r="AS77" s="586"/>
      <c r="AT77" s="586"/>
      <c r="AU77" s="586"/>
      <c r="AV77" s="586"/>
      <c r="AW77" s="586"/>
      <c r="AX77" s="586"/>
      <c r="AY77" s="586"/>
      <c r="AZ77" s="586"/>
      <c r="BA77" s="586"/>
      <c r="BB77" s="586"/>
      <c r="BC77" s="586"/>
      <c r="BD77" s="586"/>
      <c r="BE77" s="586"/>
      <c r="BF77" s="586"/>
      <c r="BG77" s="586"/>
      <c r="BH77" s="586"/>
      <c r="BI77" s="586"/>
      <c r="BJ77" s="586"/>
      <c r="BK77" s="586"/>
      <c r="BL77" s="586"/>
      <c r="BM77" s="586"/>
      <c r="BN77" s="586"/>
      <c r="BO77" s="586"/>
      <c r="BP77" s="586"/>
      <c r="BQ77" s="586"/>
      <c r="BR77" s="586"/>
      <c r="BS77" s="586"/>
      <c r="BT77" s="586"/>
      <c r="BU77" s="586"/>
      <c r="BV77" s="586"/>
      <c r="BW77" s="586"/>
      <c r="BX77" s="586"/>
      <c r="BY77" s="586"/>
      <c r="BZ77" s="586"/>
      <c r="CA77" s="586"/>
      <c r="CB77" s="586"/>
      <c r="CC77" s="586"/>
      <c r="CD77" s="586"/>
      <c r="CE77" s="586"/>
      <c r="CF77" s="586"/>
      <c r="CG77" s="586"/>
      <c r="CH77" s="586"/>
      <c r="CI77" s="586"/>
      <c r="CJ77" s="586"/>
      <c r="CK77" s="586"/>
      <c r="CL77" s="586"/>
      <c r="CM77" s="586"/>
      <c r="CN77" s="586"/>
      <c r="CO77" s="586"/>
      <c r="CP77" s="586"/>
      <c r="CQ77" s="586"/>
      <c r="CR77" s="586"/>
      <c r="CS77" s="586"/>
      <c r="CT77" s="586"/>
      <c r="CU77" s="586"/>
      <c r="CV77" s="586"/>
      <c r="CW77" s="586"/>
      <c r="CX77" s="586"/>
      <c r="CY77" s="586"/>
      <c r="CZ77" s="586"/>
      <c r="DA77" s="586"/>
      <c r="DB77" s="586"/>
      <c r="DC77" s="586"/>
      <c r="DD77" s="586"/>
      <c r="DE77" s="586"/>
      <c r="DF77" s="586"/>
      <c r="DG77" s="586"/>
      <c r="DH77" s="586"/>
      <c r="DI77" s="586"/>
      <c r="DJ77" s="586"/>
      <c r="DK77" s="586"/>
      <c r="DL77" s="586"/>
      <c r="DM77" s="586"/>
      <c r="DN77" s="586"/>
      <c r="DO77" s="586"/>
      <c r="DP77" s="586"/>
      <c r="DQ77" s="586"/>
      <c r="DR77" s="586"/>
      <c r="DS77" s="586"/>
      <c r="DT77" s="586"/>
      <c r="DU77" s="586"/>
      <c r="DV77" s="586"/>
      <c r="DW77" s="586"/>
      <c r="DX77" s="586"/>
      <c r="DY77" s="586"/>
      <c r="DZ77" s="586"/>
      <c r="EA77" s="586"/>
      <c r="EB77" s="586"/>
      <c r="EC77" s="586"/>
      <c r="ED77" s="586"/>
      <c r="EE77" s="586"/>
      <c r="EF77" s="586"/>
      <c r="EG77" s="586"/>
      <c r="EH77" s="586"/>
      <c r="EI77" s="586"/>
      <c r="EJ77" s="586"/>
      <c r="EK77" s="586"/>
      <c r="EL77" s="586"/>
      <c r="EM77" s="586"/>
      <c r="EN77" s="586"/>
      <c r="EO77" s="586"/>
      <c r="EP77" s="586"/>
      <c r="EQ77" s="586"/>
      <c r="ER77" s="586"/>
      <c r="ES77" s="586"/>
      <c r="ET77" s="586"/>
      <c r="EU77" s="586"/>
      <c r="EV77" s="586"/>
      <c r="EW77" s="586"/>
      <c r="EX77" s="586"/>
      <c r="EY77" s="586"/>
      <c r="EZ77" s="586"/>
      <c r="FA77" s="586"/>
      <c r="FB77" s="586"/>
      <c r="FC77" s="586"/>
      <c r="FD77" s="586"/>
      <c r="FE77" s="586"/>
      <c r="FF77" s="586"/>
      <c r="FG77" s="586"/>
      <c r="FH77" s="586"/>
      <c r="FI77" s="586"/>
      <c r="FJ77" s="586"/>
      <c r="FK77" s="586"/>
      <c r="FL77" s="586"/>
      <c r="FM77" s="586"/>
      <c r="FN77" s="586"/>
      <c r="FO77" s="586"/>
      <c r="FP77" s="586"/>
      <c r="FQ77" s="586"/>
      <c r="FR77" s="586"/>
      <c r="FS77" s="586"/>
      <c r="FT77" s="586"/>
      <c r="FU77" s="586"/>
      <c r="FV77" s="586"/>
      <c r="FW77" s="586"/>
      <c r="FX77" s="586"/>
      <c r="FY77" s="586"/>
      <c r="FZ77" s="586"/>
      <c r="GA77" s="586"/>
      <c r="GB77" s="586"/>
      <c r="GC77" s="586"/>
      <c r="GD77" s="586"/>
      <c r="GE77" s="586"/>
      <c r="GF77" s="586"/>
      <c r="GG77" s="586"/>
      <c r="GH77" s="586"/>
      <c r="GI77" s="586"/>
      <c r="GJ77" s="586"/>
      <c r="GK77" s="586"/>
      <c r="GL77" s="586"/>
      <c r="GM77" s="586"/>
      <c r="GN77" s="586"/>
      <c r="GO77" s="586"/>
      <c r="GP77" s="586"/>
      <c r="GQ77" s="586"/>
      <c r="GR77" s="586"/>
      <c r="GS77" s="586"/>
      <c r="GT77" s="586"/>
      <c r="GU77" s="586"/>
      <c r="GV77" s="586"/>
      <c r="GW77" s="586"/>
      <c r="GX77" s="586"/>
      <c r="GY77" s="586"/>
      <c r="GZ77" s="586"/>
      <c r="HA77" s="586"/>
      <c r="HB77" s="586"/>
      <c r="HC77" s="586"/>
      <c r="HD77" s="586"/>
      <c r="HE77" s="586"/>
      <c r="HF77" s="586"/>
      <c r="HG77" s="586"/>
      <c r="HH77" s="586"/>
      <c r="HI77" s="586"/>
      <c r="HJ77" s="586"/>
      <c r="HK77" s="586"/>
      <c r="HL77" s="586"/>
      <c r="HM77" s="586"/>
      <c r="HN77" s="586"/>
      <c r="HO77" s="586"/>
      <c r="HP77" s="586"/>
      <c r="HQ77" s="586"/>
      <c r="HR77" s="586"/>
      <c r="HS77" s="586"/>
      <c r="HT77" s="586"/>
      <c r="HU77" s="586"/>
      <c r="HV77" s="586"/>
      <c r="HW77" s="586"/>
      <c r="HX77" s="586"/>
      <c r="HY77" s="586"/>
      <c r="HZ77" s="586"/>
      <c r="IA77" s="586"/>
      <c r="IB77" s="586"/>
      <c r="IC77" s="586"/>
      <c r="ID77" s="586"/>
      <c r="IE77" s="586"/>
      <c r="IF77" s="586"/>
      <c r="IG77" s="586"/>
      <c r="IH77" s="586"/>
      <c r="II77" s="586"/>
      <c r="IJ77" s="586"/>
      <c r="IK77" s="586"/>
      <c r="IL77" s="586"/>
      <c r="IM77" s="586"/>
      <c r="IN77" s="586"/>
      <c r="IO77" s="586"/>
      <c r="IP77" s="586"/>
      <c r="IQ77" s="586"/>
      <c r="IR77" s="586"/>
      <c r="IS77" s="586"/>
      <c r="IT77" s="586"/>
      <c r="IU77" s="586"/>
      <c r="IV77" s="586"/>
      <c r="IW77" s="586"/>
    </row>
    <row r="78" customFormat="false" ht="12.75" hidden="false" customHeight="false" outlineLevel="0" collapsed="false">
      <c r="A78" s="593"/>
      <c r="B78" s="598"/>
      <c r="C78" s="605"/>
      <c r="D78" s="605"/>
      <c r="E78" s="605"/>
      <c r="F78" s="605"/>
      <c r="AD78" s="584"/>
      <c r="AE78" s="584"/>
      <c r="AF78" s="586"/>
      <c r="AG78" s="586"/>
      <c r="AH78" s="586"/>
      <c r="AI78" s="586"/>
      <c r="AJ78" s="586"/>
      <c r="AK78" s="586"/>
      <c r="AL78" s="586"/>
      <c r="AM78" s="586"/>
      <c r="AN78" s="586"/>
      <c r="AO78" s="586"/>
      <c r="AP78" s="586"/>
      <c r="AQ78" s="586"/>
      <c r="AR78" s="586"/>
      <c r="AS78" s="586"/>
      <c r="AT78" s="586"/>
      <c r="AU78" s="586"/>
      <c r="AV78" s="586"/>
      <c r="AW78" s="586"/>
      <c r="AX78" s="586"/>
      <c r="AY78" s="586"/>
      <c r="AZ78" s="586"/>
      <c r="BA78" s="586"/>
      <c r="BB78" s="586"/>
      <c r="BC78" s="586"/>
      <c r="BD78" s="586"/>
      <c r="BE78" s="586"/>
      <c r="BF78" s="586"/>
      <c r="BG78" s="586"/>
      <c r="BH78" s="586"/>
      <c r="BI78" s="586"/>
      <c r="BJ78" s="586"/>
      <c r="BK78" s="586"/>
      <c r="BL78" s="586"/>
      <c r="BM78" s="586"/>
      <c r="BN78" s="586"/>
      <c r="BO78" s="586"/>
      <c r="BP78" s="586"/>
      <c r="BQ78" s="586"/>
      <c r="BR78" s="586"/>
      <c r="BS78" s="586"/>
      <c r="BT78" s="586"/>
      <c r="BU78" s="586"/>
      <c r="BV78" s="586"/>
      <c r="BW78" s="586"/>
      <c r="BX78" s="586"/>
      <c r="BY78" s="586"/>
      <c r="BZ78" s="586"/>
      <c r="CA78" s="586"/>
      <c r="CB78" s="586"/>
      <c r="CC78" s="586"/>
      <c r="CD78" s="586"/>
      <c r="CE78" s="586"/>
      <c r="CF78" s="586"/>
      <c r="CG78" s="586"/>
      <c r="CH78" s="586"/>
      <c r="CI78" s="586"/>
      <c r="CJ78" s="586"/>
      <c r="CK78" s="586"/>
      <c r="CL78" s="586"/>
      <c r="CM78" s="586"/>
      <c r="CN78" s="586"/>
      <c r="CO78" s="586"/>
      <c r="CP78" s="586"/>
      <c r="CQ78" s="586"/>
      <c r="CR78" s="586"/>
      <c r="CS78" s="586"/>
      <c r="CT78" s="586"/>
      <c r="CU78" s="586"/>
      <c r="CV78" s="586"/>
      <c r="CW78" s="586"/>
      <c r="CX78" s="586"/>
      <c r="CY78" s="586"/>
      <c r="CZ78" s="586"/>
      <c r="DA78" s="586"/>
      <c r="DB78" s="586"/>
      <c r="DC78" s="586"/>
      <c r="DD78" s="586"/>
      <c r="DE78" s="586"/>
      <c r="DF78" s="586"/>
      <c r="DG78" s="586"/>
      <c r="DH78" s="586"/>
      <c r="DI78" s="586"/>
      <c r="DJ78" s="586"/>
      <c r="DK78" s="586"/>
      <c r="DL78" s="586"/>
      <c r="DM78" s="586"/>
      <c r="DN78" s="586"/>
      <c r="DO78" s="586"/>
      <c r="DP78" s="586"/>
      <c r="DQ78" s="586"/>
      <c r="DR78" s="586"/>
      <c r="DS78" s="586"/>
      <c r="DT78" s="586"/>
      <c r="DU78" s="586"/>
      <c r="DV78" s="586"/>
      <c r="DW78" s="586"/>
      <c r="DX78" s="586"/>
      <c r="DY78" s="586"/>
      <c r="DZ78" s="586"/>
      <c r="EA78" s="586"/>
      <c r="EB78" s="586"/>
      <c r="EC78" s="586"/>
      <c r="ED78" s="586"/>
      <c r="EE78" s="586"/>
      <c r="EF78" s="586"/>
      <c r="EG78" s="586"/>
      <c r="EH78" s="586"/>
      <c r="EI78" s="586"/>
      <c r="EJ78" s="586"/>
      <c r="EK78" s="586"/>
      <c r="EL78" s="586"/>
      <c r="EM78" s="586"/>
      <c r="EN78" s="586"/>
      <c r="EO78" s="586"/>
      <c r="EP78" s="586"/>
      <c r="EQ78" s="586"/>
      <c r="ER78" s="586"/>
      <c r="ES78" s="586"/>
      <c r="ET78" s="586"/>
      <c r="EU78" s="586"/>
      <c r="EV78" s="586"/>
      <c r="EW78" s="586"/>
      <c r="EX78" s="586"/>
      <c r="EY78" s="586"/>
      <c r="EZ78" s="586"/>
      <c r="FA78" s="586"/>
      <c r="FB78" s="586"/>
      <c r="FC78" s="586"/>
      <c r="FD78" s="586"/>
      <c r="FE78" s="586"/>
      <c r="FF78" s="586"/>
      <c r="FG78" s="586"/>
      <c r="FH78" s="586"/>
      <c r="FI78" s="586"/>
      <c r="FJ78" s="586"/>
      <c r="FK78" s="586"/>
      <c r="FL78" s="586"/>
      <c r="FM78" s="586"/>
      <c r="FN78" s="586"/>
      <c r="FO78" s="586"/>
      <c r="FP78" s="586"/>
      <c r="FQ78" s="586"/>
      <c r="FR78" s="586"/>
      <c r="FS78" s="586"/>
      <c r="FT78" s="586"/>
      <c r="FU78" s="586"/>
      <c r="FV78" s="586"/>
      <c r="FW78" s="586"/>
      <c r="FX78" s="586"/>
      <c r="FY78" s="586"/>
      <c r="FZ78" s="586"/>
      <c r="GA78" s="586"/>
      <c r="GB78" s="586"/>
      <c r="GC78" s="586"/>
      <c r="GD78" s="586"/>
      <c r="GE78" s="586"/>
      <c r="GF78" s="586"/>
      <c r="GG78" s="586"/>
      <c r="GH78" s="586"/>
      <c r="GI78" s="586"/>
      <c r="GJ78" s="586"/>
      <c r="GK78" s="586"/>
      <c r="GL78" s="586"/>
      <c r="GM78" s="586"/>
      <c r="GN78" s="586"/>
      <c r="GO78" s="586"/>
      <c r="GP78" s="586"/>
      <c r="GQ78" s="586"/>
      <c r="GR78" s="586"/>
      <c r="GS78" s="586"/>
      <c r="GT78" s="586"/>
      <c r="GU78" s="586"/>
      <c r="GV78" s="586"/>
      <c r="GW78" s="586"/>
      <c r="GX78" s="586"/>
      <c r="GY78" s="586"/>
      <c r="GZ78" s="586"/>
      <c r="HA78" s="586"/>
      <c r="HB78" s="586"/>
      <c r="HC78" s="586"/>
      <c r="HD78" s="586"/>
      <c r="HE78" s="586"/>
      <c r="HF78" s="586"/>
      <c r="HG78" s="586"/>
      <c r="HH78" s="586"/>
      <c r="HI78" s="586"/>
      <c r="HJ78" s="586"/>
      <c r="HK78" s="586"/>
      <c r="HL78" s="586"/>
      <c r="HM78" s="586"/>
      <c r="HN78" s="586"/>
      <c r="HO78" s="586"/>
      <c r="HP78" s="586"/>
      <c r="HQ78" s="586"/>
      <c r="HR78" s="586"/>
      <c r="HS78" s="586"/>
      <c r="HT78" s="586"/>
      <c r="HU78" s="586"/>
      <c r="HV78" s="586"/>
      <c r="HW78" s="586"/>
      <c r="HX78" s="586"/>
      <c r="HY78" s="586"/>
      <c r="HZ78" s="586"/>
      <c r="IA78" s="586"/>
      <c r="IB78" s="586"/>
      <c r="IC78" s="586"/>
      <c r="ID78" s="586"/>
      <c r="IE78" s="586"/>
      <c r="IF78" s="586"/>
      <c r="IG78" s="586"/>
      <c r="IH78" s="586"/>
      <c r="II78" s="586"/>
      <c r="IJ78" s="586"/>
      <c r="IK78" s="586"/>
      <c r="IL78" s="586"/>
      <c r="IM78" s="586"/>
      <c r="IN78" s="586"/>
      <c r="IO78" s="586"/>
      <c r="IP78" s="586"/>
      <c r="IQ78" s="586"/>
      <c r="IR78" s="586"/>
      <c r="IS78" s="586"/>
      <c r="IT78" s="586"/>
      <c r="IU78" s="586"/>
      <c r="IV78" s="586"/>
      <c r="IW78" s="586"/>
    </row>
    <row r="79" customFormat="false" ht="12.75" hidden="false" customHeight="false" outlineLevel="0" collapsed="false">
      <c r="A79" s="603" t="s">
        <v>426</v>
      </c>
      <c r="B79" s="604"/>
      <c r="C79" s="605"/>
      <c r="D79" s="605"/>
      <c r="E79" s="605"/>
      <c r="F79" s="605"/>
      <c r="G79" s="598" t="n">
        <f aca="false">B77-G77</f>
        <v>736611.369049307</v>
      </c>
      <c r="H79" s="598" t="n">
        <f aca="false">G79-H77</f>
        <v>724430.057165578</v>
      </c>
      <c r="I79" s="598" t="n">
        <f aca="false">H79-I77</f>
        <v>702097.716094099</v>
      </c>
      <c r="J79" s="598" t="n">
        <f aca="false">I79-J77</f>
        <v>679765.375022619</v>
      </c>
      <c r="K79" s="598" t="n">
        <f aca="false">J79-K77</f>
        <v>657433.03395114</v>
      </c>
      <c r="L79" s="598" t="n">
        <f aca="false">K79-L77</f>
        <v>635100.692879661</v>
      </c>
      <c r="M79" s="598" t="n">
        <f aca="false">L79-M77</f>
        <v>612768.351808182</v>
      </c>
      <c r="N79" s="598" t="n">
        <f aca="false">M79-N77</f>
        <v>590436.010736702</v>
      </c>
      <c r="O79" s="598" t="n">
        <f aca="false">N79-O77</f>
        <v>568103.669665223</v>
      </c>
      <c r="P79" s="598" t="n">
        <f aca="false">O79-P77</f>
        <v>545771.328593744</v>
      </c>
      <c r="Q79" s="598" t="n">
        <f aca="false">P79-Q77</f>
        <v>523438.987522265</v>
      </c>
      <c r="R79" s="598" t="n">
        <f aca="false">Q79-R77</f>
        <v>501106.646450785</v>
      </c>
      <c r="S79" s="598" t="n">
        <f aca="false">R79-S77</f>
        <v>478774.305379306</v>
      </c>
      <c r="T79" s="598" t="n">
        <f aca="false">S79-T77</f>
        <v>456441.964307827</v>
      </c>
      <c r="U79" s="598" t="n">
        <f aca="false">T79-U77</f>
        <v>434109.623236347</v>
      </c>
      <c r="V79" s="598" t="n">
        <f aca="false">U79-V77</f>
        <v>411777.282164868</v>
      </c>
      <c r="W79" s="598" t="n">
        <f aca="false">V79-W77</f>
        <v>389444.941093389</v>
      </c>
      <c r="X79" s="598" t="n">
        <f aca="false">W79-X77</f>
        <v>367112.60002191</v>
      </c>
      <c r="Y79" s="598" t="n">
        <f aca="false">X79-Y77</f>
        <v>344780.25895043</v>
      </c>
      <c r="Z79" s="598" t="n">
        <f aca="false">Y79-Z77</f>
        <v>322447.917878951</v>
      </c>
      <c r="AA79" s="598" t="n">
        <f aca="false">Z79-AA77</f>
        <v>300115.576807472</v>
      </c>
      <c r="AB79" s="598" t="n">
        <f aca="false">AA79-AB77</f>
        <v>278368.235735993</v>
      </c>
      <c r="AC79" s="598" t="n">
        <f aca="false">AB79-AC77</f>
        <v>256620.894664513</v>
      </c>
      <c r="AD79" s="584"/>
      <c r="AE79" s="584"/>
      <c r="AF79" s="586"/>
      <c r="AG79" s="586"/>
      <c r="AH79" s="586"/>
      <c r="AI79" s="586"/>
      <c r="AJ79" s="586"/>
      <c r="AK79" s="586"/>
      <c r="AL79" s="586"/>
      <c r="AM79" s="586"/>
      <c r="AN79" s="586"/>
      <c r="AO79" s="586"/>
      <c r="AP79" s="586"/>
      <c r="AQ79" s="586"/>
      <c r="AR79" s="586"/>
      <c r="AS79" s="586"/>
      <c r="AT79" s="586"/>
      <c r="AU79" s="586"/>
      <c r="AV79" s="586"/>
      <c r="AW79" s="586"/>
      <c r="AX79" s="586"/>
      <c r="AY79" s="586"/>
      <c r="AZ79" s="586"/>
      <c r="BA79" s="586"/>
      <c r="BB79" s="586"/>
      <c r="BC79" s="586"/>
      <c r="BD79" s="586"/>
      <c r="BE79" s="586"/>
      <c r="BF79" s="586"/>
      <c r="BG79" s="586"/>
      <c r="BH79" s="586"/>
      <c r="BI79" s="586"/>
      <c r="BJ79" s="586"/>
      <c r="BK79" s="586"/>
      <c r="BL79" s="586"/>
      <c r="BM79" s="586"/>
      <c r="BN79" s="586"/>
      <c r="BO79" s="586"/>
      <c r="BP79" s="586"/>
      <c r="BQ79" s="586"/>
      <c r="BR79" s="586"/>
      <c r="BS79" s="586"/>
      <c r="BT79" s="586"/>
      <c r="BU79" s="586"/>
      <c r="BV79" s="586"/>
      <c r="BW79" s="586"/>
      <c r="BX79" s="586"/>
      <c r="BY79" s="586"/>
      <c r="BZ79" s="586"/>
      <c r="CA79" s="586"/>
      <c r="CB79" s="586"/>
      <c r="CC79" s="586"/>
      <c r="CD79" s="586"/>
      <c r="CE79" s="586"/>
      <c r="CF79" s="586"/>
      <c r="CG79" s="586"/>
      <c r="CH79" s="586"/>
      <c r="CI79" s="586"/>
      <c r="CJ79" s="586"/>
      <c r="CK79" s="586"/>
      <c r="CL79" s="586"/>
      <c r="CM79" s="586"/>
      <c r="CN79" s="586"/>
      <c r="CO79" s="586"/>
      <c r="CP79" s="586"/>
      <c r="CQ79" s="586"/>
      <c r="CR79" s="586"/>
      <c r="CS79" s="586"/>
      <c r="CT79" s="586"/>
      <c r="CU79" s="586"/>
      <c r="CV79" s="586"/>
      <c r="CW79" s="586"/>
      <c r="CX79" s="586"/>
      <c r="CY79" s="586"/>
      <c r="CZ79" s="586"/>
      <c r="DA79" s="586"/>
      <c r="DB79" s="586"/>
      <c r="DC79" s="586"/>
      <c r="DD79" s="586"/>
      <c r="DE79" s="586"/>
      <c r="DF79" s="586"/>
      <c r="DG79" s="586"/>
      <c r="DH79" s="586"/>
      <c r="DI79" s="586"/>
      <c r="DJ79" s="586"/>
      <c r="DK79" s="586"/>
      <c r="DL79" s="586"/>
      <c r="DM79" s="586"/>
      <c r="DN79" s="586"/>
      <c r="DO79" s="586"/>
      <c r="DP79" s="586"/>
      <c r="DQ79" s="586"/>
      <c r="DR79" s="586"/>
      <c r="DS79" s="586"/>
      <c r="DT79" s="586"/>
      <c r="DU79" s="586"/>
      <c r="DV79" s="586"/>
      <c r="DW79" s="586"/>
      <c r="DX79" s="586"/>
      <c r="DY79" s="586"/>
      <c r="DZ79" s="586"/>
      <c r="EA79" s="586"/>
      <c r="EB79" s="586"/>
      <c r="EC79" s="586"/>
      <c r="ED79" s="586"/>
      <c r="EE79" s="586"/>
      <c r="EF79" s="586"/>
      <c r="EG79" s="586"/>
      <c r="EH79" s="586"/>
      <c r="EI79" s="586"/>
      <c r="EJ79" s="586"/>
      <c r="EK79" s="586"/>
      <c r="EL79" s="586"/>
      <c r="EM79" s="586"/>
      <c r="EN79" s="586"/>
      <c r="EO79" s="586"/>
      <c r="EP79" s="586"/>
      <c r="EQ79" s="586"/>
      <c r="ER79" s="586"/>
      <c r="ES79" s="586"/>
      <c r="ET79" s="586"/>
      <c r="EU79" s="586"/>
      <c r="EV79" s="586"/>
      <c r="EW79" s="586"/>
      <c r="EX79" s="586"/>
      <c r="EY79" s="586"/>
      <c r="EZ79" s="586"/>
      <c r="FA79" s="586"/>
      <c r="FB79" s="586"/>
      <c r="FC79" s="586"/>
      <c r="FD79" s="586"/>
      <c r="FE79" s="586"/>
      <c r="FF79" s="586"/>
      <c r="FG79" s="586"/>
      <c r="FH79" s="586"/>
      <c r="FI79" s="586"/>
      <c r="FJ79" s="586"/>
      <c r="FK79" s="586"/>
      <c r="FL79" s="586"/>
      <c r="FM79" s="586"/>
      <c r="FN79" s="586"/>
      <c r="FO79" s="586"/>
      <c r="FP79" s="586"/>
      <c r="FQ79" s="586"/>
      <c r="FR79" s="586"/>
      <c r="FS79" s="586"/>
      <c r="FT79" s="586"/>
      <c r="FU79" s="586"/>
      <c r="FV79" s="586"/>
      <c r="FW79" s="586"/>
      <c r="FX79" s="586"/>
      <c r="FY79" s="586"/>
      <c r="FZ79" s="586"/>
      <c r="GA79" s="586"/>
      <c r="GB79" s="586"/>
      <c r="GC79" s="586"/>
      <c r="GD79" s="586"/>
      <c r="GE79" s="586"/>
      <c r="GF79" s="586"/>
      <c r="GG79" s="586"/>
      <c r="GH79" s="586"/>
      <c r="GI79" s="586"/>
      <c r="GJ79" s="586"/>
      <c r="GK79" s="586"/>
      <c r="GL79" s="586"/>
      <c r="GM79" s="586"/>
      <c r="GN79" s="586"/>
      <c r="GO79" s="586"/>
      <c r="GP79" s="586"/>
      <c r="GQ79" s="586"/>
      <c r="GR79" s="586"/>
      <c r="GS79" s="586"/>
      <c r="GT79" s="586"/>
      <c r="GU79" s="586"/>
      <c r="GV79" s="586"/>
      <c r="GW79" s="586"/>
      <c r="GX79" s="586"/>
      <c r="GY79" s="586"/>
      <c r="GZ79" s="586"/>
      <c r="HA79" s="586"/>
      <c r="HB79" s="586"/>
      <c r="HC79" s="586"/>
      <c r="HD79" s="586"/>
      <c r="HE79" s="586"/>
      <c r="HF79" s="586"/>
      <c r="HG79" s="586"/>
      <c r="HH79" s="586"/>
      <c r="HI79" s="586"/>
      <c r="HJ79" s="586"/>
      <c r="HK79" s="586"/>
      <c r="HL79" s="586"/>
      <c r="HM79" s="586"/>
      <c r="HN79" s="586"/>
      <c r="HO79" s="586"/>
      <c r="HP79" s="586"/>
      <c r="HQ79" s="586"/>
      <c r="HR79" s="586"/>
      <c r="HS79" s="586"/>
      <c r="HT79" s="586"/>
      <c r="HU79" s="586"/>
      <c r="HV79" s="586"/>
      <c r="HW79" s="586"/>
      <c r="HX79" s="586"/>
      <c r="HY79" s="586"/>
      <c r="HZ79" s="586"/>
      <c r="IA79" s="586"/>
      <c r="IB79" s="586"/>
      <c r="IC79" s="586"/>
      <c r="ID79" s="586"/>
      <c r="IE79" s="586"/>
      <c r="IF79" s="586"/>
      <c r="IG79" s="586"/>
      <c r="IH79" s="586"/>
      <c r="II79" s="586"/>
      <c r="IJ79" s="586"/>
      <c r="IK79" s="586"/>
      <c r="IL79" s="586"/>
      <c r="IM79" s="586"/>
      <c r="IN79" s="586"/>
      <c r="IO79" s="586"/>
      <c r="IP79" s="586"/>
      <c r="IQ79" s="586"/>
      <c r="IR79" s="586"/>
      <c r="IS79" s="586"/>
      <c r="IT79" s="586"/>
      <c r="IU79" s="586"/>
      <c r="IV79" s="586"/>
      <c r="IW79" s="586"/>
    </row>
    <row r="80" customFormat="false" ht="12.75" hidden="false" customHeight="false" outlineLevel="0" collapsed="false">
      <c r="A80" s="603"/>
      <c r="AF80" s="586"/>
      <c r="AG80" s="586"/>
    </row>
    <row r="81" customFormat="false" ht="12.75" hidden="false" customHeight="false" outlineLevel="0" collapsed="false">
      <c r="A81" s="603"/>
    </row>
  </sheetData>
  <printOptions headings="false" gridLines="false" gridLinesSet="true" horizontalCentered="false" verticalCentered="false"/>
  <pageMargins left="0.2" right="0.2" top="0.370138888888889" bottom="0.4" header="0.170138888888889" footer="0.209722222222222"/>
  <pageSetup paperSize="1" scale="46" fitToWidth="1" fitToHeight="1" pageOrder="overThenDown" orientation="landscape" blackAndWhite="false" draft="false" cellComments="none" horizontalDpi="300" verticalDpi="300" copies="1"/>
  <headerFooter differentFirst="false" differentOddEven="false">
    <oddHeader>&amp;L&amp;12Enron Generation Company</oddHeader>
    <oddFooter>&amp;L&amp;T, &amp;D&amp;C&amp;F&amp;RPage &amp;P</oddFooter>
  </headerFooter>
  <colBreaks count="1" manualBreakCount="1">
    <brk id="17" man="true" max="65535" min="0"/>
  </col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B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21" activeCellId="0" sqref="I2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8.28"/>
    <col collapsed="false" customWidth="false" hidden="false" outlineLevel="0" max="2" min="2" style="1" width="9.14"/>
    <col collapsed="false" customWidth="true" hidden="false" outlineLevel="0" max="3" min="3" style="1" width="16.84"/>
    <col collapsed="false" customWidth="true" hidden="false" outlineLevel="0" max="4" min="4" style="1" width="17.56"/>
    <col collapsed="false" customWidth="true" hidden="false" outlineLevel="0" max="5" min="5" style="1" width="10.13"/>
    <col collapsed="false" customWidth="true" hidden="false" outlineLevel="0" max="7" min="6" style="1" width="10.41"/>
    <col collapsed="false" customWidth="true" hidden="false" outlineLevel="0" max="11" min="8" style="1" width="10.13"/>
    <col collapsed="false" customWidth="true" hidden="false" outlineLevel="0" max="25" min="12" style="1" width="9.99"/>
    <col collapsed="false" customWidth="true" hidden="false" outlineLevel="0" max="27" min="26" style="78" width="9.99"/>
    <col collapsed="false" customWidth="false" hidden="false" outlineLevel="0" max="257" min="28" style="78" width="9.14"/>
  </cols>
  <sheetData>
    <row r="2" customFormat="false" ht="18.75" hidden="false" customHeight="false" outlineLevel="0" collapsed="false">
      <c r="A2" s="622" t="s">
        <v>427</v>
      </c>
      <c r="B2" s="623"/>
      <c r="C2" s="584"/>
      <c r="D2" s="584"/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  <c r="P2" s="586"/>
      <c r="Q2" s="586"/>
      <c r="R2" s="586"/>
      <c r="S2" s="586"/>
      <c r="T2" s="586"/>
      <c r="U2" s="586"/>
      <c r="V2" s="586"/>
      <c r="W2" s="586"/>
      <c r="X2" s="586"/>
      <c r="Y2" s="586"/>
      <c r="Z2" s="596"/>
      <c r="AA2" s="596"/>
    </row>
    <row r="3" customFormat="false" ht="12.75" hidden="false" customHeight="false" outlineLevel="0" collapsed="false">
      <c r="A3" s="395"/>
      <c r="B3" s="584"/>
      <c r="C3" s="584"/>
      <c r="D3" s="624"/>
      <c r="E3" s="613"/>
      <c r="F3" s="613"/>
      <c r="G3" s="613"/>
      <c r="H3" s="613"/>
      <c r="I3" s="613"/>
      <c r="J3" s="613"/>
      <c r="K3" s="625"/>
      <c r="L3" s="613"/>
      <c r="M3" s="613"/>
      <c r="N3" s="613"/>
      <c r="O3" s="613"/>
      <c r="P3" s="613"/>
      <c r="Q3" s="625"/>
      <c r="R3" s="613"/>
      <c r="S3" s="613"/>
      <c r="T3" s="613"/>
      <c r="U3" s="613"/>
      <c r="V3" s="613"/>
      <c r="W3" s="625"/>
      <c r="X3" s="613"/>
      <c r="Y3" s="613"/>
      <c r="Z3" s="624"/>
      <c r="AA3" s="624"/>
    </row>
    <row r="4" customFormat="false" ht="12.75" hidden="false" customHeight="false" outlineLevel="0" collapsed="false">
      <c r="A4" s="361"/>
      <c r="B4" s="94"/>
      <c r="C4" s="621"/>
      <c r="D4" s="626" t="n">
        <v>1</v>
      </c>
      <c r="E4" s="626" t="n">
        <v>2</v>
      </c>
      <c r="F4" s="626" t="n">
        <v>3</v>
      </c>
      <c r="G4" s="626" t="n">
        <v>4</v>
      </c>
      <c r="H4" s="626" t="n">
        <v>5</v>
      </c>
      <c r="I4" s="627" t="n">
        <v>6</v>
      </c>
      <c r="J4" s="626" t="n">
        <v>7</v>
      </c>
      <c r="K4" s="626" t="n">
        <v>8</v>
      </c>
      <c r="L4" s="626" t="n">
        <v>9</v>
      </c>
      <c r="M4" s="626" t="n">
        <v>10</v>
      </c>
      <c r="N4" s="626" t="n">
        <v>11</v>
      </c>
      <c r="O4" s="627" t="n">
        <v>12</v>
      </c>
      <c r="P4" s="626" t="n">
        <v>13</v>
      </c>
      <c r="Q4" s="626" t="n">
        <v>14</v>
      </c>
      <c r="R4" s="626" t="n">
        <v>15</v>
      </c>
      <c r="S4" s="626" t="n">
        <v>16</v>
      </c>
      <c r="T4" s="626" t="n">
        <v>17</v>
      </c>
      <c r="U4" s="627" t="n">
        <v>18</v>
      </c>
      <c r="V4" s="626" t="n">
        <v>19</v>
      </c>
      <c r="W4" s="626" t="n">
        <v>20</v>
      </c>
      <c r="X4" s="626" t="n">
        <v>21</v>
      </c>
      <c r="Y4" s="626" t="n">
        <v>22</v>
      </c>
      <c r="Z4" s="628"/>
      <c r="AA4" s="624"/>
    </row>
    <row r="5" customFormat="false" ht="13.5" hidden="false" customHeight="false" outlineLevel="0" collapsed="false">
      <c r="A5" s="319" t="s">
        <v>269</v>
      </c>
      <c r="B5" s="570"/>
      <c r="C5" s="570"/>
      <c r="D5" s="320" t="n">
        <v>1999</v>
      </c>
      <c r="E5" s="320" t="n">
        <v>2000</v>
      </c>
      <c r="F5" s="320" t="n">
        <v>2001</v>
      </c>
      <c r="G5" s="320" t="n">
        <v>2002</v>
      </c>
      <c r="H5" s="320" t="n">
        <v>2003</v>
      </c>
      <c r="I5" s="320" t="n">
        <v>2004</v>
      </c>
      <c r="J5" s="320" t="n">
        <v>2005</v>
      </c>
      <c r="K5" s="320" t="n">
        <v>2006</v>
      </c>
      <c r="L5" s="320" t="n">
        <v>2007</v>
      </c>
      <c r="M5" s="320" t="n">
        <v>2008</v>
      </c>
      <c r="N5" s="320" t="n">
        <v>2009</v>
      </c>
      <c r="O5" s="320" t="n">
        <v>2010</v>
      </c>
      <c r="P5" s="320" t="n">
        <v>2011</v>
      </c>
      <c r="Q5" s="320" t="n">
        <v>2012</v>
      </c>
      <c r="R5" s="320" t="n">
        <v>2013</v>
      </c>
      <c r="S5" s="320" t="n">
        <v>2014</v>
      </c>
      <c r="T5" s="320" t="n">
        <v>2015</v>
      </c>
      <c r="U5" s="320" t="n">
        <v>2016</v>
      </c>
      <c r="V5" s="320" t="n">
        <v>2017</v>
      </c>
      <c r="W5" s="320" t="n">
        <v>2018</v>
      </c>
      <c r="X5" s="320" t="n">
        <v>2019</v>
      </c>
      <c r="Y5" s="320" t="n">
        <v>2020</v>
      </c>
    </row>
    <row r="6" customFormat="false" ht="12.75" hidden="false" customHeight="false" outlineLevel="0" collapsed="false">
      <c r="A6" s="361"/>
      <c r="B6" s="629"/>
      <c r="C6" s="629"/>
      <c r="D6" s="629"/>
      <c r="E6" s="629"/>
      <c r="F6" s="629"/>
      <c r="G6" s="321"/>
      <c r="H6" s="321"/>
      <c r="I6" s="321"/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</row>
    <row r="7" customFormat="false" ht="12.75" hidden="false" customHeight="false" outlineLevel="0" collapsed="false">
      <c r="A7" s="630" t="s">
        <v>428</v>
      </c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584"/>
      <c r="AA7" s="584"/>
    </row>
    <row r="8" customFormat="false" ht="12.75" hidden="false" customHeight="false" outlineLevel="0" collapsed="false">
      <c r="A8" s="630"/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584"/>
      <c r="AA8" s="584"/>
    </row>
    <row r="9" customFormat="false" ht="12.75" hidden="false" customHeight="false" outlineLevel="0" collapsed="false">
      <c r="A9" s="630"/>
      <c r="B9" s="94"/>
      <c r="C9" s="94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607"/>
      <c r="AA9" s="607"/>
    </row>
    <row r="10" customFormat="false" ht="13.5" hidden="false" customHeight="false" outlineLevel="0" collapsed="false">
      <c r="A10" s="631" t="s">
        <v>429</v>
      </c>
      <c r="B10" s="94"/>
      <c r="C10" s="94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607"/>
      <c r="AA10" s="607"/>
    </row>
    <row r="11" customFormat="false" ht="12.75" hidden="false" customHeight="false" outlineLevel="0" collapsed="false">
      <c r="A11" s="590" t="s">
        <v>430</v>
      </c>
      <c r="B11" s="604"/>
      <c r="C11" s="604"/>
      <c r="D11" s="102" t="n">
        <f aca="false">IS!D48</f>
        <v>0</v>
      </c>
      <c r="E11" s="102" t="n">
        <f aca="false">IS!E48</f>
        <v>11109.6272166016</v>
      </c>
      <c r="F11" s="102" t="n">
        <f aca="false">IS!F48</f>
        <v>17342.9184724304</v>
      </c>
      <c r="G11" s="102" t="n">
        <f aca="false">IS!G48</f>
        <v>19066.6847813158</v>
      </c>
      <c r="H11" s="102" t="n">
        <f aca="false">IS!H48</f>
        <v>87056.2373226536</v>
      </c>
      <c r="I11" s="102" t="n">
        <f aca="false">IS!I48</f>
        <v>90959.9077735315</v>
      </c>
      <c r="J11" s="102" t="n">
        <f aca="false">IS!J48</f>
        <v>96878.0757115531</v>
      </c>
      <c r="K11" s="102" t="n">
        <f aca="false">IS!K48</f>
        <v>100745.525545905</v>
      </c>
      <c r="L11" s="102" t="n">
        <f aca="false">IS!L48</f>
        <v>108246.84256908</v>
      </c>
      <c r="M11" s="102" t="n">
        <f aca="false">IS!M48</f>
        <v>113753.73215009</v>
      </c>
      <c r="N11" s="102" t="n">
        <f aca="false">IS!N48</f>
        <v>122718.974177822</v>
      </c>
      <c r="O11" s="102" t="n">
        <f aca="false">IS!O48</f>
        <v>127295.492307701</v>
      </c>
      <c r="P11" s="102" t="n">
        <f aca="false">IS!P48</f>
        <v>135700.083541428</v>
      </c>
      <c r="Q11" s="102" t="n">
        <f aca="false">IS!Q48</f>
        <v>141809.126551425</v>
      </c>
      <c r="R11" s="102" t="n">
        <f aca="false">IS!R48</f>
        <v>147465.569300264</v>
      </c>
      <c r="S11" s="102" t="n">
        <f aca="false">IS!S48</f>
        <v>153720.019126693</v>
      </c>
      <c r="T11" s="102" t="n">
        <f aca="false">IS!T48</f>
        <v>160644.422587367</v>
      </c>
      <c r="U11" s="102" t="n">
        <f aca="false">IS!U48</f>
        <v>167776.574783956</v>
      </c>
      <c r="V11" s="102" t="n">
        <f aca="false">IS!V48</f>
        <v>174828.614291958</v>
      </c>
      <c r="W11" s="102" t="n">
        <f aca="false">IS!W48</f>
        <v>181166.903850996</v>
      </c>
      <c r="X11" s="102" t="n">
        <f aca="false">IS!X48</f>
        <v>184537.430178478</v>
      </c>
      <c r="Y11" s="102" t="n">
        <f aca="false">IS!Y48</f>
        <v>189744.999333081</v>
      </c>
      <c r="Z11" s="607"/>
      <c r="AA11" s="607"/>
    </row>
    <row r="12" customFormat="false" ht="12.75" hidden="false" customHeight="false" outlineLevel="0" collapsed="false">
      <c r="A12" s="590" t="s">
        <v>431</v>
      </c>
      <c r="B12" s="94"/>
      <c r="C12" s="632"/>
      <c r="D12" s="102" t="n">
        <f aca="false">IS!D40</f>
        <v>0</v>
      </c>
      <c r="E12" s="102" t="n">
        <f aca="false">IS!E40</f>
        <v>27106.6984637297</v>
      </c>
      <c r="F12" s="102" t="n">
        <f aca="false">IS!F40</f>
        <v>37257.7276514792</v>
      </c>
      <c r="G12" s="102" t="n">
        <f aca="false">IS!G40</f>
        <v>37257.7276514792</v>
      </c>
      <c r="H12" s="102" t="n">
        <f aca="false">IS!H40</f>
        <v>37257.7276514792</v>
      </c>
      <c r="I12" s="102" t="n">
        <f aca="false">IS!I40</f>
        <v>37257.7276514792</v>
      </c>
      <c r="J12" s="102" t="n">
        <f aca="false">IS!J40</f>
        <v>37257.7276514792</v>
      </c>
      <c r="K12" s="102" t="n">
        <f aca="false">IS!K40</f>
        <v>37257.7276514792</v>
      </c>
      <c r="L12" s="102" t="n">
        <f aca="false">IS!L40</f>
        <v>37257.7276514792</v>
      </c>
      <c r="M12" s="102" t="n">
        <f aca="false">IS!M40</f>
        <v>37257.7276514792</v>
      </c>
      <c r="N12" s="102" t="n">
        <f aca="false">IS!N40</f>
        <v>37257.7276514792</v>
      </c>
      <c r="O12" s="102" t="n">
        <f aca="false">IS!O40</f>
        <v>37257.7276514792</v>
      </c>
      <c r="P12" s="102" t="n">
        <f aca="false">IS!P40</f>
        <v>37257.7276514792</v>
      </c>
      <c r="Q12" s="102" t="n">
        <f aca="false">IS!Q40</f>
        <v>37257.7276514792</v>
      </c>
      <c r="R12" s="102" t="n">
        <f aca="false">IS!R40</f>
        <v>37257.7276514792</v>
      </c>
      <c r="S12" s="102" t="n">
        <f aca="false">IS!S40</f>
        <v>37257.7276514792</v>
      </c>
      <c r="T12" s="102" t="n">
        <f aca="false">IS!T40</f>
        <v>37257.7276514792</v>
      </c>
      <c r="U12" s="102" t="n">
        <f aca="false">IS!U40</f>
        <v>37257.7276514792</v>
      </c>
      <c r="V12" s="102" t="n">
        <f aca="false">IS!V40</f>
        <v>37257.7276514792</v>
      </c>
      <c r="W12" s="102" t="n">
        <f aca="false">IS!W40</f>
        <v>37257.7276514792</v>
      </c>
      <c r="X12" s="102" t="n">
        <f aca="false">IS!X40</f>
        <v>37257.7276514792</v>
      </c>
      <c r="Y12" s="102" t="n">
        <f aca="false">IS!Y40</f>
        <v>36282.7276514792</v>
      </c>
      <c r="Z12" s="607"/>
      <c r="AA12" s="607"/>
    </row>
    <row r="13" customFormat="false" ht="15" hidden="false" customHeight="false" outlineLevel="0" collapsed="false">
      <c r="A13" s="590" t="s">
        <v>432</v>
      </c>
      <c r="B13" s="94"/>
      <c r="C13" s="94"/>
      <c r="D13" s="373" t="n">
        <f aca="false">-Depreciation!G32-Depreciation!G67</f>
        <v>-0</v>
      </c>
      <c r="E13" s="373" t="n">
        <f aca="false">-Depreciation!H32-Depreciation!H67</f>
        <v>-61446.2127524654</v>
      </c>
      <c r="F13" s="373" t="n">
        <f aca="false">-Depreciation!I32-Depreciation!I67</f>
        <v>-115870.304229684</v>
      </c>
      <c r="G13" s="373" t="n">
        <f aca="false">-Depreciation!J32-Depreciation!J67</f>
        <v>-104380.773806716</v>
      </c>
      <c r="H13" s="373" t="n">
        <f aca="false">-Depreciation!K32-Depreciation!K67</f>
        <v>-94100.6676387967</v>
      </c>
      <c r="I13" s="373" t="n">
        <f aca="false">-Depreciation!L32-Depreciation!L67</f>
        <v>-84788.100874917</v>
      </c>
      <c r="J13" s="373" t="n">
        <f aca="false">-Depreciation!M32-Depreciation!M67</f>
        <v>-76322.1310895719</v>
      </c>
      <c r="K13" s="373" t="n">
        <f aca="false">-Depreciation!N32-Depreciation!N67</f>
        <v>-72331.0310479091</v>
      </c>
      <c r="L13" s="373" t="n">
        <f aca="false">-Depreciation!O32-Depreciation!O67</f>
        <v>-72451.9734734141</v>
      </c>
      <c r="M13" s="373" t="n">
        <f aca="false">-Depreciation!P32-Depreciation!P67</f>
        <v>-72331.0310479091</v>
      </c>
      <c r="N13" s="373" t="n">
        <f aca="false">-Depreciation!Q32-Depreciation!Q67</f>
        <v>-72451.9734734141</v>
      </c>
      <c r="O13" s="373" t="n">
        <f aca="false">-Depreciation!R32-Depreciation!R67</f>
        <v>-72331.0310479091</v>
      </c>
      <c r="P13" s="373" t="n">
        <f aca="false">-Depreciation!S32-Depreciation!S67</f>
        <v>-72451.9734734141</v>
      </c>
      <c r="Q13" s="373" t="n">
        <f aca="false">-Depreciation!T32-Depreciation!T67</f>
        <v>-72331.0310479091</v>
      </c>
      <c r="R13" s="373" t="n">
        <f aca="false">-Depreciation!U32-Depreciation!U67</f>
        <v>-72451.9734734141</v>
      </c>
      <c r="S13" s="373" t="n">
        <f aca="false">-Depreciation!V32-Depreciation!V67</f>
        <v>-72331.0310479091</v>
      </c>
      <c r="T13" s="373" t="n">
        <f aca="false">-Depreciation!W32-Depreciation!W67</f>
        <v>-36653.0155239546</v>
      </c>
      <c r="U13" s="373" t="n">
        <f aca="false">-Depreciation!X32-Depreciation!X67</f>
        <v>-975</v>
      </c>
      <c r="V13" s="373" t="n">
        <f aca="false">-Depreciation!Y32-Depreciation!Y67</f>
        <v>-975</v>
      </c>
      <c r="W13" s="373" t="n">
        <f aca="false">-Depreciation!Z32-Depreciation!Z67</f>
        <v>-975</v>
      </c>
      <c r="X13" s="373" t="n">
        <f aca="false">-Depreciation!AA32-Depreciation!AA67</f>
        <v>-975</v>
      </c>
      <c r="Y13" s="373" t="n">
        <f aca="false">-Depreciation!AB32-Depreciation!AB67</f>
        <v>-0</v>
      </c>
      <c r="Z13" s="633"/>
      <c r="AA13" s="633"/>
    </row>
    <row r="14" customFormat="false" ht="12.75" hidden="false" customHeight="false" outlineLevel="0" collapsed="false">
      <c r="A14" s="634" t="s">
        <v>433</v>
      </c>
      <c r="B14" s="94"/>
      <c r="C14" s="94"/>
      <c r="D14" s="102" t="n">
        <f aca="false">SUM(D11:D13)</f>
        <v>0</v>
      </c>
      <c r="E14" s="102" t="n">
        <f aca="false">SUM(E11:E13)</f>
        <v>-23229.8870721341</v>
      </c>
      <c r="F14" s="102" t="n">
        <f aca="false">SUM(F11:F13)</f>
        <v>-61269.6581057746</v>
      </c>
      <c r="G14" s="102" t="n">
        <f aca="false">SUM(G11:G13)</f>
        <v>-48056.3613739208</v>
      </c>
      <c r="H14" s="102" t="n">
        <f aca="false">SUM(H11:H13)</f>
        <v>30213.2973353362</v>
      </c>
      <c r="I14" s="102" t="n">
        <f aca="false">SUM(I11:I13)</f>
        <v>43429.5345500937</v>
      </c>
      <c r="J14" s="102" t="n">
        <f aca="false">SUM(J11:J13)</f>
        <v>57813.6722734605</v>
      </c>
      <c r="K14" s="102" t="n">
        <f aca="false">SUM(K11:K13)</f>
        <v>65672.2221494755</v>
      </c>
      <c r="L14" s="102" t="n">
        <f aca="false">SUM(L11:L13)</f>
        <v>73052.5967471454</v>
      </c>
      <c r="M14" s="102" t="n">
        <f aca="false">SUM(M11:M13)</f>
        <v>78680.4287536602</v>
      </c>
      <c r="N14" s="102" t="n">
        <f aca="false">SUM(N11:N13)</f>
        <v>87524.7283558871</v>
      </c>
      <c r="O14" s="102" t="n">
        <f aca="false">SUM(O11:O13)</f>
        <v>92222.1889112709</v>
      </c>
      <c r="P14" s="102" t="n">
        <f aca="false">SUM(P11:P13)</f>
        <v>100505.837719493</v>
      </c>
      <c r="Q14" s="102" t="n">
        <f aca="false">SUM(Q11:Q13)</f>
        <v>106735.823154995</v>
      </c>
      <c r="R14" s="102" t="n">
        <f aca="false">SUM(R11:R13)</f>
        <v>112271.323478329</v>
      </c>
      <c r="S14" s="102" t="n">
        <f aca="false">SUM(S11:S13)</f>
        <v>118646.715730263</v>
      </c>
      <c r="T14" s="102" t="n">
        <f aca="false">SUM(T11:T13)</f>
        <v>161249.134714892</v>
      </c>
      <c r="U14" s="102" t="n">
        <f aca="false">SUM(U11:U13)</f>
        <v>204059.302435435</v>
      </c>
      <c r="V14" s="102" t="n">
        <f aca="false">SUM(V11:V13)</f>
        <v>211111.341943438</v>
      </c>
      <c r="W14" s="102" t="n">
        <f aca="false">SUM(W11:W13)</f>
        <v>217449.631502475</v>
      </c>
      <c r="X14" s="102" t="n">
        <f aca="false">SUM(X11:X13)</f>
        <v>220820.157829957</v>
      </c>
      <c r="Y14" s="102" t="n">
        <f aca="false">SUM(Y11:Y13)</f>
        <v>226027.72698456</v>
      </c>
      <c r="Z14" s="607"/>
      <c r="AA14" s="607"/>
    </row>
    <row r="15" customFormat="false" ht="12.75" hidden="false" customHeight="false" outlineLevel="0" collapsed="false">
      <c r="A15" s="590"/>
      <c r="B15" s="94"/>
      <c r="C15" s="94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607"/>
      <c r="AA15" s="607"/>
    </row>
    <row r="16" customFormat="false" ht="12.75" hidden="false" customHeight="false" outlineLevel="0" collapsed="false">
      <c r="A16" s="590" t="s">
        <v>433</v>
      </c>
      <c r="B16" s="94"/>
      <c r="C16" s="635"/>
      <c r="D16" s="102" t="n">
        <f aca="false">D14</f>
        <v>0</v>
      </c>
      <c r="E16" s="102" t="n">
        <f aca="false">E14</f>
        <v>-23229.8870721341</v>
      </c>
      <c r="F16" s="102" t="n">
        <f aca="false">F14</f>
        <v>-61269.6581057746</v>
      </c>
      <c r="G16" s="102" t="n">
        <f aca="false">G14</f>
        <v>-48056.3613739208</v>
      </c>
      <c r="H16" s="102" t="n">
        <f aca="false">H14</f>
        <v>30213.2973353362</v>
      </c>
      <c r="I16" s="102" t="n">
        <f aca="false">I14</f>
        <v>43429.5345500937</v>
      </c>
      <c r="J16" s="102" t="n">
        <f aca="false">J14</f>
        <v>57813.6722734605</v>
      </c>
      <c r="K16" s="102" t="n">
        <f aca="false">K14</f>
        <v>65672.2221494755</v>
      </c>
      <c r="L16" s="102" t="n">
        <f aca="false">L14</f>
        <v>73052.5967471454</v>
      </c>
      <c r="M16" s="102" t="n">
        <f aca="false">M14</f>
        <v>78680.4287536602</v>
      </c>
      <c r="N16" s="102" t="n">
        <f aca="false">N14</f>
        <v>87524.7283558871</v>
      </c>
      <c r="O16" s="102" t="n">
        <f aca="false">O14</f>
        <v>92222.1889112709</v>
      </c>
      <c r="P16" s="102" t="n">
        <f aca="false">P14</f>
        <v>100505.837719493</v>
      </c>
      <c r="Q16" s="102" t="n">
        <f aca="false">Q14</f>
        <v>106735.823154995</v>
      </c>
      <c r="R16" s="102" t="n">
        <f aca="false">R14</f>
        <v>112271.323478329</v>
      </c>
      <c r="S16" s="102" t="n">
        <f aca="false">S14</f>
        <v>118646.715730263</v>
      </c>
      <c r="T16" s="102" t="n">
        <f aca="false">T14</f>
        <v>161249.134714892</v>
      </c>
      <c r="U16" s="102" t="n">
        <f aca="false">U14</f>
        <v>204059.302435435</v>
      </c>
      <c r="V16" s="102" t="n">
        <f aca="false">V14</f>
        <v>211111.341943438</v>
      </c>
      <c r="W16" s="102" t="n">
        <f aca="false">W14</f>
        <v>217449.631502475</v>
      </c>
      <c r="X16" s="102" t="n">
        <f aca="false">X14</f>
        <v>220820.157829957</v>
      </c>
      <c r="Y16" s="102" t="n">
        <f aca="false">Y14</f>
        <v>226027.72698456</v>
      </c>
      <c r="Z16" s="607"/>
      <c r="AA16" s="607"/>
    </row>
    <row r="17" customFormat="false" ht="12.75" hidden="false" customHeight="false" outlineLevel="0" collapsed="false">
      <c r="A17" s="590" t="s">
        <v>434</v>
      </c>
      <c r="B17" s="94"/>
      <c r="C17" s="94"/>
      <c r="D17" s="636" t="n">
        <f aca="false">Allocation!$C$17</f>
        <v>0.0609945615265465</v>
      </c>
      <c r="E17" s="636" t="n">
        <f aca="false">Allocation!$C$17</f>
        <v>0.0609945615265465</v>
      </c>
      <c r="F17" s="636" t="n">
        <f aca="false">Allocation!$C$17</f>
        <v>0.0609945615265465</v>
      </c>
      <c r="G17" s="636" t="n">
        <f aca="false">Allocation!$C$17</f>
        <v>0.0609945615265465</v>
      </c>
      <c r="H17" s="636" t="n">
        <f aca="false">Allocation!$C$17</f>
        <v>0.0609945615265465</v>
      </c>
      <c r="I17" s="636" t="n">
        <f aca="false">Allocation!$C$17</f>
        <v>0.0609945615265465</v>
      </c>
      <c r="J17" s="636" t="n">
        <f aca="false">Allocation!$C$17</f>
        <v>0.0609945615265465</v>
      </c>
      <c r="K17" s="636" t="n">
        <f aca="false">Allocation!$C$17</f>
        <v>0.0609945615265465</v>
      </c>
      <c r="L17" s="636" t="n">
        <f aca="false">Allocation!$C$17</f>
        <v>0.0609945615265465</v>
      </c>
      <c r="M17" s="636" t="n">
        <f aca="false">Allocation!$C$17</f>
        <v>0.0609945615265465</v>
      </c>
      <c r="N17" s="636" t="n">
        <f aca="false">Allocation!$C$17</f>
        <v>0.0609945615265465</v>
      </c>
      <c r="O17" s="636" t="n">
        <f aca="false">Allocation!$C$17</f>
        <v>0.0609945615265465</v>
      </c>
      <c r="P17" s="636" t="n">
        <f aca="false">Allocation!$C$17</f>
        <v>0.0609945615265465</v>
      </c>
      <c r="Q17" s="636" t="n">
        <f aca="false">Allocation!$C$17</f>
        <v>0.0609945615265465</v>
      </c>
      <c r="R17" s="636" t="n">
        <f aca="false">Allocation!$C$17</f>
        <v>0.0609945615265465</v>
      </c>
      <c r="S17" s="636" t="n">
        <f aca="false">Allocation!$C$17</f>
        <v>0.0609945615265465</v>
      </c>
      <c r="T17" s="636" t="n">
        <f aca="false">Allocation!$C$17</f>
        <v>0.0609945615265465</v>
      </c>
      <c r="U17" s="636" t="n">
        <f aca="false">Allocation!$C$17</f>
        <v>0.0609945615265465</v>
      </c>
      <c r="V17" s="636" t="n">
        <f aca="false">Allocation!$C$17</f>
        <v>0.0609945615265465</v>
      </c>
      <c r="W17" s="636" t="n">
        <f aca="false">Allocation!$C$17</f>
        <v>0.0609945615265465</v>
      </c>
      <c r="X17" s="636" t="n">
        <f aca="false">Allocation!$C$17</f>
        <v>0.0609945615265465</v>
      </c>
      <c r="Y17" s="636" t="n">
        <f aca="false">Allocation!$C$17</f>
        <v>0.0609945615265465</v>
      </c>
      <c r="Z17" s="637"/>
      <c r="AA17" s="637"/>
    </row>
    <row r="18" customFormat="false" ht="12.75" hidden="false" customHeight="false" outlineLevel="0" collapsed="false">
      <c r="A18" s="590" t="s">
        <v>435</v>
      </c>
      <c r="B18" s="604"/>
      <c r="C18" s="604"/>
      <c r="D18" s="102" t="n">
        <f aca="false">D16*D17</f>
        <v>0</v>
      </c>
      <c r="E18" s="102" t="n">
        <f aca="false">E16*E17</f>
        <v>-1416.89677627601</v>
      </c>
      <c r="F18" s="102" t="n">
        <f aca="false">F16*F17</f>
        <v>-3737.11593104314</v>
      </c>
      <c r="G18" s="102" t="n">
        <f aca="false">G16*G17</f>
        <v>-2931.17669056357</v>
      </c>
      <c r="H18" s="102" t="n">
        <f aca="false">H16*H17</f>
        <v>1842.84682324001</v>
      </c>
      <c r="I18" s="102" t="n">
        <f aca="false">I16*I17</f>
        <v>2648.96541718497</v>
      </c>
      <c r="J18" s="102" t="n">
        <f aca="false">J16*J17</f>
        <v>3526.31959055918</v>
      </c>
      <c r="K18" s="102" t="n">
        <f aca="false">K16*K17</f>
        <v>4005.64839448122</v>
      </c>
      <c r="L18" s="102" t="n">
        <f aca="false">L16*L17</f>
        <v>4455.81110696776</v>
      </c>
      <c r="M18" s="102" t="n">
        <f aca="false">M16*M17</f>
        <v>4799.07825255019</v>
      </c>
      <c r="N18" s="102" t="n">
        <f aca="false">N16*N17</f>
        <v>5338.53242879743</v>
      </c>
      <c r="O18" s="102" t="n">
        <f aca="false">O16*O17</f>
        <v>5625.05197566131</v>
      </c>
      <c r="P18" s="102" t="n">
        <f aca="false">P16*P17</f>
        <v>6130.30950255873</v>
      </c>
      <c r="Q18" s="102" t="n">
        <f aca="false">Q16*Q17</f>
        <v>6510.30473251394</v>
      </c>
      <c r="R18" s="102" t="n">
        <f aca="false">R16*R17</f>
        <v>6847.94014756573</v>
      </c>
      <c r="S18" s="102" t="n">
        <f aca="false">S16*S17</f>
        <v>7236.80440253222</v>
      </c>
      <c r="T18" s="102" t="n">
        <f aca="false">T16*T17</f>
        <v>9835.32026846987</v>
      </c>
      <c r="U18" s="102" t="n">
        <f aca="false">U16*U17</f>
        <v>12446.5076774623</v>
      </c>
      <c r="V18" s="102" t="n">
        <f aca="false">V16*V17</f>
        <v>12876.6437351208</v>
      </c>
      <c r="W18" s="102" t="n">
        <f aca="false">W16*W17</f>
        <v>13263.2449276026</v>
      </c>
      <c r="X18" s="102" t="n">
        <f aca="false">X16*X17</f>
        <v>13468.8287030611</v>
      </c>
      <c r="Y18" s="102" t="n">
        <f aca="false">Y16*Y17</f>
        <v>13786.4621002652</v>
      </c>
      <c r="Z18" s="607"/>
      <c r="AA18" s="607"/>
    </row>
    <row r="19" customFormat="false" ht="12.75" hidden="false" customHeight="false" outlineLevel="0" collapsed="false">
      <c r="A19" s="590"/>
      <c r="B19" s="94"/>
      <c r="C19" s="94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607"/>
      <c r="AA19" s="607"/>
    </row>
    <row r="20" customFormat="false" ht="12.75" hidden="false" customHeight="false" outlineLevel="0" collapsed="false">
      <c r="A20" s="590" t="s">
        <v>436</v>
      </c>
      <c r="B20" s="604"/>
      <c r="C20" s="604"/>
      <c r="D20" s="102" t="n">
        <f aca="false">C24</f>
        <v>0</v>
      </c>
      <c r="E20" s="102" t="n">
        <f aca="false">D24</f>
        <v>0</v>
      </c>
      <c r="F20" s="102" t="n">
        <f aca="false">E24</f>
        <v>1416.89677627601</v>
      </c>
      <c r="G20" s="102" t="n">
        <f aca="false">F24</f>
        <v>5154.01270731915</v>
      </c>
      <c r="H20" s="102" t="n">
        <f aca="false">G24</f>
        <v>8085.18939788271</v>
      </c>
      <c r="I20" s="102" t="n">
        <f aca="false">H24</f>
        <v>6242.34257464271</v>
      </c>
      <c r="J20" s="102" t="n">
        <f aca="false">I24</f>
        <v>3593.37715745774</v>
      </c>
      <c r="K20" s="102" t="n">
        <f aca="false">J24</f>
        <v>67.0575668985553</v>
      </c>
      <c r="L20" s="102" t="n">
        <f aca="false">K24</f>
        <v>0</v>
      </c>
      <c r="M20" s="102" t="n">
        <f aca="false">L24</f>
        <v>0</v>
      </c>
      <c r="N20" s="102" t="n">
        <f aca="false">M24</f>
        <v>0</v>
      </c>
      <c r="O20" s="102" t="n">
        <f aca="false">N24</f>
        <v>0</v>
      </c>
      <c r="P20" s="102" t="n">
        <f aca="false">O24</f>
        <v>0</v>
      </c>
      <c r="Q20" s="102" t="n">
        <f aca="false">P24</f>
        <v>0</v>
      </c>
      <c r="R20" s="102" t="n">
        <f aca="false">Q24</f>
        <v>0</v>
      </c>
      <c r="S20" s="102" t="n">
        <f aca="false">R24</f>
        <v>0</v>
      </c>
      <c r="T20" s="102" t="n">
        <f aca="false">S24</f>
        <v>0</v>
      </c>
      <c r="U20" s="102" t="n">
        <f aca="false">T24</f>
        <v>0</v>
      </c>
      <c r="V20" s="102" t="n">
        <v>0</v>
      </c>
      <c r="W20" s="102" t="n">
        <f aca="false">V24</f>
        <v>0</v>
      </c>
      <c r="X20" s="102" t="n">
        <f aca="false">W24</f>
        <v>0</v>
      </c>
      <c r="Y20" s="102" t="n">
        <f aca="false">X24</f>
        <v>0</v>
      </c>
      <c r="Z20" s="607"/>
      <c r="AA20" s="607"/>
    </row>
    <row r="21" customFormat="false" ht="12.75" hidden="false" customHeight="false" outlineLevel="0" collapsed="false">
      <c r="A21" s="590" t="s">
        <v>437</v>
      </c>
      <c r="B21" s="604"/>
      <c r="C21" s="604"/>
      <c r="D21" s="102" t="n">
        <f aca="false">IF(D2&gt;2020,0,IF(D18&lt;0,-D18,0))</f>
        <v>0</v>
      </c>
      <c r="E21" s="102" t="n">
        <f aca="false">IF(E2&gt;2020,0,IF(E18&lt;0,-E18,0))</f>
        <v>1416.89677627601</v>
      </c>
      <c r="F21" s="102" t="n">
        <f aca="false">IF(F2&gt;2020,0,IF(F18&lt;0,-F18,0))</f>
        <v>3737.11593104314</v>
      </c>
      <c r="G21" s="102" t="n">
        <f aca="false">IF(G2&gt;2020,0,IF(G18&lt;0,-G18,0))</f>
        <v>2931.17669056357</v>
      </c>
      <c r="H21" s="102" t="n">
        <f aca="false">IF(H2&gt;2020,0,IF(H18&lt;0,-H18,0))</f>
        <v>0</v>
      </c>
      <c r="I21" s="102" t="n">
        <f aca="false">IF(I2&gt;2020,0,IF(I18&lt;0,-I18,0))</f>
        <v>0</v>
      </c>
      <c r="J21" s="102" t="n">
        <f aca="false">IF(J2&gt;2020,0,IF(J18&lt;0,-J18,0))</f>
        <v>0</v>
      </c>
      <c r="K21" s="102" t="n">
        <f aca="false">IF(K2&gt;2020,0,IF(K18&lt;0,-K18,0))</f>
        <v>0</v>
      </c>
      <c r="L21" s="102" t="n">
        <f aca="false">IF(L2&gt;2020,0,IF(L18&lt;0,-L18,0))</f>
        <v>0</v>
      </c>
      <c r="M21" s="102" t="n">
        <f aca="false">IF(M2&gt;2020,0,IF(M18&lt;0,-M18,0))</f>
        <v>0</v>
      </c>
      <c r="N21" s="102" t="n">
        <f aca="false">IF(N2&gt;2020,0,IF(N18&lt;0,-N18,0))</f>
        <v>0</v>
      </c>
      <c r="O21" s="102" t="n">
        <f aca="false">IF(O2&gt;2020,0,IF(O18&lt;0,-O18,0))</f>
        <v>0</v>
      </c>
      <c r="P21" s="102" t="n">
        <f aca="false">IF(P2&gt;2020,0,IF(P18&lt;0,-P18,0))</f>
        <v>0</v>
      </c>
      <c r="Q21" s="102" t="n">
        <f aca="false">IF(Q2&gt;2020,0,IF(Q18&lt;0,-Q18,0))</f>
        <v>0</v>
      </c>
      <c r="R21" s="102" t="n">
        <f aca="false">IF(R2&gt;2020,0,IF(R18&lt;0,-R18,0))</f>
        <v>0</v>
      </c>
      <c r="S21" s="102" t="n">
        <f aca="false">IF(S2&gt;2020,0,IF(S18&lt;0,-S18,0))</f>
        <v>0</v>
      </c>
      <c r="T21" s="102" t="n">
        <f aca="false">IF(T2&gt;2020,0,IF(T18&lt;0,-T18,0))</f>
        <v>0</v>
      </c>
      <c r="U21" s="102" t="n">
        <f aca="false">IF(U2&gt;2020,0,IF(U18&lt;0,-U18,0))</f>
        <v>0</v>
      </c>
      <c r="V21" s="102" t="n">
        <f aca="false">IF(V2&gt;2020,0,IF(V18&lt;0,-V18,0))</f>
        <v>0</v>
      </c>
      <c r="W21" s="102" t="n">
        <f aca="false">IF(W2&gt;2020,0,IF(W18&lt;0,-W18,0))</f>
        <v>0</v>
      </c>
      <c r="X21" s="102" t="n">
        <f aca="false">IF(X2&gt;2020,0,IF(X18&lt;0,-X18,0))</f>
        <v>0</v>
      </c>
      <c r="Y21" s="102" t="n">
        <f aca="false">IF(Y2&gt;2020,0,IF(Y18&lt;0,-Y18,0))</f>
        <v>0</v>
      </c>
      <c r="Z21" s="607"/>
      <c r="AA21" s="607"/>
    </row>
    <row r="22" customFormat="false" ht="12.75" hidden="false" customHeight="false" outlineLevel="0" collapsed="false">
      <c r="A22" s="590" t="s">
        <v>438</v>
      </c>
      <c r="B22" s="604"/>
      <c r="C22" s="638"/>
      <c r="D22" s="639" t="n">
        <v>0</v>
      </c>
      <c r="E22" s="639" t="n">
        <v>0</v>
      </c>
      <c r="F22" s="639" t="n">
        <v>0</v>
      </c>
      <c r="G22" s="639" t="n">
        <v>0</v>
      </c>
      <c r="H22" s="639" t="n">
        <v>0</v>
      </c>
      <c r="I22" s="639" t="n">
        <v>0</v>
      </c>
      <c r="J22" s="639" t="n">
        <v>0</v>
      </c>
      <c r="K22" s="639" t="n">
        <v>0</v>
      </c>
      <c r="L22" s="639" t="n">
        <v>0</v>
      </c>
      <c r="M22" s="639" t="n">
        <v>0</v>
      </c>
      <c r="N22" s="639" t="n">
        <v>0</v>
      </c>
      <c r="O22" s="639" t="n">
        <v>0</v>
      </c>
      <c r="P22" s="639" t="n">
        <v>0</v>
      </c>
      <c r="Q22" s="639" t="n">
        <v>0</v>
      </c>
      <c r="R22" s="639" t="n">
        <v>0</v>
      </c>
      <c r="S22" s="639" t="n">
        <v>0</v>
      </c>
      <c r="T22" s="639" t="n">
        <v>0</v>
      </c>
      <c r="U22" s="639" t="n">
        <v>0</v>
      </c>
      <c r="V22" s="639" t="n">
        <v>0</v>
      </c>
      <c r="W22" s="639" t="n">
        <v>0</v>
      </c>
      <c r="X22" s="102" t="n">
        <f aca="false">IF(P21&gt;(SUM(Q23:W23)+SUM(P22:W22))*-1,P21-(SUM(P23:W23)+SUM(P22:W22))*-1,0)</f>
        <v>0</v>
      </c>
      <c r="Y22" s="102" t="n">
        <f aca="false">IF(Q21&gt;(SUM(R23:X23)+SUM(Q22:X22))*-1,Q21-(SUM(Q23:X23)+SUM(Q22:X22))*-1,0)</f>
        <v>0</v>
      </c>
      <c r="Z22" s="607"/>
      <c r="AA22" s="607"/>
    </row>
    <row r="23" customFormat="false" ht="12.75" hidden="false" customHeight="false" outlineLevel="0" collapsed="false">
      <c r="A23" s="94" t="s">
        <v>439</v>
      </c>
      <c r="B23" s="640"/>
      <c r="C23" s="94"/>
      <c r="D23" s="373" t="n">
        <f aca="false">IF(D18&lt;0,0,IF(D20&gt;D18,-D18,-D20))</f>
        <v>-0</v>
      </c>
      <c r="E23" s="373" t="n">
        <f aca="false">IF(E18&lt;0,0,IF(E20&gt;E18,-E18,-E20))</f>
        <v>0</v>
      </c>
      <c r="F23" s="373" t="n">
        <f aca="false">IF(F18&lt;0,0,IF(F20&gt;F18,-F18,-F20))</f>
        <v>0</v>
      </c>
      <c r="G23" s="373" t="n">
        <f aca="false">IF(G18&lt;0,0,IF(G20&gt;G18,-G18,-G20))</f>
        <v>0</v>
      </c>
      <c r="H23" s="373" t="n">
        <f aca="false">IF(H18&lt;0,0,IF(H20&gt;H18,-H18,-H20))</f>
        <v>-1842.84682324001</v>
      </c>
      <c r="I23" s="373" t="n">
        <f aca="false">IF(I18&lt;0,0,IF(I20&gt;I18,-I18,-I20))</f>
        <v>-2648.96541718497</v>
      </c>
      <c r="J23" s="373" t="n">
        <f aca="false">IF(J18&lt;0,0,IF(J20&gt;J18,-J18,-J20))</f>
        <v>-3526.31959055918</v>
      </c>
      <c r="K23" s="373" t="n">
        <f aca="false">IF(K18&lt;0,0,IF(K20&gt;K18,-K18,-K20))</f>
        <v>-67.0575668985553</v>
      </c>
      <c r="L23" s="373" t="n">
        <f aca="false">IF(L18&lt;0,0,IF(L20&gt;L18,-L18,-L20))</f>
        <v>-0</v>
      </c>
      <c r="M23" s="373" t="n">
        <f aca="false">IF(M18&lt;0,0,IF(M20&gt;M18,-M18,-M20))</f>
        <v>-0</v>
      </c>
      <c r="N23" s="373" t="n">
        <f aca="false">IF(N18&lt;0,0,IF(N20&gt;N18,-N18,-N20))</f>
        <v>-0</v>
      </c>
      <c r="O23" s="373" t="n">
        <f aca="false">IF(O18&lt;0,0,IF(O20&gt;O18,-O18,-O20))</f>
        <v>-0</v>
      </c>
      <c r="P23" s="373" t="n">
        <f aca="false">IF(P18&lt;0,0,IF(P20&gt;P18,-P18,-P20))</f>
        <v>-0</v>
      </c>
      <c r="Q23" s="373" t="n">
        <f aca="false">IF(Q18&lt;0,0,IF(Q20&gt;Q18,-Q18,-Q20))</f>
        <v>-0</v>
      </c>
      <c r="R23" s="373" t="n">
        <f aca="false">IF(R18&lt;0,0,IF(R20&gt;R18,-R18,-R20))</f>
        <v>-0</v>
      </c>
      <c r="S23" s="373" t="n">
        <f aca="false">IF(S18&lt;0,0,IF(S20&gt;S18,-S18,-S20))</f>
        <v>-0</v>
      </c>
      <c r="T23" s="373" t="n">
        <f aca="false">IF(T18&lt;0,0,IF(T20&gt;T18,-T18,-T20))</f>
        <v>-0</v>
      </c>
      <c r="U23" s="373" t="n">
        <f aca="false">IF(U18&lt;0,0,IF(U20&gt;U18,-U18,-U20))</f>
        <v>-0</v>
      </c>
      <c r="V23" s="373" t="n">
        <f aca="false">IF(V18&lt;0,0,IF(V20&gt;V18,-V18,-V20))</f>
        <v>-0</v>
      </c>
      <c r="W23" s="373" t="n">
        <f aca="false">IF(W18&lt;0,0,IF(W20&gt;W18,-W18,-W20))</f>
        <v>-0</v>
      </c>
      <c r="X23" s="373" t="n">
        <f aca="false">IF(X18&lt;0,0,IF(X20&gt;X18,-X18,-X20))</f>
        <v>-0</v>
      </c>
      <c r="Y23" s="373" t="n">
        <f aca="false">IF(Y18&lt;0,0,IF(Y20&gt;Y18,-Y18,-Y20))</f>
        <v>-0</v>
      </c>
      <c r="Z23" s="633"/>
      <c r="AA23" s="633"/>
    </row>
    <row r="24" customFormat="false" ht="12.75" hidden="false" customHeight="false" outlineLevel="0" collapsed="false">
      <c r="A24" s="94" t="s">
        <v>440</v>
      </c>
      <c r="B24" s="640"/>
      <c r="C24" s="94"/>
      <c r="D24" s="373" t="n">
        <f aca="false">SUM(D20:D23)</f>
        <v>0</v>
      </c>
      <c r="E24" s="373" t="n">
        <f aca="false">SUM(E20:E23)</f>
        <v>1416.89677627601</v>
      </c>
      <c r="F24" s="373" t="n">
        <f aca="false">SUM(F20:F23)</f>
        <v>5154.01270731915</v>
      </c>
      <c r="G24" s="373" t="n">
        <f aca="false">SUM(G20:G23)</f>
        <v>8085.18939788271</v>
      </c>
      <c r="H24" s="373" t="n">
        <f aca="false">SUM(H20:H23)</f>
        <v>6242.34257464271</v>
      </c>
      <c r="I24" s="373" t="n">
        <f aca="false">SUM(I20:I23)</f>
        <v>3593.37715745774</v>
      </c>
      <c r="J24" s="373" t="n">
        <f aca="false">SUM(J20:J23)</f>
        <v>67.0575668985553</v>
      </c>
      <c r="K24" s="373" t="n">
        <f aca="false">SUM(K20:K23)</f>
        <v>0</v>
      </c>
      <c r="L24" s="373" t="n">
        <f aca="false">SUM(L20:L23)</f>
        <v>0</v>
      </c>
      <c r="M24" s="373" t="n">
        <f aca="false">SUM(M20:M23)</f>
        <v>0</v>
      </c>
      <c r="N24" s="373" t="n">
        <f aca="false">SUM(N20:N23)</f>
        <v>0</v>
      </c>
      <c r="O24" s="373" t="n">
        <f aca="false">SUM(O20:O23)</f>
        <v>0</v>
      </c>
      <c r="P24" s="373" t="n">
        <f aca="false">SUM(P20:P23)</f>
        <v>0</v>
      </c>
      <c r="Q24" s="373" t="n">
        <f aca="false">SUM(Q20:Q23)</f>
        <v>0</v>
      </c>
      <c r="R24" s="373" t="n">
        <f aca="false">SUM(R20:R23)</f>
        <v>0</v>
      </c>
      <c r="S24" s="373" t="n">
        <f aca="false">SUM(S20:S23)</f>
        <v>0</v>
      </c>
      <c r="T24" s="373" t="n">
        <f aca="false">SUM(T20:T23)</f>
        <v>0</v>
      </c>
      <c r="U24" s="373" t="n">
        <f aca="false">SUM(U20:U23)</f>
        <v>0</v>
      </c>
      <c r="V24" s="373" t="n">
        <f aca="false">SUM(V20:V23)</f>
        <v>0</v>
      </c>
      <c r="W24" s="373" t="n">
        <f aca="false">SUM(W20:W23)</f>
        <v>0</v>
      </c>
      <c r="X24" s="373" t="n">
        <f aca="false">SUM(X20:X23)</f>
        <v>0</v>
      </c>
      <c r="Y24" s="373" t="n">
        <f aca="false">SUM(Y20:Y23)</f>
        <v>0</v>
      </c>
      <c r="Z24" s="633"/>
      <c r="AA24" s="633"/>
    </row>
    <row r="25" customFormat="false" ht="12.75" hidden="false" customHeight="false" outlineLevel="0" collapsed="false">
      <c r="A25" s="94"/>
      <c r="B25" s="94"/>
      <c r="C25" s="94"/>
      <c r="D25" s="102"/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607"/>
      <c r="AA25" s="607"/>
    </row>
    <row r="26" customFormat="false" ht="12.75" hidden="false" customHeight="false" outlineLevel="0" collapsed="false">
      <c r="A26" s="154" t="s">
        <v>441</v>
      </c>
      <c r="B26" s="94"/>
      <c r="C26" s="94"/>
      <c r="D26" s="102" t="n">
        <f aca="false">IF(D18&lt;0,0,D18+D23)</f>
        <v>0</v>
      </c>
      <c r="E26" s="102" t="n">
        <f aca="false">IF(E18&lt;0,0,E18+E23)</f>
        <v>0</v>
      </c>
      <c r="F26" s="102" t="n">
        <f aca="false">IF(F18&lt;0,0,F18+F23)</f>
        <v>0</v>
      </c>
      <c r="G26" s="102" t="n">
        <f aca="false">IF(G18&lt;0,0,G18+G23)</f>
        <v>0</v>
      </c>
      <c r="H26" s="102" t="n">
        <f aca="false">IF(H18&lt;0,0,H18+H23)</f>
        <v>0</v>
      </c>
      <c r="I26" s="102" t="n">
        <f aca="false">IF(I18&lt;0,0,I18+I23)</f>
        <v>0</v>
      </c>
      <c r="J26" s="102" t="n">
        <f aca="false">IF(J18&lt;0,0,J18+J23)</f>
        <v>0</v>
      </c>
      <c r="K26" s="102" t="n">
        <f aca="false">IF(K18&lt;0,0,K18+K23)</f>
        <v>3938.59082758266</v>
      </c>
      <c r="L26" s="102" t="n">
        <f aca="false">IF(L18&lt;0,0,L18+L23)</f>
        <v>4455.81110696776</v>
      </c>
      <c r="M26" s="102" t="n">
        <f aca="false">IF(M18&lt;0,0,M18+M23)</f>
        <v>4799.07825255019</v>
      </c>
      <c r="N26" s="102" t="n">
        <f aca="false">IF(N18&lt;0,0,N18+N23)</f>
        <v>5338.53242879743</v>
      </c>
      <c r="O26" s="102" t="n">
        <f aca="false">IF(O18&lt;0,0,O18+O23)</f>
        <v>5625.05197566131</v>
      </c>
      <c r="P26" s="102" t="n">
        <f aca="false">IF(P18&lt;0,0,P18+P23)</f>
        <v>6130.30950255873</v>
      </c>
      <c r="Q26" s="102" t="n">
        <f aca="false">IF(Q18&lt;0,0,Q18+Q23)</f>
        <v>6510.30473251394</v>
      </c>
      <c r="R26" s="102" t="n">
        <f aca="false">IF(R18&lt;0,0,R18+R23)</f>
        <v>6847.94014756573</v>
      </c>
      <c r="S26" s="102" t="n">
        <f aca="false">IF(S18&lt;0,0,S18+S23)</f>
        <v>7236.80440253222</v>
      </c>
      <c r="T26" s="102" t="n">
        <f aca="false">IF(T18&lt;0,0,T18+T23)</f>
        <v>9835.32026846987</v>
      </c>
      <c r="U26" s="102" t="n">
        <f aca="false">IF(U18&lt;0,0,U18+U23)</f>
        <v>12446.5076774623</v>
      </c>
      <c r="V26" s="102" t="n">
        <f aca="false">IF(V18&lt;0,0,V18+V23)</f>
        <v>12876.6437351208</v>
      </c>
      <c r="W26" s="102" t="n">
        <f aca="false">IF(W18&lt;0,0,W18+W23)</f>
        <v>13263.2449276026</v>
      </c>
      <c r="X26" s="102" t="n">
        <f aca="false">IF(X18&lt;0,0,X18+X23)</f>
        <v>13468.8287030611</v>
      </c>
      <c r="Y26" s="102" t="n">
        <f aca="false">IF(Y18&lt;0,0,Y18+Y23)</f>
        <v>13786.4621002652</v>
      </c>
      <c r="Z26" s="607"/>
      <c r="AA26" s="607"/>
    </row>
    <row r="27" customFormat="false" ht="15.75" hidden="false" customHeight="false" outlineLevel="0" collapsed="false">
      <c r="A27" s="94" t="s">
        <v>442</v>
      </c>
      <c r="B27" s="94"/>
      <c r="C27" s="94"/>
      <c r="D27" s="102" t="n">
        <v>0</v>
      </c>
      <c r="E27" s="102" t="n">
        <v>0</v>
      </c>
      <c r="F27" s="102" t="n">
        <v>0</v>
      </c>
      <c r="G27" s="102" t="n">
        <v>0</v>
      </c>
      <c r="H27" s="102" t="n">
        <v>0</v>
      </c>
      <c r="I27" s="102" t="n">
        <v>0</v>
      </c>
      <c r="J27" s="102" t="n">
        <v>0</v>
      </c>
      <c r="K27" s="102" t="n">
        <v>0</v>
      </c>
      <c r="L27" s="102" t="n">
        <v>0</v>
      </c>
      <c r="M27" s="102" t="n">
        <v>0</v>
      </c>
      <c r="N27" s="102" t="n">
        <v>0</v>
      </c>
      <c r="O27" s="102" t="n">
        <v>0</v>
      </c>
      <c r="P27" s="102" t="n">
        <v>0</v>
      </c>
      <c r="Q27" s="102" t="n">
        <v>0</v>
      </c>
      <c r="R27" s="102" t="n">
        <v>0</v>
      </c>
      <c r="S27" s="102" t="n">
        <v>0</v>
      </c>
      <c r="T27" s="102" t="n">
        <v>0</v>
      </c>
      <c r="U27" s="102" t="n">
        <v>0</v>
      </c>
      <c r="V27" s="102" t="n">
        <v>0</v>
      </c>
      <c r="W27" s="102" t="n">
        <v>0</v>
      </c>
      <c r="X27" s="102" t="n">
        <v>0</v>
      </c>
      <c r="Y27" s="102" t="n">
        <v>0</v>
      </c>
      <c r="Z27" s="633"/>
      <c r="AA27" s="633"/>
    </row>
    <row r="28" customFormat="false" ht="12.75" hidden="false" customHeight="false" outlineLevel="0" collapsed="false">
      <c r="A28" s="154" t="s">
        <v>443</v>
      </c>
      <c r="B28" s="94"/>
      <c r="C28" s="94"/>
      <c r="D28" s="641" t="n">
        <f aca="false">SUM(D26:D27)</f>
        <v>0</v>
      </c>
      <c r="E28" s="642" t="n">
        <f aca="false">SUM(E26:E27)</f>
        <v>0</v>
      </c>
      <c r="F28" s="642" t="n">
        <f aca="false">SUM(F26:F27)</f>
        <v>0</v>
      </c>
      <c r="G28" s="642" t="n">
        <f aca="false">SUM(G26:G27)</f>
        <v>0</v>
      </c>
      <c r="H28" s="642" t="n">
        <f aca="false">SUM(H26:H27)</f>
        <v>0</v>
      </c>
      <c r="I28" s="642" t="n">
        <f aca="false">SUM(I26:I27)</f>
        <v>0</v>
      </c>
      <c r="J28" s="642" t="n">
        <f aca="false">SUM(J26:J27)</f>
        <v>0</v>
      </c>
      <c r="K28" s="642" t="n">
        <f aca="false">SUM(K26:K27)</f>
        <v>3938.59082758266</v>
      </c>
      <c r="L28" s="642" t="n">
        <f aca="false">SUM(L26:L27)</f>
        <v>4455.81110696776</v>
      </c>
      <c r="M28" s="642" t="n">
        <f aca="false">SUM(M26:M27)</f>
        <v>4799.07825255019</v>
      </c>
      <c r="N28" s="405" t="n">
        <f aca="false">SUM(N26:N27)</f>
        <v>5338.53242879743</v>
      </c>
      <c r="O28" s="641" t="n">
        <f aca="false">SUM(O26:O27)</f>
        <v>5625.05197566131</v>
      </c>
      <c r="P28" s="642" t="n">
        <f aca="false">SUM(P26:P27)</f>
        <v>6130.30950255873</v>
      </c>
      <c r="Q28" s="642" t="n">
        <f aca="false">SUM(Q26:Q27)</f>
        <v>6510.30473251394</v>
      </c>
      <c r="R28" s="642" t="n">
        <f aca="false">SUM(R26:R27)</f>
        <v>6847.94014756573</v>
      </c>
      <c r="S28" s="642" t="n">
        <f aca="false">SUM(S26:S27)</f>
        <v>7236.80440253222</v>
      </c>
      <c r="T28" s="642" t="n">
        <f aca="false">SUM(T26:T27)</f>
        <v>9835.32026846987</v>
      </c>
      <c r="U28" s="642" t="n">
        <f aca="false">SUM(U26:U27)</f>
        <v>12446.5076774623</v>
      </c>
      <c r="V28" s="642" t="n">
        <f aca="false">SUM(V26:V27)</f>
        <v>12876.6437351208</v>
      </c>
      <c r="W28" s="642" t="n">
        <f aca="false">SUM(W26:W27)</f>
        <v>13263.2449276026</v>
      </c>
      <c r="X28" s="642" t="n">
        <f aca="false">SUM(X26:X27)</f>
        <v>13468.8287030611</v>
      </c>
      <c r="Y28" s="642" t="n">
        <f aca="false">SUM(Y26:Y27)</f>
        <v>13786.4621002652</v>
      </c>
      <c r="Z28" s="643"/>
      <c r="AA28" s="643"/>
    </row>
    <row r="29" customFormat="false" ht="12.75" hidden="false" customHeight="false" outlineLevel="0" collapsed="false">
      <c r="A29" s="154"/>
      <c r="B29" s="94"/>
      <c r="C29" s="94"/>
      <c r="D29" s="372"/>
      <c r="E29" s="372"/>
      <c r="F29" s="372"/>
      <c r="G29" s="372"/>
      <c r="H29" s="372"/>
      <c r="I29" s="372"/>
      <c r="J29" s="372"/>
      <c r="K29" s="372"/>
      <c r="L29" s="372"/>
      <c r="M29" s="372"/>
      <c r="N29" s="372"/>
      <c r="O29" s="372"/>
      <c r="P29" s="372"/>
      <c r="Q29" s="372"/>
      <c r="R29" s="372"/>
      <c r="S29" s="372"/>
      <c r="T29" s="372"/>
      <c r="U29" s="372"/>
      <c r="V29" s="372"/>
      <c r="W29" s="372"/>
      <c r="X29" s="372"/>
      <c r="Y29" s="372"/>
      <c r="Z29" s="643"/>
      <c r="AA29" s="643"/>
    </row>
    <row r="30" customFormat="false" ht="12.75" hidden="false" customHeight="false" outlineLevel="0" collapsed="false">
      <c r="A30" s="590"/>
      <c r="B30" s="94"/>
      <c r="C30" s="94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607"/>
      <c r="AA30" s="607"/>
    </row>
    <row r="31" customFormat="false" ht="12.75" hidden="false" customHeight="false" outlineLevel="0" collapsed="false">
      <c r="A31" s="630" t="s">
        <v>444</v>
      </c>
      <c r="B31" s="94"/>
      <c r="C31" s="94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607"/>
      <c r="AA31" s="607"/>
    </row>
    <row r="32" customFormat="false" ht="12.75" hidden="false" customHeight="false" outlineLevel="0" collapsed="false">
      <c r="A32" s="590" t="s">
        <v>430</v>
      </c>
      <c r="B32" s="94"/>
      <c r="C32" s="632"/>
      <c r="D32" s="102" t="n">
        <f aca="false">D11</f>
        <v>0</v>
      </c>
      <c r="E32" s="102" t="n">
        <f aca="false">E11</f>
        <v>11109.6272166016</v>
      </c>
      <c r="F32" s="102" t="n">
        <f aca="false">F11</f>
        <v>17342.9184724304</v>
      </c>
      <c r="G32" s="102" t="n">
        <f aca="false">G11</f>
        <v>19066.6847813158</v>
      </c>
      <c r="H32" s="102" t="n">
        <f aca="false">H11</f>
        <v>87056.2373226536</v>
      </c>
      <c r="I32" s="102" t="n">
        <f aca="false">I11</f>
        <v>90959.9077735315</v>
      </c>
      <c r="J32" s="102" t="n">
        <f aca="false">J11</f>
        <v>96878.0757115531</v>
      </c>
      <c r="K32" s="102" t="n">
        <f aca="false">K11</f>
        <v>100745.525545905</v>
      </c>
      <c r="L32" s="102" t="n">
        <f aca="false">L11</f>
        <v>108246.84256908</v>
      </c>
      <c r="M32" s="102" t="n">
        <f aca="false">M11</f>
        <v>113753.73215009</v>
      </c>
      <c r="N32" s="102" t="n">
        <f aca="false">N11</f>
        <v>122718.974177822</v>
      </c>
      <c r="O32" s="102" t="n">
        <f aca="false">O11</f>
        <v>127295.492307701</v>
      </c>
      <c r="P32" s="102" t="n">
        <f aca="false">P11</f>
        <v>135700.083541428</v>
      </c>
      <c r="Q32" s="102" t="n">
        <f aca="false">Q11</f>
        <v>141809.126551425</v>
      </c>
      <c r="R32" s="102" t="n">
        <f aca="false">R11</f>
        <v>147465.569300264</v>
      </c>
      <c r="S32" s="102" t="n">
        <f aca="false">S11</f>
        <v>153720.019126693</v>
      </c>
      <c r="T32" s="102" t="n">
        <f aca="false">T11</f>
        <v>160644.422587367</v>
      </c>
      <c r="U32" s="102" t="n">
        <f aca="false">U11</f>
        <v>167776.574783956</v>
      </c>
      <c r="V32" s="102" t="n">
        <f aca="false">V11</f>
        <v>174828.614291958</v>
      </c>
      <c r="W32" s="102" t="n">
        <f aca="false">W11</f>
        <v>181166.903850996</v>
      </c>
      <c r="X32" s="102" t="n">
        <f aca="false">X11</f>
        <v>184537.430178478</v>
      </c>
      <c r="Y32" s="102" t="n">
        <f aca="false">Y11</f>
        <v>189744.999333081</v>
      </c>
      <c r="Z32" s="607"/>
      <c r="AA32" s="607"/>
    </row>
    <row r="33" customFormat="false" ht="12.75" hidden="false" customHeight="false" outlineLevel="0" collapsed="false">
      <c r="A33" s="590" t="s">
        <v>431</v>
      </c>
      <c r="B33" s="94"/>
      <c r="C33" s="632"/>
      <c r="D33" s="102" t="n">
        <f aca="false">D12</f>
        <v>0</v>
      </c>
      <c r="E33" s="102" t="n">
        <f aca="false">E12</f>
        <v>27106.6984637297</v>
      </c>
      <c r="F33" s="102" t="n">
        <f aca="false">F12</f>
        <v>37257.7276514792</v>
      </c>
      <c r="G33" s="102" t="n">
        <f aca="false">G12</f>
        <v>37257.7276514792</v>
      </c>
      <c r="H33" s="102" t="n">
        <f aca="false">H12</f>
        <v>37257.7276514792</v>
      </c>
      <c r="I33" s="102" t="n">
        <f aca="false">I12</f>
        <v>37257.7276514792</v>
      </c>
      <c r="J33" s="102" t="n">
        <f aca="false">J12</f>
        <v>37257.7276514792</v>
      </c>
      <c r="K33" s="102" t="n">
        <f aca="false">K12</f>
        <v>37257.7276514792</v>
      </c>
      <c r="L33" s="102" t="n">
        <f aca="false">L12</f>
        <v>37257.7276514792</v>
      </c>
      <c r="M33" s="102" t="n">
        <f aca="false">M12</f>
        <v>37257.7276514792</v>
      </c>
      <c r="N33" s="102" t="n">
        <f aca="false">N12</f>
        <v>37257.7276514792</v>
      </c>
      <c r="O33" s="102" t="n">
        <f aca="false">O12</f>
        <v>37257.7276514792</v>
      </c>
      <c r="P33" s="102" t="n">
        <f aca="false">P12</f>
        <v>37257.7276514792</v>
      </c>
      <c r="Q33" s="102" t="n">
        <f aca="false">Q12</f>
        <v>37257.7276514792</v>
      </c>
      <c r="R33" s="102" t="n">
        <f aca="false">R12</f>
        <v>37257.7276514792</v>
      </c>
      <c r="S33" s="102" t="n">
        <f aca="false">S12</f>
        <v>37257.7276514792</v>
      </c>
      <c r="T33" s="102" t="n">
        <f aca="false">T12</f>
        <v>37257.7276514792</v>
      </c>
      <c r="U33" s="102" t="n">
        <f aca="false">U12</f>
        <v>37257.7276514792</v>
      </c>
      <c r="V33" s="102" t="n">
        <f aca="false">V12</f>
        <v>37257.7276514792</v>
      </c>
      <c r="W33" s="102" t="n">
        <f aca="false">W12</f>
        <v>37257.7276514792</v>
      </c>
      <c r="X33" s="102" t="n">
        <f aca="false">X12</f>
        <v>37257.7276514792</v>
      </c>
      <c r="Y33" s="102" t="n">
        <f aca="false">Y12</f>
        <v>36282.7276514792</v>
      </c>
      <c r="Z33" s="607"/>
      <c r="AA33" s="607"/>
    </row>
    <row r="34" customFormat="false" ht="12.75" hidden="false" customHeight="false" outlineLevel="0" collapsed="false">
      <c r="A34" s="590" t="s">
        <v>445</v>
      </c>
      <c r="B34" s="102"/>
      <c r="C34" s="102"/>
      <c r="D34" s="102" t="n">
        <f aca="false">-Depreciation!G20-Depreciation!G56</f>
        <v>-0</v>
      </c>
      <c r="E34" s="102" t="n">
        <f aca="false">-Depreciation!H20-Depreciation!H56</f>
        <v>-61446.2127524654</v>
      </c>
      <c r="F34" s="102" t="n">
        <f aca="false">-Depreciation!I20-Depreciation!I56</f>
        <v>-115870.304229684</v>
      </c>
      <c r="G34" s="102" t="n">
        <f aca="false">-Depreciation!J20-Depreciation!J56</f>
        <v>-104380.773806716</v>
      </c>
      <c r="H34" s="102" t="n">
        <f aca="false">-Depreciation!K20-Depreciation!K56</f>
        <v>-94100.6676387967</v>
      </c>
      <c r="I34" s="102" t="n">
        <f aca="false">-Depreciation!L20-Depreciation!L56</f>
        <v>-84788.100874917</v>
      </c>
      <c r="J34" s="102" t="n">
        <f aca="false">-Depreciation!M20-Depreciation!M56</f>
        <v>-76322.1310895719</v>
      </c>
      <c r="K34" s="102" t="n">
        <f aca="false">-Depreciation!N20-Depreciation!N56</f>
        <v>-72331.0310479091</v>
      </c>
      <c r="L34" s="102" t="n">
        <f aca="false">-Depreciation!O20-Depreciation!O56</f>
        <v>-72451.9734734141</v>
      </c>
      <c r="M34" s="102" t="n">
        <f aca="false">-Depreciation!P20-Depreciation!P56</f>
        <v>-72331.0310479091</v>
      </c>
      <c r="N34" s="102" t="n">
        <f aca="false">-Depreciation!Q20-Depreciation!Q56</f>
        <v>-72451.9734734141</v>
      </c>
      <c r="O34" s="102" t="n">
        <f aca="false">-Depreciation!R20-Depreciation!R56</f>
        <v>-72331.0310479091</v>
      </c>
      <c r="P34" s="102" t="n">
        <f aca="false">-Depreciation!S20-Depreciation!S56</f>
        <v>-72451.9734734141</v>
      </c>
      <c r="Q34" s="102" t="n">
        <f aca="false">-Depreciation!T20-Depreciation!T56</f>
        <v>-72331.0310479091</v>
      </c>
      <c r="R34" s="102" t="n">
        <f aca="false">-Depreciation!U20-Depreciation!U56</f>
        <v>-72451.9734734141</v>
      </c>
      <c r="S34" s="102" t="n">
        <f aca="false">-Depreciation!V20-Depreciation!V56</f>
        <v>-72331.0310479091</v>
      </c>
      <c r="T34" s="102" t="n">
        <f aca="false">-Depreciation!W20-Depreciation!W56</f>
        <v>-36653.0155239546</v>
      </c>
      <c r="U34" s="102" t="n">
        <f aca="false">-Depreciation!X20-Depreciation!X56</f>
        <v>-975</v>
      </c>
      <c r="V34" s="102" t="n">
        <f aca="false">-Depreciation!Y20-Depreciation!Y56</f>
        <v>-975</v>
      </c>
      <c r="W34" s="102" t="n">
        <f aca="false">-Depreciation!Z20-Depreciation!Z56</f>
        <v>-975</v>
      </c>
      <c r="X34" s="102" t="n">
        <f aca="false">-Depreciation!AA20-Depreciation!AA56</f>
        <v>-975</v>
      </c>
      <c r="Y34" s="102" t="n">
        <f aca="false">-Depreciation!AB20-Depreciation!AB56</f>
        <v>-0</v>
      </c>
      <c r="Z34" s="607"/>
      <c r="AA34" s="607"/>
    </row>
    <row r="35" customFormat="false" ht="15" hidden="false" customHeight="false" outlineLevel="0" collapsed="false">
      <c r="A35" s="590" t="s">
        <v>446</v>
      </c>
      <c r="B35" s="102"/>
      <c r="C35" s="102"/>
      <c r="D35" s="373" t="n">
        <f aca="false">-D28</f>
        <v>-0</v>
      </c>
      <c r="E35" s="373" t="n">
        <f aca="false">-E28</f>
        <v>-0</v>
      </c>
      <c r="F35" s="373" t="n">
        <f aca="false">-F28</f>
        <v>-0</v>
      </c>
      <c r="G35" s="373" t="n">
        <f aca="false">-G28</f>
        <v>-0</v>
      </c>
      <c r="H35" s="373" t="n">
        <f aca="false">-H28</f>
        <v>-0</v>
      </c>
      <c r="I35" s="373" t="n">
        <f aca="false">-I28</f>
        <v>-0</v>
      </c>
      <c r="J35" s="373" t="n">
        <f aca="false">-J28</f>
        <v>-0</v>
      </c>
      <c r="K35" s="373" t="n">
        <f aca="false">-K28</f>
        <v>-3938.59082758266</v>
      </c>
      <c r="L35" s="373" t="n">
        <f aca="false">-L28</f>
        <v>-4455.81110696776</v>
      </c>
      <c r="M35" s="373" t="n">
        <f aca="false">-M28</f>
        <v>-4799.07825255019</v>
      </c>
      <c r="N35" s="373" t="n">
        <f aca="false">-N28</f>
        <v>-5338.53242879743</v>
      </c>
      <c r="O35" s="373" t="n">
        <f aca="false">-O28</f>
        <v>-5625.05197566131</v>
      </c>
      <c r="P35" s="373" t="n">
        <f aca="false">-P28</f>
        <v>-6130.30950255873</v>
      </c>
      <c r="Q35" s="373" t="n">
        <f aca="false">-Q28</f>
        <v>-6510.30473251394</v>
      </c>
      <c r="R35" s="373" t="n">
        <f aca="false">-R28</f>
        <v>-6847.94014756573</v>
      </c>
      <c r="S35" s="373" t="n">
        <f aca="false">-S28</f>
        <v>-7236.80440253222</v>
      </c>
      <c r="T35" s="373" t="n">
        <f aca="false">-T28</f>
        <v>-9835.32026846987</v>
      </c>
      <c r="U35" s="373" t="n">
        <f aca="false">-U28</f>
        <v>-12446.5076774623</v>
      </c>
      <c r="V35" s="373" t="n">
        <f aca="false">-V28</f>
        <v>-12876.6437351208</v>
      </c>
      <c r="W35" s="373" t="n">
        <f aca="false">-W28</f>
        <v>-13263.2449276026</v>
      </c>
      <c r="X35" s="373" t="n">
        <f aca="false">-X28</f>
        <v>-13468.8287030611</v>
      </c>
      <c r="Y35" s="373" t="n">
        <f aca="false">-Y28</f>
        <v>-13786.4621002652</v>
      </c>
      <c r="Z35" s="633"/>
      <c r="AA35" s="633"/>
    </row>
    <row r="36" customFormat="false" ht="12.75" hidden="false" customHeight="false" outlineLevel="0" collapsed="false">
      <c r="A36" s="634" t="s">
        <v>447</v>
      </c>
      <c r="B36" s="372"/>
      <c r="C36" s="372"/>
      <c r="D36" s="372" t="n">
        <f aca="false">SUM(D32:D35)</f>
        <v>0</v>
      </c>
      <c r="E36" s="372" t="n">
        <f aca="false">SUM(E32:E35)</f>
        <v>-23229.8870721341</v>
      </c>
      <c r="F36" s="372" t="n">
        <f aca="false">SUM(F32:F35)</f>
        <v>-61269.6581057746</v>
      </c>
      <c r="G36" s="372" t="n">
        <f aca="false">SUM(G32:G35)</f>
        <v>-48056.3613739208</v>
      </c>
      <c r="H36" s="372" t="n">
        <f aca="false">SUM(H32:H35)</f>
        <v>30213.2973353362</v>
      </c>
      <c r="I36" s="372" t="n">
        <f aca="false">SUM(I32:I35)</f>
        <v>43429.5345500937</v>
      </c>
      <c r="J36" s="372" t="n">
        <f aca="false">SUM(J32:J35)</f>
        <v>57813.6722734605</v>
      </c>
      <c r="K36" s="372" t="n">
        <f aca="false">SUM(K32:K35)</f>
        <v>61733.6313218929</v>
      </c>
      <c r="L36" s="372" t="n">
        <f aca="false">SUM(L32:L35)</f>
        <v>68596.7856401777</v>
      </c>
      <c r="M36" s="372" t="n">
        <f aca="false">SUM(M32:M35)</f>
        <v>73881.35050111</v>
      </c>
      <c r="N36" s="372" t="n">
        <f aca="false">SUM(N32:N35)</f>
        <v>82186.1959270897</v>
      </c>
      <c r="O36" s="372" t="n">
        <f aca="false">SUM(O32:O35)</f>
        <v>86597.1369356096</v>
      </c>
      <c r="P36" s="372" t="n">
        <f aca="false">SUM(P32:P35)</f>
        <v>94375.5282169345</v>
      </c>
      <c r="Q36" s="372" t="n">
        <f aca="false">SUM(Q32:Q35)</f>
        <v>100225.518422481</v>
      </c>
      <c r="R36" s="372" t="n">
        <f aca="false">SUM(R32:R35)</f>
        <v>105423.383330763</v>
      </c>
      <c r="S36" s="372" t="n">
        <f aca="false">SUM(S32:S35)</f>
        <v>111409.911327731</v>
      </c>
      <c r="T36" s="372" t="n">
        <f aca="false">SUM(T32:T35)</f>
        <v>151413.814446422</v>
      </c>
      <c r="U36" s="372" t="n">
        <f aca="false">SUM(U32:U35)</f>
        <v>191612.794757973</v>
      </c>
      <c r="V36" s="372" t="n">
        <f aca="false">SUM(V32:V35)</f>
        <v>198234.698208317</v>
      </c>
      <c r="W36" s="372" t="n">
        <f aca="false">SUM(W32:W35)</f>
        <v>204186.386574873</v>
      </c>
      <c r="X36" s="372" t="n">
        <f aca="false">SUM(X32:X35)</f>
        <v>207351.329126896</v>
      </c>
      <c r="Y36" s="372" t="n">
        <f aca="false">SUM(Y32:Y35)</f>
        <v>212241.264884295</v>
      </c>
      <c r="Z36" s="643"/>
      <c r="AA36" s="643"/>
    </row>
    <row r="37" customFormat="false" ht="12.75" hidden="false" customHeight="false" outlineLevel="0" collapsed="false">
      <c r="A37" s="634"/>
      <c r="B37" s="372"/>
      <c r="C37" s="372"/>
      <c r="D37" s="372"/>
      <c r="E37" s="372"/>
      <c r="F37" s="372"/>
      <c r="G37" s="372"/>
      <c r="H37" s="372"/>
      <c r="I37" s="372"/>
      <c r="J37" s="372"/>
      <c r="K37" s="372"/>
      <c r="L37" s="372"/>
      <c r="M37" s="372"/>
      <c r="N37" s="372"/>
      <c r="O37" s="372"/>
      <c r="P37" s="372"/>
      <c r="Q37" s="372"/>
      <c r="R37" s="372"/>
      <c r="S37" s="372"/>
      <c r="T37" s="372"/>
      <c r="U37" s="372"/>
      <c r="V37" s="372"/>
      <c r="W37" s="372"/>
      <c r="X37" s="372"/>
      <c r="Y37" s="372"/>
      <c r="Z37" s="643"/>
      <c r="AA37" s="643"/>
    </row>
    <row r="38" customFormat="false" ht="12.75" hidden="false" customHeight="false" outlineLevel="0" collapsed="false">
      <c r="A38" s="590" t="s">
        <v>448</v>
      </c>
      <c r="B38" s="94"/>
      <c r="C38" s="644"/>
      <c r="D38" s="645" t="n">
        <f aca="false">IF(D4&gt;2020,0,Assumptions!$L$43)</f>
        <v>0.35</v>
      </c>
      <c r="E38" s="645" t="n">
        <f aca="false">IF(E4&gt;2020,0,Assumptions!$L$43)</f>
        <v>0.35</v>
      </c>
      <c r="F38" s="645" t="n">
        <f aca="false">IF(F4&gt;2020,0,Assumptions!$L$43)</f>
        <v>0.35</v>
      </c>
      <c r="G38" s="645" t="n">
        <f aca="false">IF(G4&gt;2020,0,Assumptions!$L$43)</f>
        <v>0.35</v>
      </c>
      <c r="H38" s="645" t="n">
        <f aca="false">IF(H4&gt;2020,0,Assumptions!$L$43)</f>
        <v>0.35</v>
      </c>
      <c r="I38" s="645" t="n">
        <f aca="false">IF(I4&gt;2020,0,Assumptions!$L$43)</f>
        <v>0.35</v>
      </c>
      <c r="J38" s="645" t="n">
        <f aca="false">IF(J4&gt;2020,0,Assumptions!$L$43)</f>
        <v>0.35</v>
      </c>
      <c r="K38" s="645" t="n">
        <f aca="false">IF(K4&gt;2020,0,Assumptions!$L$43)</f>
        <v>0.35</v>
      </c>
      <c r="L38" s="645" t="n">
        <f aca="false">IF(L4&gt;2020,0,Assumptions!$L$43)</f>
        <v>0.35</v>
      </c>
      <c r="M38" s="645" t="n">
        <f aca="false">IF(M4&gt;2020,0,Assumptions!$L$43)</f>
        <v>0.35</v>
      </c>
      <c r="N38" s="645" t="n">
        <f aca="false">IF(N4&gt;2020,0,Assumptions!$L$43)</f>
        <v>0.35</v>
      </c>
      <c r="O38" s="645" t="n">
        <f aca="false">IF(O4&gt;2020,0,Assumptions!$L$43)</f>
        <v>0.35</v>
      </c>
      <c r="P38" s="645" t="n">
        <f aca="false">IF(P4&gt;2020,0,Assumptions!$L$43)</f>
        <v>0.35</v>
      </c>
      <c r="Q38" s="645" t="n">
        <f aca="false">IF(Q4&gt;2020,0,Assumptions!$L$43)</f>
        <v>0.35</v>
      </c>
      <c r="R38" s="645" t="n">
        <f aca="false">IF(R4&gt;2020,0,Assumptions!$L$43)</f>
        <v>0.35</v>
      </c>
      <c r="S38" s="645" t="n">
        <f aca="false">IF(S4&gt;2020,0,Assumptions!$L$43)</f>
        <v>0.35</v>
      </c>
      <c r="T38" s="645" t="n">
        <f aca="false">IF(T4&gt;2020,0,Assumptions!$L$43)</f>
        <v>0.35</v>
      </c>
      <c r="U38" s="645" t="n">
        <f aca="false">IF(U4&gt;2020,0,Assumptions!$L$43)</f>
        <v>0.35</v>
      </c>
      <c r="V38" s="645" t="n">
        <f aca="false">IF(V4&gt;2020,0,Assumptions!$L$43)</f>
        <v>0.35</v>
      </c>
      <c r="W38" s="645" t="n">
        <f aca="false">IF(W4&gt;2020,0,Assumptions!$L$43)</f>
        <v>0.35</v>
      </c>
      <c r="X38" s="645" t="n">
        <f aca="false">IF(X4&gt;2020,0,Assumptions!$L$43)</f>
        <v>0.35</v>
      </c>
      <c r="Y38" s="645" t="n">
        <f aca="false">IF(Y4&gt;2020,0,Assumptions!$L$43)</f>
        <v>0.35</v>
      </c>
      <c r="Z38" s="646"/>
      <c r="AA38" s="646"/>
    </row>
    <row r="39" customFormat="false" ht="12.75" hidden="false" customHeight="false" outlineLevel="0" collapsed="false">
      <c r="A39" s="590" t="s">
        <v>449</v>
      </c>
      <c r="B39" s="102"/>
      <c r="C39" s="102"/>
      <c r="D39" s="647" t="n">
        <f aca="false">D36*D38</f>
        <v>0</v>
      </c>
      <c r="E39" s="648" t="n">
        <f aca="false">E36*E38</f>
        <v>-8130.46047524692</v>
      </c>
      <c r="F39" s="648" t="n">
        <f aca="false">F36*F38</f>
        <v>-21444.3803370211</v>
      </c>
      <c r="G39" s="648" t="n">
        <f aca="false">G36*G38</f>
        <v>-16819.7264808723</v>
      </c>
      <c r="H39" s="648" t="n">
        <f aca="false">H36*H38</f>
        <v>10574.6540673677</v>
      </c>
      <c r="I39" s="648" t="n">
        <f aca="false">I36*I38</f>
        <v>15200.3370925328</v>
      </c>
      <c r="J39" s="648" t="n">
        <f aca="false">J36*J38</f>
        <v>20234.7852957112</v>
      </c>
      <c r="K39" s="648" t="n">
        <f aca="false">K36*K38</f>
        <v>21606.7709626625</v>
      </c>
      <c r="L39" s="648" t="n">
        <f aca="false">L36*L38</f>
        <v>24008.8749740622</v>
      </c>
      <c r="M39" s="648" t="n">
        <f aca="false">M36*M38</f>
        <v>25858.4726753885</v>
      </c>
      <c r="N39" s="649" t="n">
        <f aca="false">N36*N38</f>
        <v>28765.1685744814</v>
      </c>
      <c r="O39" s="647" t="n">
        <f aca="false">O36*O38</f>
        <v>30308.9979274633</v>
      </c>
      <c r="P39" s="648" t="n">
        <f aca="false">P36*P38</f>
        <v>33031.4348759271</v>
      </c>
      <c r="Q39" s="648" t="n">
        <f aca="false">Q36*Q38</f>
        <v>35078.9314478684</v>
      </c>
      <c r="R39" s="648" t="n">
        <f aca="false">R36*R38</f>
        <v>36898.184165767</v>
      </c>
      <c r="S39" s="648" t="n">
        <f aca="false">S36*S38</f>
        <v>38993.4689647059</v>
      </c>
      <c r="T39" s="648" t="n">
        <f aca="false">T36*T38</f>
        <v>52994.8350562477</v>
      </c>
      <c r="U39" s="648" t="n">
        <f aca="false">U36*U38</f>
        <v>67064.4781652904</v>
      </c>
      <c r="V39" s="648" t="n">
        <f aca="false">V36*V38</f>
        <v>69382.1443729109</v>
      </c>
      <c r="W39" s="648" t="n">
        <f aca="false">W36*W38</f>
        <v>71465.2353012054</v>
      </c>
      <c r="X39" s="648" t="n">
        <f aca="false">X36*X38</f>
        <v>72572.9651944137</v>
      </c>
      <c r="Y39" s="648" t="n">
        <f aca="false">Y36*Y38</f>
        <v>74284.4427095032</v>
      </c>
      <c r="Z39" s="607"/>
      <c r="AA39" s="607"/>
    </row>
    <row r="40" customFormat="false" ht="12.75" hidden="false" customHeight="false" outlineLevel="0" collapsed="false">
      <c r="A40" s="94"/>
      <c r="B40" s="94"/>
      <c r="C40" s="94"/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607"/>
      <c r="AA40" s="607"/>
    </row>
    <row r="41" customFormat="false" ht="12.75" hidden="false" customHeight="false" outlineLevel="0" collapsed="false">
      <c r="A41" s="94" t="s">
        <v>450</v>
      </c>
      <c r="B41" s="640"/>
      <c r="C41" s="94"/>
      <c r="D41" s="102" t="n">
        <f aca="false">IF(D39&lt;0,-D39+C41-C42,C41-C42)</f>
        <v>0</v>
      </c>
      <c r="E41" s="102" t="n">
        <f aca="false">IF(E39&lt;0,-E39+D41-D42,D41-D42)</f>
        <v>8130.46047524692</v>
      </c>
      <c r="F41" s="102" t="n">
        <f aca="false">IF(F39&lt;0,-F39+E41-E42,E41-E42)</f>
        <v>29574.840812268</v>
      </c>
      <c r="G41" s="102" t="n">
        <f aca="false">IF(G39&lt;0,-G39+F41-F42,F41-F42)</f>
        <v>46394.5672931403</v>
      </c>
      <c r="H41" s="102" t="n">
        <f aca="false">IF(H39&lt;0,-H39+G41-G42,G41-G42)</f>
        <v>46394.5672931403</v>
      </c>
      <c r="I41" s="102" t="n">
        <f aca="false">IF(I39&lt;0,-I39+H41-H42,H41-H42)</f>
        <v>35819.9132257726</v>
      </c>
      <c r="J41" s="102" t="n">
        <f aca="false">IF(J39&lt;0,-J39+I41-I42,I41-I42)</f>
        <v>20619.5761332398</v>
      </c>
      <c r="K41" s="102" t="n">
        <f aca="false">IF(K39&lt;0,-K39+J41-J42,J41-J42)</f>
        <v>384.790837528679</v>
      </c>
      <c r="L41" s="102" t="n">
        <f aca="false">IF(L39&lt;0,-L39+K41-K42,K41-K42)</f>
        <v>0</v>
      </c>
      <c r="M41" s="102" t="n">
        <f aca="false">IF(M39&lt;0,-M39+L41-L42,L41-L42)</f>
        <v>0</v>
      </c>
      <c r="N41" s="102" t="n">
        <f aca="false">IF(N39&lt;0,-N39+M41-M42,M41-M42)</f>
        <v>0</v>
      </c>
      <c r="O41" s="102" t="n">
        <f aca="false">IF(O39&lt;0,-O39+N41-N42,N41-N42)</f>
        <v>0</v>
      </c>
      <c r="P41" s="102" t="n">
        <f aca="false">IF(P39&lt;0,-P39+O41-O42,O41-O42)</f>
        <v>0</v>
      </c>
      <c r="Q41" s="102" t="n">
        <f aca="false">IF(Q39&lt;0,-Q39+P41-P42,P41-P42)</f>
        <v>0</v>
      </c>
      <c r="R41" s="102" t="n">
        <f aca="false">IF(R39&lt;0,-R39+Q41-Q42,Q41-Q42)</f>
        <v>0</v>
      </c>
      <c r="S41" s="102" t="n">
        <f aca="false">IF(S39&lt;0,-S39+R41-R42,R41-R42)</f>
        <v>0</v>
      </c>
      <c r="T41" s="102" t="n">
        <f aca="false">IF(T39&lt;0,-T39+S41-S42,S41-S42)</f>
        <v>0</v>
      </c>
      <c r="U41" s="102" t="n">
        <f aca="false">IF(U39&lt;0,-U39+T41-T42,T41-T42)</f>
        <v>0</v>
      </c>
      <c r="V41" s="102" t="n">
        <f aca="false">IF(V39&lt;0,-V39+U41-U42,U41-U42)</f>
        <v>0</v>
      </c>
      <c r="W41" s="102" t="n">
        <f aca="false">IF(W39&lt;0,-W39+V41-V42,V41-V42)</f>
        <v>0</v>
      </c>
      <c r="X41" s="102" t="n">
        <f aca="false">IF(X39&lt;0,-X39+W41-W42,W41-W42)</f>
        <v>0</v>
      </c>
      <c r="Y41" s="102" t="n">
        <f aca="false">IF(Y39&lt;0,-Y39+X41-X42,X41-X42)</f>
        <v>0</v>
      </c>
      <c r="Z41" s="607"/>
      <c r="AA41" s="607"/>
    </row>
    <row r="42" customFormat="false" ht="12.75" hidden="false" customHeight="false" outlineLevel="0" collapsed="false">
      <c r="A42" s="94" t="s">
        <v>439</v>
      </c>
      <c r="B42" s="640"/>
      <c r="C42" s="94"/>
      <c r="D42" s="102" t="n">
        <v>0</v>
      </c>
      <c r="E42" s="102" t="n">
        <f aca="false">IF(E39&lt;0,0,IF(E41&gt;E39,E39,E41))</f>
        <v>0</v>
      </c>
      <c r="F42" s="102" t="n">
        <f aca="false">IF(F39&lt;0,0,IF(F41&gt;F39,F39,F41))</f>
        <v>0</v>
      </c>
      <c r="G42" s="102" t="n">
        <f aca="false">IF(G39&lt;0,0,IF(G41&gt;G39,G39,G41))</f>
        <v>0</v>
      </c>
      <c r="H42" s="598" t="n">
        <f aca="false">IF(H39&lt;0,0,IF(H41&gt;H39,H39,H41))</f>
        <v>10574.6540673677</v>
      </c>
      <c r="I42" s="598" t="n">
        <f aca="false">IF(I39&lt;0,0,IF(I41&gt;I39,I39,I41))</f>
        <v>15200.3370925328</v>
      </c>
      <c r="J42" s="598" t="n">
        <f aca="false">IF(J39&lt;0,0,IF(J41&gt;J39,J39,J41))</f>
        <v>20234.7852957112</v>
      </c>
      <c r="K42" s="598" t="n">
        <f aca="false">IF(K39&lt;0,0,IF(K41&gt;K39,K39,K41))</f>
        <v>384.790837528679</v>
      </c>
      <c r="L42" s="102" t="n">
        <f aca="false">IF(L39&lt;0,0,IF(L41&gt;L39,L39,L41))</f>
        <v>0</v>
      </c>
      <c r="M42" s="102" t="n">
        <f aca="false">IF(M39&lt;0,0,IF(M41&gt;M39,M39,M41))</f>
        <v>0</v>
      </c>
      <c r="N42" s="102" t="n">
        <f aca="false">IF(N39&lt;0,0,IF(N41&gt;N39,N39,N41))</f>
        <v>0</v>
      </c>
      <c r="O42" s="102" t="n">
        <f aca="false">IF(O39&lt;0,0,IF(O41&gt;O39,O39,O41))</f>
        <v>0</v>
      </c>
      <c r="P42" s="102" t="n">
        <f aca="false">IF(P39&lt;0,0,IF(P41&gt;P39,P39,P41))</f>
        <v>0</v>
      </c>
      <c r="Q42" s="102" t="n">
        <f aca="false">IF(Q39&lt;0,0,IF(Q41&gt;Q39,Q39,Q41))</f>
        <v>0</v>
      </c>
      <c r="R42" s="102" t="n">
        <f aca="false">IF(R39&lt;0,0,IF(R41&gt;R39,R39,R41))</f>
        <v>0</v>
      </c>
      <c r="S42" s="102" t="n">
        <f aca="false">IF(S39&lt;0,0,IF(S41&gt;S39,S39,S41))</f>
        <v>0</v>
      </c>
      <c r="T42" s="102" t="n">
        <f aca="false">IF(T39&lt;0,0,IF(T41&gt;T39,T39,T41))</f>
        <v>0</v>
      </c>
      <c r="U42" s="102" t="n">
        <f aca="false">IF(U39&lt;0,0,IF(U41&gt;U39,U39,U41))</f>
        <v>0</v>
      </c>
      <c r="V42" s="102" t="n">
        <f aca="false">IF(V39&lt;0,0,IF(V41&gt;V39,V39,V41))</f>
        <v>0</v>
      </c>
      <c r="W42" s="102" t="n">
        <f aca="false">IF(W39&lt;0,0,IF(W41&gt;W39,W39,W41))</f>
        <v>0</v>
      </c>
      <c r="X42" s="102" t="n">
        <f aca="false">IF(X39&lt;0,0,IF(X41&gt;X39,X39,X41))</f>
        <v>0</v>
      </c>
      <c r="Y42" s="102" t="n">
        <f aca="false">IF(Y39&lt;0,0,IF(Y41&gt;Y39,Y39,Y41))</f>
        <v>0</v>
      </c>
      <c r="Z42" s="598"/>
      <c r="AA42" s="598"/>
    </row>
    <row r="43" customFormat="false" ht="12.75" hidden="false" customHeight="false" outlineLevel="0" collapsed="false">
      <c r="A43" s="94"/>
      <c r="B43" s="640"/>
      <c r="C43" s="94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607"/>
      <c r="AA43" s="607"/>
    </row>
    <row r="44" customFormat="false" ht="12.75" hidden="false" customHeight="false" outlineLevel="0" collapsed="false">
      <c r="A44" s="154" t="s">
        <v>451</v>
      </c>
      <c r="B44" s="640"/>
      <c r="C44" s="154"/>
      <c r="D44" s="372" t="n">
        <f aca="false">IF(D39&lt;0,0,(D39-D42))</f>
        <v>0</v>
      </c>
      <c r="E44" s="372" t="n">
        <f aca="false">IF(E39&lt;0,0,(E39-E42))</f>
        <v>0</v>
      </c>
      <c r="F44" s="372" t="n">
        <f aca="false">IF(F39&lt;0,0,(F39-F42))</f>
        <v>0</v>
      </c>
      <c r="G44" s="372" t="n">
        <f aca="false">IF(G39&lt;0,0,(G39-G42))</f>
        <v>0</v>
      </c>
      <c r="H44" s="372" t="n">
        <f aca="false">IF(H39&lt;0,0,(H39-H42))</f>
        <v>0</v>
      </c>
      <c r="I44" s="372" t="n">
        <f aca="false">IF(I39&lt;0,0,(I39-I42))</f>
        <v>0</v>
      </c>
      <c r="J44" s="372" t="n">
        <f aca="false">IF(J39&lt;0,0,(J39-J42))</f>
        <v>0</v>
      </c>
      <c r="K44" s="372" t="n">
        <f aca="false">IF(K39&lt;0,0,(K39-K42))</f>
        <v>21221.9801251338</v>
      </c>
      <c r="L44" s="372" t="n">
        <f aca="false">IF(L39&lt;0,0,(L39-L42))</f>
        <v>24008.8749740622</v>
      </c>
      <c r="M44" s="372" t="n">
        <f aca="false">IF(M39&lt;0,0,(M39-M42))</f>
        <v>25858.4726753885</v>
      </c>
      <c r="N44" s="372" t="n">
        <f aca="false">IF(N39&lt;0,0,(N39-N42))</f>
        <v>28765.1685744814</v>
      </c>
      <c r="O44" s="372" t="n">
        <f aca="false">IF(O39&lt;0,0,(O39-O42))</f>
        <v>30308.9979274633</v>
      </c>
      <c r="P44" s="372" t="n">
        <f aca="false">IF(P39&lt;0,0,(P39-P42))</f>
        <v>33031.4348759271</v>
      </c>
      <c r="Q44" s="372" t="n">
        <f aca="false">IF(Q39&lt;0,0,(Q39-Q42))</f>
        <v>35078.9314478684</v>
      </c>
      <c r="R44" s="372" t="n">
        <f aca="false">IF(R39&lt;0,0,(R39-R42))</f>
        <v>36898.184165767</v>
      </c>
      <c r="S44" s="372" t="n">
        <f aca="false">IF(S39&lt;0,0,(S39-S42))</f>
        <v>38993.4689647059</v>
      </c>
      <c r="T44" s="372" t="n">
        <f aca="false">IF(T39&lt;0,0,(T39-T42))</f>
        <v>52994.8350562477</v>
      </c>
      <c r="U44" s="372" t="n">
        <f aca="false">IF(U39&lt;0,0,(U39-U42))</f>
        <v>67064.4781652904</v>
      </c>
      <c r="V44" s="372" t="n">
        <f aca="false">IF(V39&lt;0,0,(V39-V42))</f>
        <v>69382.1443729109</v>
      </c>
      <c r="W44" s="372" t="n">
        <f aca="false">IF(W39&lt;0,0,(W39-W42))</f>
        <v>71465.2353012054</v>
      </c>
      <c r="X44" s="372" t="n">
        <f aca="false">IF(X39&lt;0,0,(X39-X42))</f>
        <v>72572.9651944137</v>
      </c>
      <c r="Y44" s="372" t="n">
        <f aca="false">IF(Y39&lt;0,0,(Y39-Y42))</f>
        <v>74284.4427095032</v>
      </c>
      <c r="Z44" s="643"/>
      <c r="AA44" s="643"/>
    </row>
    <row r="45" customFormat="false" ht="12.75" hidden="false" customHeight="false" outlineLevel="0" collapsed="false">
      <c r="A45" s="154"/>
      <c r="B45" s="640"/>
      <c r="C45" s="154"/>
      <c r="D45" s="372"/>
      <c r="E45" s="372"/>
      <c r="F45" s="372"/>
      <c r="G45" s="372"/>
      <c r="H45" s="372"/>
      <c r="I45" s="372"/>
      <c r="J45" s="372"/>
      <c r="K45" s="372"/>
      <c r="L45" s="372"/>
      <c r="M45" s="372"/>
      <c r="N45" s="372"/>
      <c r="O45" s="372"/>
      <c r="P45" s="372"/>
      <c r="Q45" s="372"/>
      <c r="R45" s="372"/>
      <c r="S45" s="372"/>
      <c r="T45" s="372"/>
      <c r="U45" s="372"/>
      <c r="V45" s="372"/>
      <c r="W45" s="372"/>
      <c r="X45" s="372"/>
      <c r="Y45" s="372"/>
      <c r="Z45" s="643"/>
      <c r="AA45" s="643"/>
    </row>
    <row r="46" customFormat="false" ht="12.75" hidden="false" customHeight="false" outlineLevel="0" collapsed="false">
      <c r="A46" s="0"/>
      <c r="B46" s="0"/>
      <c r="C46" s="0"/>
      <c r="D46" s="0"/>
      <c r="E46" s="607"/>
      <c r="F46" s="607"/>
      <c r="G46" s="607"/>
      <c r="H46" s="607"/>
      <c r="I46" s="607"/>
      <c r="J46" s="607"/>
      <c r="K46" s="607"/>
      <c r="L46" s="607"/>
      <c r="M46" s="607"/>
      <c r="N46" s="607"/>
      <c r="O46" s="607"/>
      <c r="P46" s="607"/>
      <c r="Q46" s="607"/>
      <c r="R46" s="607"/>
      <c r="S46" s="607"/>
      <c r="T46" s="607"/>
      <c r="U46" s="607"/>
      <c r="V46" s="607"/>
      <c r="W46" s="607"/>
      <c r="X46" s="607"/>
      <c r="Y46" s="607"/>
      <c r="Z46" s="607"/>
      <c r="AA46" s="607"/>
    </row>
    <row r="47" customFormat="false" ht="12.75" hidden="false" customHeight="false" outlineLevel="0" collapsed="false">
      <c r="A47" s="0"/>
      <c r="B47" s="0"/>
      <c r="C47" s="0"/>
      <c r="D47" s="0"/>
      <c r="Z47" s="70"/>
      <c r="AA47" s="70"/>
    </row>
    <row r="48" customFormat="false" ht="12.75" hidden="false" customHeight="false" outlineLevel="0" collapsed="false">
      <c r="A48" s="0"/>
      <c r="B48" s="0"/>
      <c r="C48" s="0"/>
      <c r="D48" s="0"/>
      <c r="E48" s="385"/>
      <c r="Z48" s="70"/>
      <c r="AA48" s="70"/>
    </row>
    <row r="49" customFormat="false" ht="12.75" hidden="false" customHeight="false" outlineLevel="0" collapsed="false">
      <c r="A49" s="0"/>
      <c r="B49" s="0"/>
      <c r="C49" s="0"/>
      <c r="D49" s="0"/>
      <c r="Z49" s="70"/>
      <c r="AA49" s="70"/>
    </row>
    <row r="50" customFormat="false" ht="12.75" hidden="false" customHeight="false" outlineLevel="0" collapsed="false">
      <c r="Z50" s="70"/>
      <c r="AA50" s="70"/>
    </row>
    <row r="51" customFormat="false" ht="12.75" hidden="false" customHeight="false" outlineLevel="0" collapsed="false">
      <c r="Z51" s="70"/>
      <c r="AA51" s="70"/>
    </row>
    <row r="52" customFormat="false" ht="12.75" hidden="false" customHeight="false" outlineLevel="0" collapsed="false">
      <c r="Z52" s="70"/>
      <c r="AA52" s="70"/>
    </row>
    <row r="53" customFormat="false" ht="12.75" hidden="false" customHeight="false" outlineLevel="0" collapsed="false">
      <c r="Z53" s="70"/>
      <c r="AA53" s="70"/>
    </row>
    <row r="54" customFormat="false" ht="12.75" hidden="false" customHeight="false" outlineLevel="0" collapsed="false">
      <c r="Z54" s="70"/>
      <c r="AA54" s="70"/>
    </row>
    <row r="55" customFormat="false" ht="12.75" hidden="false" customHeight="false" outlineLevel="0" collapsed="false">
      <c r="Z55" s="70"/>
      <c r="AA55" s="70"/>
    </row>
    <row r="56" customFormat="false" ht="12.75" hidden="false" customHeight="false" outlineLevel="0" collapsed="false">
      <c r="Z56" s="70"/>
      <c r="AA56" s="70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>&amp;LEnron Generation Company</oddHeader>
    <oddFooter>&amp;L&amp;T, &amp;D&amp;C&amp;F&amp;RPage &amp;P</oddFooter>
  </headerFooter>
  <colBreaks count="1" manualBreakCount="1">
    <brk id="14" man="true" max="65535" min="0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1999-04-01T23:08:38Z</dcterms:created>
  <dc:creator>ect</dc:creator>
  <dc:description/>
  <dc:language>en-US</dc:language>
  <cp:lastModifiedBy>Ben Rogers</cp:lastModifiedBy>
  <cp:lastPrinted>1999-12-09T01:30:48Z</cp:lastPrinted>
  <cp:revision>0</cp:revision>
  <dc:subject/>
  <dc:title/>
</cp:coreProperties>
</file>