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<sst xmlns="http://schemas.openxmlformats.org/spreadsheetml/2006/main" count="45" uniqueCount="33">
  <si>
    <t xml:space="preserve">Price</t>
  </si>
  <si>
    <t xml:space="preserve">Trransport</t>
  </si>
  <si>
    <t xml:space="preserve">HH Fee</t>
  </si>
  <si>
    <t xml:space="preserve">Lease</t>
  </si>
  <si>
    <t xml:space="preserve">PV Price</t>
  </si>
  <si>
    <t xml:space="preserve">PV Basis</t>
  </si>
  <si>
    <t xml:space="preserve">PV Index</t>
  </si>
  <si>
    <t xml:space="preserve">PV Lease</t>
  </si>
  <si>
    <t xml:space="preserve">PV FXF</t>
  </si>
  <si>
    <t xml:space="preserve">Balance(Mmbtu)</t>
  </si>
  <si>
    <t xml:space="preserve">capex</t>
  </si>
  <si>
    <t xml:space="preserve">Lease per month</t>
  </si>
  <si>
    <t xml:space="preserve">monthly w/draw(MMmbtu)</t>
  </si>
  <si>
    <t xml:space="preserve">A</t>
  </si>
  <si>
    <t xml:space="preserve">B</t>
  </si>
  <si>
    <t xml:space="preserve">Assumptions:</t>
  </si>
  <si>
    <t xml:space="preserve">Price A is the pruposed sale of the pad gas at Apr Nymex -.03</t>
  </si>
  <si>
    <t xml:space="preserve">Price B is the PV value of forward prices if the pad gas were to be with drawn and sold in the forward market.</t>
  </si>
  <si>
    <t xml:space="preserve">Inludes: 7.5 cents for transportation; 3 cent Henry Hub fees, capex of 800,000, and approximately 9 cents for lease expenses.</t>
  </si>
  <si>
    <t xml:space="preserve">Capex:</t>
  </si>
  <si>
    <t xml:space="preserve">Expenses for the construction of a line to inject brine to replace pad gas.Estimated to be approximately $800,000</t>
  </si>
  <si>
    <t xml:space="preserve">Lease:</t>
  </si>
  <si>
    <t xml:space="preserve">Lease expense is estimated at $2,000 per day</t>
  </si>
  <si>
    <t xml:space="preserve">With draw rate is assumed to be 675,244MMbtu per month.</t>
  </si>
  <si>
    <t xml:space="preserve">sep</t>
  </si>
  <si>
    <t xml:space="preserve">dec</t>
  </si>
  <si>
    <t xml:space="preserve">Live Prices</t>
  </si>
  <si>
    <t xml:space="preserve">Basis</t>
  </si>
  <si>
    <t xml:space="preserve">Index</t>
  </si>
  <si>
    <t xml:space="preserve">Settle Prices</t>
  </si>
  <si>
    <t xml:space="preserve">M-V</t>
  </si>
  <si>
    <t xml:space="preserve">X-H</t>
  </si>
  <si>
    <t xml:space="preserve">CALO2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</si>
</sst>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[$-409]m/d/yyyy"/>
    <numFmt numFmtId="166" formatCode="0.000"/>
    <numFmt numFmtId="167" formatCode="0.0000"/>
    <numFmt numFmtId="168" formatCode="0.00"/>
    <numFmt numFmtId="169" formatCode="0%"/>
    <numFmt numFmtId="170" formatCode="0.0%"/>
    <numFmt numFmtId="171" formatCode="0.00%"/>
    <numFmt numFmtId="172" formatCode="[$-409]mmm\-yy"/>
    <numFmt numFmtId="173" formatCode="_(* #,##0.00_);_(* \(#,##0.00\);_(* \-??_);_(@_)"/>
    <numFmt numFmtId="174" formatCode="_(* #,##0_);_(* \(#,##0\);_(* \-??_);_(@_)"/>
    <numFmt numFmtId="175" formatCode="0.00_);[RED]\(0.00\)"/>
    <numFmt numFmtId="176" formatCode="0.000_);[RED]\(0.000\)"/>
    <numFmt numFmtId="177" formatCode="\$#,##0.00_);[RED]&quot;($&quot;#,##0.00\)"/>
    <numFmt numFmtId="178" formatCode="0.00;[RED]0.0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Times New Roman"/>
      <family val="1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9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pmim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N3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9.14"/>
    <col collapsed="false" customWidth="true" hidden="false" outlineLevel="0" max="2" min="2" style="0" width="12.85"/>
    <col collapsed="false" customWidth="true" hidden="false" outlineLevel="0" max="4" min="3" style="0" width="10.28"/>
    <col collapsed="false" customWidth="true" hidden="false" outlineLevel="0" max="5" min="5" style="0" width="9.7"/>
    <col collapsed="false" customWidth="true" hidden="false" outlineLevel="0" max="7" min="6" style="0" width="6.7"/>
    <col collapsed="false" customWidth="true" hidden="false" outlineLevel="0" max="8" min="8" style="0" width="10.28"/>
  </cols>
  <sheetData>
    <row r="2" customFormat="false" ht="12.75" hidden="false" customHeight="false" outlineLevel="0" collapsed="false">
      <c r="A2" s="1"/>
      <c r="B2" s="1"/>
      <c r="C2" s="1"/>
      <c r="D2" s="2" t="n">
        <f aca="true">TODAY()</f>
        <v>45926</v>
      </c>
      <c r="E2" s="3"/>
      <c r="F2" s="4"/>
      <c r="G2" s="4"/>
    </row>
    <row r="3" customFormat="false" ht="12.75" hidden="false" customHeight="false" outlineLevel="0" collapsed="false">
      <c r="A3" s="1"/>
      <c r="B3" s="1"/>
      <c r="C3" s="1"/>
      <c r="D3" s="3"/>
      <c r="E3" s="1"/>
      <c r="F3" s="1"/>
      <c r="G3" s="1"/>
    </row>
    <row r="4" customFormat="false" ht="12.75" hidden="false" customHeight="false" outlineLevel="0" collapsed="false">
      <c r="A4" s="1"/>
      <c r="B4" s="1"/>
      <c r="C4" s="4"/>
      <c r="D4" s="3"/>
      <c r="E4" s="3"/>
      <c r="F4" s="1"/>
      <c r="G4" s="1"/>
      <c r="H4" s="4"/>
      <c r="I4" s="1"/>
      <c r="J4" s="1"/>
      <c r="K4" s="1"/>
      <c r="L4" s="1"/>
      <c r="M4" s="3" t="n">
        <f aca="false">M7-E5</f>
        <v>3.09330973083053</v>
      </c>
    </row>
    <row r="5" customFormat="false" ht="12.75" hidden="false" customHeight="false" outlineLevel="0" collapsed="false">
      <c r="A5" s="1"/>
      <c r="B5" s="5"/>
      <c r="C5" s="5"/>
      <c r="D5" s="6"/>
      <c r="E5" s="7"/>
      <c r="F5" s="8"/>
      <c r="G5" s="8"/>
      <c r="H5" s="5"/>
      <c r="I5" s="9"/>
      <c r="J5" s="9"/>
      <c r="K5" s="9"/>
      <c r="L5" s="9"/>
      <c r="M5" s="9"/>
    </row>
    <row r="6" customFormat="false" ht="12.75" hidden="false" customHeight="false" outlineLevel="0" collapsed="false">
      <c r="A6" s="1"/>
      <c r="B6" s="10" t="n">
        <v>36906</v>
      </c>
      <c r="C6" s="11"/>
      <c r="D6" s="12" t="s">
        <v>0</v>
      </c>
      <c r="E6" s="12" t="s">
        <v>1</v>
      </c>
      <c r="F6" s="12" t="s">
        <v>2</v>
      </c>
      <c r="G6" s="12" t="s">
        <v>3</v>
      </c>
      <c r="H6" s="11"/>
      <c r="I6" s="12" t="s">
        <v>4</v>
      </c>
      <c r="J6" s="12" t="s">
        <v>5</v>
      </c>
      <c r="K6" s="12" t="s">
        <v>6</v>
      </c>
      <c r="L6" s="12" t="s">
        <v>7</v>
      </c>
      <c r="M6" s="12" t="s">
        <v>8</v>
      </c>
    </row>
    <row r="7" customFormat="false" ht="12.75" hidden="false" customHeight="false" outlineLevel="0" collapsed="false">
      <c r="A7" s="13" t="n">
        <f aca="false">(1+B7/2)^(-2*(H7-$D$2)/365.25)</f>
        <v>1.54588192445304</v>
      </c>
      <c r="B7" s="14" t="n">
        <v>0.0185037949271578</v>
      </c>
      <c r="C7" s="15" t="n">
        <v>37288</v>
      </c>
      <c r="D7" s="16" t="n">
        <v>2.106</v>
      </c>
      <c r="E7" s="16" t="n">
        <v>-0.075</v>
      </c>
      <c r="F7" s="16" t="n">
        <v>-0.03</v>
      </c>
      <c r="G7" s="16"/>
      <c r="H7" s="15" t="n">
        <v>37288</v>
      </c>
      <c r="I7" s="16" t="n">
        <f aca="false">D7*A7</f>
        <v>3.2556273328981</v>
      </c>
      <c r="J7" s="16" t="n">
        <f aca="false">A7*E7</f>
        <v>-0.115941144333978</v>
      </c>
      <c r="K7" s="16" t="n">
        <f aca="false">F7*A7</f>
        <v>-0.0463764577335912</v>
      </c>
      <c r="L7" s="16"/>
      <c r="M7" s="16" t="n">
        <f aca="false">SUM(I7:L7)</f>
        <v>3.09330973083053</v>
      </c>
    </row>
    <row r="8" customFormat="false" ht="12.75" hidden="false" customHeight="false" outlineLevel="0" collapsed="false">
      <c r="A8" s="13" t="n">
        <f aca="false">(1+B8/2)^(-2*(H8-$D$2)/365.25)</f>
        <v>1.54441290566096</v>
      </c>
      <c r="B8" s="14" t="n">
        <v>0.0185235428200965</v>
      </c>
      <c r="C8" s="15" t="n">
        <v>37316</v>
      </c>
      <c r="D8" s="6" t="n">
        <v>2.118</v>
      </c>
      <c r="E8" s="16" t="n">
        <v>-0.075</v>
      </c>
      <c r="F8" s="16" t="n">
        <v>-0.03</v>
      </c>
      <c r="G8" s="16"/>
      <c r="H8" s="15" t="n">
        <v>37316</v>
      </c>
      <c r="I8" s="6" t="n">
        <f aca="false">D8*A8</f>
        <v>3.27106653418992</v>
      </c>
      <c r="J8" s="6" t="n">
        <f aca="false">A8*E8</f>
        <v>-0.115830967924572</v>
      </c>
      <c r="K8" s="6" t="n">
        <f aca="false">F8*A8</f>
        <v>-0.0463323871698289</v>
      </c>
      <c r="L8" s="6"/>
      <c r="M8" s="16" t="n">
        <f aca="false">SUM(I8:L8)</f>
        <v>3.10890317909552</v>
      </c>
    </row>
    <row r="9" customFormat="false" ht="12.75" hidden="false" customHeight="false" outlineLevel="0" collapsed="false">
      <c r="A9" s="13" t="n">
        <f aca="false">(1+B9/2)^(-2*(H9-$D$2)/365.25)</f>
        <v>1.54366331786343</v>
      </c>
      <c r="B9" s="14" t="n">
        <v>0.0185699263564048</v>
      </c>
      <c r="C9" s="17" t="n">
        <v>37347</v>
      </c>
      <c r="D9" s="18" t="n">
        <v>2.178</v>
      </c>
      <c r="E9" s="19" t="n">
        <v>-0.075</v>
      </c>
      <c r="F9" s="19" t="n">
        <v>-0.03</v>
      </c>
      <c r="G9" s="19" t="n">
        <f aca="false">-61000/675244</f>
        <v>-0.0903377149593332</v>
      </c>
      <c r="H9" s="20" t="n">
        <v>37347</v>
      </c>
      <c r="I9" s="21" t="n">
        <f aca="false">D9*A9</f>
        <v>3.36209870630655</v>
      </c>
      <c r="J9" s="21" t="n">
        <f aca="false">A9*E9</f>
        <v>-0.115774748839757</v>
      </c>
      <c r="K9" s="21" t="n">
        <f aca="false">F9*A9</f>
        <v>-0.0463098995359029</v>
      </c>
      <c r="L9" s="21" t="n">
        <f aca="false">G9*A9</f>
        <v>-0.139451016802325</v>
      </c>
      <c r="M9" s="22" t="n">
        <f aca="false">SUM(I9:L9)</f>
        <v>3.06056304112856</v>
      </c>
    </row>
    <row r="10" customFormat="false" ht="12.75" hidden="false" customHeight="false" outlineLevel="0" collapsed="false">
      <c r="A10" s="13" t="n">
        <f aca="false">(1+B10/2)^(-2*(H10-$D$2)/365.25)</f>
        <v>1.53875072292598</v>
      </c>
      <c r="B10" s="14" t="n">
        <v>0.0184979462945818</v>
      </c>
      <c r="C10" s="23" t="n">
        <v>37377</v>
      </c>
      <c r="D10" s="6" t="n">
        <v>2.27</v>
      </c>
      <c r="E10" s="16" t="n">
        <v>-0.075</v>
      </c>
      <c r="F10" s="16" t="n">
        <v>-0.03</v>
      </c>
      <c r="G10" s="16" t="n">
        <f aca="false">-61000/675244</f>
        <v>-0.0903377149593332</v>
      </c>
      <c r="H10" s="15" t="n">
        <v>37377</v>
      </c>
      <c r="I10" s="6" t="n">
        <f aca="false">D10*A10</f>
        <v>3.49296414104197</v>
      </c>
      <c r="J10" s="6" t="n">
        <f aca="false">A10*E10</f>
        <v>-0.115406304219448</v>
      </c>
      <c r="K10" s="6" t="n">
        <f aca="false">F10*A10</f>
        <v>-0.0461625216877794</v>
      </c>
      <c r="L10" s="6" t="n">
        <f aca="false">G10*A10</f>
        <v>-0.139007224201155</v>
      </c>
      <c r="M10" s="24" t="n">
        <f aca="false">SUM(I10:L10)</f>
        <v>3.19238809093359</v>
      </c>
    </row>
    <row r="11" customFormat="false" ht="12.75" hidden="false" customHeight="false" outlineLevel="0" collapsed="false">
      <c r="A11" s="13" t="n">
        <f aca="false">(1+B11/2)^(-2*(H11-$D$2)/365.25)</f>
        <v>1.53066452772855</v>
      </c>
      <c r="B11" s="14" t="n">
        <v>0.0183375648636472</v>
      </c>
      <c r="C11" s="23" t="n">
        <v>37408</v>
      </c>
      <c r="D11" s="6" t="n">
        <v>2.338</v>
      </c>
      <c r="E11" s="16" t="n">
        <v>-0.075</v>
      </c>
      <c r="F11" s="16" t="n">
        <v>-0.03</v>
      </c>
      <c r="G11" s="16" t="n">
        <f aca="false">-61000/675244</f>
        <v>-0.0903377149593332</v>
      </c>
      <c r="H11" s="15" t="n">
        <v>37408</v>
      </c>
      <c r="I11" s="6" t="n">
        <f aca="false">D11*A11</f>
        <v>3.57869366582934</v>
      </c>
      <c r="J11" s="6" t="n">
        <f aca="false">A11*E11</f>
        <v>-0.114799839579641</v>
      </c>
      <c r="K11" s="6" t="n">
        <f aca="false">F11*A11</f>
        <v>-0.0459199358318564</v>
      </c>
      <c r="L11" s="6" t="n">
        <f aca="false">G11*A11</f>
        <v>-0.138276735804304</v>
      </c>
      <c r="M11" s="24" t="n">
        <f aca="false">SUM(I11:L11)</f>
        <v>3.27969715461354</v>
      </c>
    </row>
    <row r="12" customFormat="false" ht="12.75" hidden="false" customHeight="false" outlineLevel="0" collapsed="false">
      <c r="A12" s="13" t="n">
        <f aca="false">(1+B12/2)^(-2*(H12-$D$2)/365.25)</f>
        <v>1.52901903597113</v>
      </c>
      <c r="B12" s="14" t="n">
        <v>0.0183559647729741</v>
      </c>
      <c r="C12" s="23" t="n">
        <v>37438</v>
      </c>
      <c r="D12" s="6" t="n">
        <v>2.413</v>
      </c>
      <c r="E12" s="16" t="n">
        <v>-0.075</v>
      </c>
      <c r="F12" s="16" t="n">
        <v>-0.03</v>
      </c>
      <c r="G12" s="16" t="n">
        <f aca="false">-61000/675244</f>
        <v>-0.0903377149593332</v>
      </c>
      <c r="H12" s="15" t="n">
        <v>37438</v>
      </c>
      <c r="I12" s="6" t="n">
        <f aca="false">D12*A12</f>
        <v>3.68952293379834</v>
      </c>
      <c r="J12" s="6" t="n">
        <f aca="false">A12*E12</f>
        <v>-0.114676427697835</v>
      </c>
      <c r="K12" s="6" t="n">
        <f aca="false">F12*A12</f>
        <v>-0.045870571079134</v>
      </c>
      <c r="L12" s="6" t="n">
        <f aca="false">G12*A12</f>
        <v>-0.138128085838955</v>
      </c>
      <c r="M12" s="24" t="n">
        <f aca="false">SUM(I12:L12)</f>
        <v>3.39084784918242</v>
      </c>
    </row>
    <row r="13" customFormat="false" ht="12.75" hidden="false" customHeight="false" outlineLevel="0" collapsed="false">
      <c r="A13" s="13" t="n">
        <f aca="false">(1+B13/2)^(-2*(H13-$D$2)/365.25)</f>
        <v>1.53708617221099</v>
      </c>
      <c r="B13" s="14" t="n">
        <v>0.0186529334226471</v>
      </c>
      <c r="C13" s="23" t="n">
        <v>37469</v>
      </c>
      <c r="D13" s="6" t="n">
        <v>2.461</v>
      </c>
      <c r="E13" s="16" t="n">
        <v>-0.075</v>
      </c>
      <c r="F13" s="16" t="n">
        <v>-0.03</v>
      </c>
      <c r="G13" s="16" t="n">
        <f aca="false">-61000/675244</f>
        <v>-0.0903377149593332</v>
      </c>
      <c r="H13" s="15" t="n">
        <v>37469</v>
      </c>
      <c r="I13" s="6" t="n">
        <f aca="false">D13*A13</f>
        <v>3.78276906981125</v>
      </c>
      <c r="J13" s="6" t="n">
        <f aca="false">A13*E13</f>
        <v>-0.115281462915824</v>
      </c>
      <c r="K13" s="6" t="n">
        <f aca="false">F13*A13</f>
        <v>-0.0461125851663298</v>
      </c>
      <c r="L13" s="6" t="n">
        <f aca="false">G13*A13</f>
        <v>-0.138856852493129</v>
      </c>
      <c r="M13" s="24" t="n">
        <f aca="false">SUM(I13:L13)</f>
        <v>3.48251816923597</v>
      </c>
    </row>
    <row r="14" customFormat="false" ht="12.75" hidden="false" customHeight="false" outlineLevel="0" collapsed="false">
      <c r="A14" s="13" t="n">
        <f aca="false">(1+B14/2)^(-2*(H14-$D$2)/365.25)</f>
        <v>1.54511715255142</v>
      </c>
      <c r="B14" s="14" t="n">
        <v>0.0189499021022228</v>
      </c>
      <c r="C14" s="23" t="n">
        <v>37500</v>
      </c>
      <c r="D14" s="6" t="n">
        <v>2.473</v>
      </c>
      <c r="E14" s="16" t="n">
        <v>-0.075</v>
      </c>
      <c r="F14" s="16" t="n">
        <v>-0.03</v>
      </c>
      <c r="G14" s="16" t="n">
        <f aca="false">-61000/675244</f>
        <v>-0.0903377149593332</v>
      </c>
      <c r="H14" s="15" t="n">
        <v>37500</v>
      </c>
      <c r="I14" s="6" t="n">
        <f aca="false">D14*A14</f>
        <v>3.82107471825966</v>
      </c>
      <c r="J14" s="6" t="n">
        <f aca="false">A14*E14</f>
        <v>-0.115883786441356</v>
      </c>
      <c r="K14" s="6" t="n">
        <f aca="false">F14*A14</f>
        <v>-0.0463535145765425</v>
      </c>
      <c r="L14" s="6" t="n">
        <f aca="false">G14*A14</f>
        <v>-0.139582352905967</v>
      </c>
      <c r="M14" s="24" t="n">
        <f aca="false">SUM(I14:L14)</f>
        <v>3.51925506433579</v>
      </c>
    </row>
    <row r="15" customFormat="false" ht="12.75" hidden="false" customHeight="false" outlineLevel="0" collapsed="false">
      <c r="A15" s="13" t="n">
        <f aca="false">(1+B15/2)^(-2*(H15-$D$2)/365.25)</f>
        <v>1.55672158531988</v>
      </c>
      <c r="B15" s="14" t="n">
        <v>0.0193465580586265</v>
      </c>
      <c r="C15" s="25" t="n">
        <v>37530</v>
      </c>
      <c r="D15" s="26" t="n">
        <v>2.503</v>
      </c>
      <c r="E15" s="27" t="n">
        <v>-0.075</v>
      </c>
      <c r="F15" s="27" t="n">
        <v>-0.03</v>
      </c>
      <c r="G15" s="27" t="n">
        <f aca="false">-61000/675244</f>
        <v>-0.0903377149593332</v>
      </c>
      <c r="H15" s="28" t="n">
        <v>37530</v>
      </c>
      <c r="I15" s="26" t="n">
        <f aca="false">D15*A15</f>
        <v>3.89647412805567</v>
      </c>
      <c r="J15" s="26" t="n">
        <f aca="false">A15*E15</f>
        <v>-0.116754118898991</v>
      </c>
      <c r="K15" s="26" t="n">
        <f aca="false">F15*A15</f>
        <v>-0.0467016475595965</v>
      </c>
      <c r="L15" s="26" t="n">
        <f aca="false">G15*A15</f>
        <v>-0.140630670845669</v>
      </c>
      <c r="M15" s="29" t="n">
        <f aca="false">SUM(I15:L15)</f>
        <v>3.59238769075141</v>
      </c>
      <c r="N15" s="30" t="n">
        <f aca="false">AVERAGE(M9:M15)</f>
        <v>3.35966529431161</v>
      </c>
    </row>
    <row r="16" customFormat="false" ht="12.75" hidden="false" customHeight="false" outlineLevel="0" collapsed="false">
      <c r="A16" s="13"/>
      <c r="B16" s="14"/>
      <c r="C16" s="15"/>
      <c r="D16" s="6"/>
      <c r="E16" s="16"/>
      <c r="F16" s="16"/>
      <c r="G16" s="16"/>
      <c r="H16" s="15"/>
      <c r="I16" s="6"/>
      <c r="J16" s="6"/>
      <c r="K16" s="6"/>
      <c r="L16" s="6"/>
      <c r="M16" s="16"/>
    </row>
    <row r="17" customFormat="false" ht="12.75" hidden="false" customHeight="false" outlineLevel="0" collapsed="false">
      <c r="A17" s="13"/>
      <c r="B17" s="14"/>
      <c r="C17" s="15"/>
      <c r="D17" s="6"/>
      <c r="E17" s="16"/>
      <c r="F17" s="16"/>
      <c r="G17" s="16"/>
      <c r="H17" s="15"/>
      <c r="I17" s="6"/>
      <c r="J17" s="6"/>
      <c r="K17" s="6"/>
      <c r="L17" s="6"/>
      <c r="M17" s="16"/>
    </row>
    <row r="18" customFormat="false" ht="12.75" hidden="false" customHeight="false" outlineLevel="0" collapsed="false">
      <c r="A18" s="13"/>
      <c r="B18" s="14"/>
      <c r="C18" s="15"/>
      <c r="D18" s="6"/>
      <c r="E18" s="16"/>
      <c r="F18" s="16"/>
      <c r="G18" s="16"/>
      <c r="H18" s="15"/>
      <c r="I18" s="6"/>
      <c r="J18" s="6"/>
      <c r="K18" s="6"/>
      <c r="L18" s="6"/>
      <c r="M18" s="16"/>
    </row>
    <row r="19" customFormat="false" ht="12.75" hidden="false" customHeight="false" outlineLevel="0" collapsed="false">
      <c r="A19" s="13"/>
      <c r="B19" s="13"/>
      <c r="C19" s="15"/>
      <c r="D19" s="6"/>
      <c r="E19" s="16"/>
      <c r="F19" s="16"/>
      <c r="G19" s="16"/>
      <c r="H19" s="15"/>
      <c r="I19" s="6"/>
      <c r="J19" s="6"/>
      <c r="K19" s="6"/>
      <c r="L19" s="6"/>
      <c r="M19" s="16"/>
    </row>
    <row r="20" customFormat="false" ht="12.75" hidden="false" customHeight="false" outlineLevel="0" collapsed="false">
      <c r="A20" s="31" t="s">
        <v>9</v>
      </c>
      <c r="B20" s="32" t="n">
        <v>4051465</v>
      </c>
    </row>
    <row r="21" customFormat="false" ht="12.75" hidden="false" customHeight="false" outlineLevel="0" collapsed="false">
      <c r="A21" s="31" t="s">
        <v>10</v>
      </c>
      <c r="B21" s="32" t="n">
        <v>800000</v>
      </c>
    </row>
    <row r="22" customFormat="false" ht="12.75" hidden="false" customHeight="false" outlineLevel="0" collapsed="false">
      <c r="A22" s="31" t="s">
        <v>11</v>
      </c>
      <c r="B22" s="32" t="n">
        <f aca="false">2000*30.5</f>
        <v>61000</v>
      </c>
    </row>
    <row r="23" customFormat="false" ht="12.75" hidden="false" customHeight="false" outlineLevel="0" collapsed="false">
      <c r="A23" s="31" t="s">
        <v>12</v>
      </c>
      <c r="B23" s="32" t="n">
        <f aca="false">B20/6</f>
        <v>675244.166666667</v>
      </c>
    </row>
    <row r="24" customFormat="false" ht="12.75" hidden="false" customHeight="false" outlineLevel="0" collapsed="false">
      <c r="A24" s="31"/>
      <c r="B24" s="32"/>
    </row>
    <row r="25" customFormat="false" ht="12.75" hidden="false" customHeight="false" outlineLevel="0" collapsed="false">
      <c r="A25" s="31"/>
      <c r="B25" s="32"/>
      <c r="C25" s="33" t="s">
        <v>13</v>
      </c>
      <c r="H25" s="33" t="s">
        <v>14</v>
      </c>
    </row>
    <row r="26" customFormat="false" ht="12.75" hidden="false" customHeight="false" outlineLevel="0" collapsed="false">
      <c r="B26" s="32"/>
      <c r="C26" s="32" t="n">
        <f aca="false">((I9+K9)*B20)</f>
        <v>13433802.298023</v>
      </c>
      <c r="H26" s="32" t="n">
        <f aca="false">(B20*N15)-800000</f>
        <v>12811566.3516182</v>
      </c>
    </row>
    <row r="27" customFormat="false" ht="12.75" hidden="false" customHeight="false" outlineLevel="0" collapsed="false">
      <c r="B27" s="32"/>
    </row>
    <row r="28" customFormat="false" ht="12.75" hidden="false" customHeight="false" outlineLevel="0" collapsed="false">
      <c r="A28" s="31" t="s">
        <v>15</v>
      </c>
      <c r="B28" s="0" t="s">
        <v>16</v>
      </c>
    </row>
    <row r="29" customFormat="false" ht="12.75" hidden="false" customHeight="false" outlineLevel="0" collapsed="false">
      <c r="B29" s="0" t="s">
        <v>17</v>
      </c>
    </row>
    <row r="30" customFormat="false" ht="12.75" hidden="false" customHeight="false" outlineLevel="0" collapsed="false">
      <c r="B30" s="0" t="s">
        <v>18</v>
      </c>
    </row>
    <row r="32" customFormat="false" ht="12.75" hidden="false" customHeight="false" outlineLevel="0" collapsed="false">
      <c r="A32" s="0" t="s">
        <v>19</v>
      </c>
      <c r="B32" s="0" t="s">
        <v>20</v>
      </c>
    </row>
    <row r="33" customFormat="false" ht="12.75" hidden="false" customHeight="false" outlineLevel="0" collapsed="false">
      <c r="A33" s="0" t="s">
        <v>21</v>
      </c>
      <c r="B33" s="0" t="s">
        <v>22</v>
      </c>
    </row>
    <row r="34" customFormat="false" ht="12.75" hidden="false" customHeight="false" outlineLevel="0" collapsed="false">
      <c r="B34" s="0" t="s">
        <v>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58"/>
  <sheetViews>
    <sheetView showFormulas="false" showGridLines="tru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D5" activeCellId="0" sqref="D5:D13"/>
    </sheetView>
  </sheetViews>
  <sheetFormatPr defaultColWidth="7.9921875" defaultRowHeight="12.75" customHeight="true" zeroHeight="false" outlineLevelRow="0" outlineLevelCol="0"/>
  <cols>
    <col collapsed="false" customWidth="false" hidden="false" outlineLevel="0" max="1" min="1" style="1" width="7.99"/>
    <col collapsed="false" customWidth="true" hidden="false" outlineLevel="0" max="2" min="2" style="1" width="9.85"/>
    <col collapsed="false" customWidth="true" hidden="false" outlineLevel="0" max="3" min="3" style="1" width="7.42"/>
    <col collapsed="false" customWidth="true" hidden="false" outlineLevel="0" max="4" min="4" style="1" width="13.28"/>
    <col collapsed="false" customWidth="true" hidden="false" outlineLevel="0" max="5" min="5" style="1" width="11.13"/>
    <col collapsed="false" customWidth="true" hidden="false" outlineLevel="0" max="6" min="6" style="1" width="11.7"/>
    <col collapsed="false" customWidth="false" hidden="false" outlineLevel="0" max="8" min="7" style="1" width="7.99"/>
    <col collapsed="false" customWidth="true" hidden="false" outlineLevel="0" max="9" min="9" style="1" width="13.28"/>
    <col collapsed="false" customWidth="true" hidden="false" outlineLevel="0" max="10" min="10" style="1" width="9.14"/>
    <col collapsed="false" customWidth="true" hidden="false" outlineLevel="0" max="11" min="11" style="1" width="7.85"/>
    <col collapsed="false" customWidth="true" hidden="false" outlineLevel="0" max="12" min="12" style="1" width="13.28"/>
    <col collapsed="false" customWidth="false" hidden="false" outlineLevel="0" max="15" min="13" style="1" width="7.99"/>
    <col collapsed="false" customWidth="true" hidden="false" outlineLevel="0" max="16" min="16" style="1" width="9.7"/>
    <col collapsed="false" customWidth="true" hidden="false" outlineLevel="0" max="17" min="17" style="1" width="8.85"/>
    <col collapsed="false" customWidth="false" hidden="false" outlineLevel="0" max="257" min="18" style="1" width="7.99"/>
  </cols>
  <sheetData>
    <row r="1" customFormat="false" ht="12.75" hidden="false" customHeight="false" outlineLevel="0" collapsed="false">
      <c r="G1" s="34"/>
      <c r="H1" s="34"/>
      <c r="P1" s="4" t="s">
        <v>24</v>
      </c>
      <c r="Q1" s="4" t="s">
        <v>25</v>
      </c>
    </row>
    <row r="2" customFormat="false" ht="12.75" hidden="false" customHeight="false" outlineLevel="0" collapsed="false">
      <c r="D2" s="2" t="n">
        <f aca="true">TODAY()</f>
        <v>45926</v>
      </c>
      <c r="E2" s="3"/>
      <c r="F2" s="1" t="n">
        <f aca="false">(D6*0.0375)+E3</f>
        <v>0.127841</v>
      </c>
      <c r="H2" s="3" t="n">
        <f aca="false">N6-E3-F2</f>
        <v>3.02699920581315</v>
      </c>
      <c r="I2" s="3"/>
      <c r="J2" s="4" t="n">
        <f aca="false">4.79*0.005</f>
        <v>0.02395</v>
      </c>
      <c r="N2" s="3" t="n">
        <f aca="false">N5-E3</f>
        <v>3.17602546941078</v>
      </c>
      <c r="P2" s="35" t="n">
        <f aca="false">P5-E3</f>
        <v>3.12760946941078</v>
      </c>
      <c r="Q2" s="35" t="n">
        <f aca="false">($P$8-($P$8-$P$5)-$E$3)</f>
        <v>3.12760946941078</v>
      </c>
    </row>
    <row r="3" customFormat="false" ht="12.75" hidden="false" customHeight="false" outlineLevel="0" collapsed="false">
      <c r="D3" s="3" t="n">
        <v>2.848</v>
      </c>
      <c r="E3" s="36" t="n">
        <f aca="false">D3*0.017</f>
        <v>0.048416</v>
      </c>
      <c r="F3" s="37" t="n">
        <f aca="false">D3+E3</f>
        <v>2.896416</v>
      </c>
      <c r="G3" s="37" t="n">
        <f aca="false">E3+F2</f>
        <v>0.176257</v>
      </c>
      <c r="H3" s="37" t="n">
        <f aca="false">N6-F2</f>
        <v>3.07541520581315</v>
      </c>
      <c r="K3" s="38" t="s">
        <v>26</v>
      </c>
      <c r="L3" s="38"/>
      <c r="M3" s="38"/>
      <c r="N3" s="38"/>
      <c r="O3" s="3" t="n">
        <f aca="false">N5-O4</f>
        <v>-1.81055853058922</v>
      </c>
      <c r="P3" s="4"/>
      <c r="Q3" s="35"/>
    </row>
    <row r="4" customFormat="false" ht="12.75" hidden="false" customHeight="false" outlineLevel="0" collapsed="false">
      <c r="B4" s="39" t="n">
        <v>36928</v>
      </c>
      <c r="D4" s="40" t="s">
        <v>0</v>
      </c>
      <c r="E4" s="40" t="s">
        <v>27</v>
      </c>
      <c r="F4" s="40" t="s">
        <v>28</v>
      </c>
      <c r="G4" s="40"/>
      <c r="H4" s="40"/>
      <c r="I4" s="41"/>
      <c r="K4" s="42" t="s">
        <v>4</v>
      </c>
      <c r="L4" s="12" t="s">
        <v>5</v>
      </c>
      <c r="M4" s="12" t="s">
        <v>6</v>
      </c>
      <c r="N4" s="43" t="s">
        <v>8</v>
      </c>
      <c r="O4" s="3" t="n">
        <v>5.035</v>
      </c>
    </row>
    <row r="5" customFormat="false" ht="12.75" hidden="false" customHeight="false" outlineLevel="0" collapsed="false">
      <c r="A5" s="13" t="n">
        <f aca="false">(1+B5/2)^(-2*(J5-$D$2)/365.25)</f>
        <v>1.53107382213238</v>
      </c>
      <c r="B5" s="14" t="n">
        <v>0.018093076757042</v>
      </c>
      <c r="C5" s="44" t="n">
        <v>37288</v>
      </c>
      <c r="D5" s="45" t="n">
        <v>2.106</v>
      </c>
      <c r="E5" s="45" t="n">
        <v>0</v>
      </c>
      <c r="F5" s="45" t="n">
        <v>0</v>
      </c>
      <c r="G5" s="46"/>
      <c r="H5" s="6" t="n">
        <v>2.855</v>
      </c>
      <c r="I5" s="6" t="n">
        <f aca="false">D5-K5</f>
        <v>-1.11844146941078</v>
      </c>
      <c r="J5" s="44" t="n">
        <v>37288</v>
      </c>
      <c r="K5" s="45" t="n">
        <f aca="false">D5*A5</f>
        <v>3.22444146941078</v>
      </c>
      <c r="L5" s="45" t="n">
        <f aca="false">A5*E5</f>
        <v>0</v>
      </c>
      <c r="M5" s="45" t="n">
        <f aca="false">F5*A5</f>
        <v>0</v>
      </c>
      <c r="N5" s="45" t="n">
        <f aca="false">K5+L5+M5</f>
        <v>3.22444146941078</v>
      </c>
      <c r="O5" s="46"/>
      <c r="P5" s="47" t="n">
        <f aca="false">N5-E3</f>
        <v>3.17602546941078</v>
      </c>
      <c r="Q5" s="3"/>
    </row>
    <row r="6" customFormat="false" ht="12.75" hidden="false" customHeight="false" outlineLevel="0" collapsed="false">
      <c r="A6" s="14" t="n">
        <f aca="false">(1+B6/2)^(-2*(J6-$D$2)/365.25)</f>
        <v>1.51239669773992</v>
      </c>
      <c r="B6" s="14" t="n">
        <v>0.017626853917375</v>
      </c>
      <c r="C6" s="44" t="n">
        <v>37316</v>
      </c>
      <c r="D6" s="46" t="n">
        <v>2.118</v>
      </c>
      <c r="E6" s="46" t="n">
        <v>0</v>
      </c>
      <c r="F6" s="46" t="n">
        <v>0</v>
      </c>
      <c r="G6" s="46" t="n">
        <f aca="false">D6-D5</f>
        <v>0.012</v>
      </c>
      <c r="H6" s="6" t="n">
        <f aca="false">H5+G6</f>
        <v>2.867</v>
      </c>
      <c r="I6" s="6" t="n">
        <f aca="false">D6-K6</f>
        <v>-1.08525620581315</v>
      </c>
      <c r="J6" s="44" t="n">
        <v>37316</v>
      </c>
      <c r="K6" s="46" t="n">
        <f aca="false">D6*A6</f>
        <v>3.20325620581315</v>
      </c>
      <c r="L6" s="46" t="n">
        <f aca="false">A6*E6</f>
        <v>0</v>
      </c>
      <c r="M6" s="46" t="n">
        <f aca="false">F6*A6</f>
        <v>0</v>
      </c>
      <c r="N6" s="46" t="n">
        <f aca="false">K6+L6+M6</f>
        <v>3.20325620581315</v>
      </c>
      <c r="O6" s="46" t="n">
        <f aca="false">N6-N5</f>
        <v>-0.0211852635976304</v>
      </c>
      <c r="P6" s="47" t="n">
        <f aca="false">D6-O6</f>
        <v>2.13918526359763</v>
      </c>
      <c r="Q6" s="3"/>
    </row>
    <row r="7" customFormat="false" ht="12.75" hidden="false" customHeight="false" outlineLevel="0" collapsed="false">
      <c r="A7" s="13" t="n">
        <f aca="false">(1+B7/2)^(-2*(J7-$D$2)/365.25)</f>
        <v>1.50478638109176</v>
      </c>
      <c r="B7" s="14" t="n">
        <v>0.0174741649415724</v>
      </c>
      <c r="C7" s="44" t="n">
        <v>37347</v>
      </c>
      <c r="D7" s="46" t="n">
        <v>2.178</v>
      </c>
      <c r="E7" s="46" t="n">
        <v>0</v>
      </c>
      <c r="F7" s="46" t="n">
        <v>0</v>
      </c>
      <c r="G7" s="46" t="n">
        <f aca="false">D7-D6</f>
        <v>0.0600000000000001</v>
      </c>
      <c r="H7" s="6" t="n">
        <f aca="false">H6+G7</f>
        <v>2.927</v>
      </c>
      <c r="I7" s="6" t="n">
        <f aca="false">D7-K7</f>
        <v>-1.09942473801785</v>
      </c>
      <c r="J7" s="44" t="n">
        <v>37347</v>
      </c>
      <c r="K7" s="46" t="n">
        <f aca="false">D7*A7</f>
        <v>3.27742473801785</v>
      </c>
      <c r="L7" s="46" t="n">
        <f aca="false">A7*E7</f>
        <v>0</v>
      </c>
      <c r="M7" s="46" t="n">
        <f aca="false">F7*A7</f>
        <v>0</v>
      </c>
      <c r="N7" s="46" t="n">
        <f aca="false">K7+L7+M7</f>
        <v>3.27742473801785</v>
      </c>
      <c r="O7" s="46" t="n">
        <f aca="false">N7-N6</f>
        <v>0.0741685322046988</v>
      </c>
      <c r="P7" s="47"/>
      <c r="Q7" s="3"/>
    </row>
    <row r="8" customFormat="false" ht="12.75" hidden="false" customHeight="false" outlineLevel="0" collapsed="false">
      <c r="A8" s="13" t="n">
        <f aca="false">(1+B8/2)^(-2*(J8-$D$2)/365.25)</f>
        <v>1.50728427062555</v>
      </c>
      <c r="B8" s="14" t="n">
        <v>0.017607237536772</v>
      </c>
      <c r="C8" s="44" t="n">
        <v>37377</v>
      </c>
      <c r="D8" s="46" t="n">
        <v>2.27</v>
      </c>
      <c r="E8" s="46" t="n">
        <v>0</v>
      </c>
      <c r="F8" s="46" t="n">
        <v>-0.09</v>
      </c>
      <c r="G8" s="46" t="n">
        <f aca="false">D8-D7</f>
        <v>0.0920000000000001</v>
      </c>
      <c r="H8" s="6" t="n">
        <f aca="false">H7+G8</f>
        <v>3.019</v>
      </c>
      <c r="I8" s="6" t="n">
        <f aca="false">D8-K8</f>
        <v>-1.15153529432</v>
      </c>
      <c r="J8" s="44" t="n">
        <v>37377</v>
      </c>
      <c r="K8" s="46" t="n">
        <f aca="false">D8*A8</f>
        <v>3.42153529432</v>
      </c>
      <c r="L8" s="46" t="n">
        <f aca="false">A8*E8</f>
        <v>0</v>
      </c>
      <c r="M8" s="46" t="n">
        <f aca="false">F8*A8</f>
        <v>-0.1356555843563</v>
      </c>
      <c r="N8" s="46" t="n">
        <f aca="false">K8+L8+M8</f>
        <v>3.2858797099637</v>
      </c>
      <c r="O8" s="46" t="n">
        <f aca="false">N8-N7</f>
        <v>0.00845497194585132</v>
      </c>
      <c r="P8" s="47"/>
      <c r="Q8" s="3"/>
    </row>
    <row r="9" customFormat="false" ht="12.75" hidden="false" customHeight="false" outlineLevel="0" collapsed="false">
      <c r="A9" s="13" t="n">
        <f aca="false">(1+B9/2)^(-2*(J9-$D$2)/365.25)</f>
        <v>1.5171385285246</v>
      </c>
      <c r="B9" s="14" t="n">
        <v>0.0179535125566082</v>
      </c>
      <c r="C9" s="44" t="n">
        <v>37408</v>
      </c>
      <c r="D9" s="46" t="n">
        <v>2.338</v>
      </c>
      <c r="E9" s="46" t="n">
        <v>0</v>
      </c>
      <c r="F9" s="46" t="n">
        <v>-0.09</v>
      </c>
      <c r="G9" s="46" t="n">
        <f aca="false">D9-D8</f>
        <v>0.0680000000000001</v>
      </c>
      <c r="H9" s="6" t="n">
        <f aca="false">H8+G9</f>
        <v>3.087</v>
      </c>
      <c r="I9" s="6" t="n">
        <f aca="false">D9-K9</f>
        <v>-1.20906987969052</v>
      </c>
      <c r="J9" s="44" t="n">
        <v>37408</v>
      </c>
      <c r="K9" s="46" t="n">
        <f aca="false">D9*A9</f>
        <v>3.54706987969052</v>
      </c>
      <c r="L9" s="46" t="n">
        <f aca="false">A9*E9</f>
        <v>0</v>
      </c>
      <c r="M9" s="46" t="n">
        <f aca="false">F9*A9</f>
        <v>-0.136542467567214</v>
      </c>
      <c r="N9" s="46" t="n">
        <f aca="false">K9+L9+M9</f>
        <v>3.41052741212331</v>
      </c>
      <c r="O9" s="46" t="n">
        <f aca="false">N9-N8</f>
        <v>0.124647702159604</v>
      </c>
      <c r="P9" s="47"/>
      <c r="Q9" s="3"/>
    </row>
    <row r="10" customFormat="false" ht="12.75" hidden="false" customHeight="false" outlineLevel="0" collapsed="false">
      <c r="A10" s="13" t="n">
        <f aca="false">(1+B10/2)^(-2*(J10-$D$2)/365.25)</f>
        <v>1.52816543780336</v>
      </c>
      <c r="B10" s="14" t="n">
        <v>0.0183317147671427</v>
      </c>
      <c r="C10" s="44" t="n">
        <v>37438</v>
      </c>
      <c r="D10" s="46" t="n">
        <v>2.413</v>
      </c>
      <c r="E10" s="46" t="n">
        <v>0</v>
      </c>
      <c r="F10" s="46" t="n">
        <v>-0.09</v>
      </c>
      <c r="G10" s="46" t="n">
        <f aca="false">D10-D9</f>
        <v>0.0749999999999997</v>
      </c>
      <c r="H10" s="6" t="n">
        <f aca="false">H9+G10</f>
        <v>3.162</v>
      </c>
      <c r="I10" s="6" t="n">
        <f aca="false">D10-K10</f>
        <v>-1.27446320141951</v>
      </c>
      <c r="J10" s="44" t="n">
        <v>37438</v>
      </c>
      <c r="K10" s="46" t="n">
        <f aca="false">D10*A10</f>
        <v>3.68746320141951</v>
      </c>
      <c r="L10" s="46" t="n">
        <f aca="false">A10*E10</f>
        <v>0</v>
      </c>
      <c r="M10" s="46" t="n">
        <f aca="false">F10*A10</f>
        <v>-0.137534889402302</v>
      </c>
      <c r="N10" s="46" t="n">
        <f aca="false">K10+L10+M10</f>
        <v>3.5499283120172</v>
      </c>
      <c r="O10" s="46" t="n">
        <f aca="false">N10-N9</f>
        <v>0.139400899893896</v>
      </c>
      <c r="P10" s="47"/>
      <c r="Q10" s="3"/>
    </row>
    <row r="11" customFormat="false" ht="12.75" hidden="false" customHeight="false" outlineLevel="0" collapsed="false">
      <c r="A11" s="13" t="n">
        <f aca="false">(1+B11/2)^(-2*(J11-$D$2)/365.25)</f>
        <v>1.54186893126636</v>
      </c>
      <c r="B11" s="14" t="n">
        <v>0.0187883667708228</v>
      </c>
      <c r="C11" s="44" t="n">
        <v>37469</v>
      </c>
      <c r="D11" s="46" t="n">
        <v>2.461</v>
      </c>
      <c r="E11" s="46" t="n">
        <v>0</v>
      </c>
      <c r="F11" s="46" t="n">
        <v>-0.09</v>
      </c>
      <c r="G11" s="46" t="n">
        <f aca="false">D11-D10</f>
        <v>0.048</v>
      </c>
      <c r="H11" s="6" t="n">
        <f aca="false">H10+G11</f>
        <v>3.21</v>
      </c>
      <c r="I11" s="6" t="n">
        <f aca="false">D11-K11</f>
        <v>-1.33353943984651</v>
      </c>
      <c r="J11" s="44" t="n">
        <v>37469</v>
      </c>
      <c r="K11" s="46" t="n">
        <f aca="false">D11*A11</f>
        <v>3.79453943984651</v>
      </c>
      <c r="L11" s="46" t="n">
        <f aca="false">A11*E11</f>
        <v>0</v>
      </c>
      <c r="M11" s="46" t="n">
        <f aca="false">F11*A11</f>
        <v>-0.138768203813972</v>
      </c>
      <c r="N11" s="46" t="n">
        <f aca="false">K11+L11+M11</f>
        <v>3.65577123603254</v>
      </c>
      <c r="O11" s="46" t="n">
        <f aca="false">N11-N10</f>
        <v>0.105842924015334</v>
      </c>
      <c r="P11" s="47"/>
    </row>
    <row r="12" customFormat="false" ht="12.75" hidden="false" customHeight="false" outlineLevel="0" collapsed="false">
      <c r="A12" s="13" t="n">
        <f aca="false">(1+B12/2)^(-2*(J12-$D$2)/365.25)</f>
        <v>1.55557216138921</v>
      </c>
      <c r="B12" s="14" t="n">
        <v>0.0192450188452047</v>
      </c>
      <c r="C12" s="44" t="n">
        <v>37500</v>
      </c>
      <c r="D12" s="46" t="n">
        <v>2.473</v>
      </c>
      <c r="E12" s="46" t="n">
        <v>0</v>
      </c>
      <c r="F12" s="46" t="n">
        <v>-0.09</v>
      </c>
      <c r="G12" s="46" t="n">
        <f aca="false">D12-D11</f>
        <v>0.012</v>
      </c>
      <c r="H12" s="6" t="n">
        <f aca="false">H11+G12</f>
        <v>3.222</v>
      </c>
      <c r="I12" s="6" t="n">
        <f aca="false">D12-K12</f>
        <v>-1.37392995511552</v>
      </c>
      <c r="J12" s="44" t="n">
        <v>37500</v>
      </c>
      <c r="K12" s="46" t="n">
        <f aca="false">D12*A12</f>
        <v>3.84692995511552</v>
      </c>
      <c r="L12" s="46" t="n">
        <f aca="false">A12*E12</f>
        <v>0</v>
      </c>
      <c r="M12" s="46" t="n">
        <f aca="false">F12*A12</f>
        <v>-0.140001494525029</v>
      </c>
      <c r="N12" s="46" t="n">
        <f aca="false">K12+L12+M12</f>
        <v>3.70692846059049</v>
      </c>
      <c r="O12" s="46" t="n">
        <f aca="false">N12-N11</f>
        <v>0.0511572245579544</v>
      </c>
      <c r="P12" s="47"/>
    </row>
    <row r="13" customFormat="false" ht="12.75" hidden="false" customHeight="false" outlineLevel="0" collapsed="false">
      <c r="A13" s="13" t="n">
        <f aca="false">(1+B13/2)^(-2*(J13-$D$2)/365.25)</f>
        <v>1.57121103205302</v>
      </c>
      <c r="B13" s="14" t="n">
        <v>0.0197535351216502</v>
      </c>
      <c r="C13" s="44" t="n">
        <v>37530</v>
      </c>
      <c r="D13" s="46" t="n">
        <v>2.503</v>
      </c>
      <c r="E13" s="46" t="n">
        <v>0</v>
      </c>
      <c r="F13" s="46" t="n">
        <v>-0.09</v>
      </c>
      <c r="G13" s="46" t="n">
        <f aca="false">D13-D12</f>
        <v>0.0300000000000003</v>
      </c>
      <c r="H13" s="6" t="n">
        <f aca="false">H12+G13</f>
        <v>3.252</v>
      </c>
      <c r="I13" s="6" t="n">
        <f aca="false">D13-K13</f>
        <v>-1.42974121322871</v>
      </c>
      <c r="J13" s="44" t="n">
        <v>37530</v>
      </c>
      <c r="K13" s="46" t="n">
        <f aca="false">D13*A13</f>
        <v>3.93274121322871</v>
      </c>
      <c r="L13" s="46" t="n">
        <f aca="false">A13*E13</f>
        <v>0</v>
      </c>
      <c r="M13" s="46" t="n">
        <f aca="false">F13*A13</f>
        <v>-0.141408992884772</v>
      </c>
      <c r="N13" s="46" t="n">
        <f aca="false">K13+L13+M13</f>
        <v>3.79133222034394</v>
      </c>
      <c r="O13" s="46" t="n">
        <f aca="false">N13-N12</f>
        <v>0.0844037597534433</v>
      </c>
      <c r="P13" s="47"/>
    </row>
    <row r="14" customFormat="false" ht="12.75" hidden="false" customHeight="false" outlineLevel="0" collapsed="false">
      <c r="A14" s="13" t="n">
        <f aca="false">(1+B14/2)^(-2*(J14-$D$2)/365.25)</f>
        <v>1.59077841575451</v>
      </c>
      <c r="B14" s="14" t="n">
        <v>0.0203729539318389</v>
      </c>
      <c r="C14" s="44" t="n">
        <v>37561</v>
      </c>
      <c r="D14" s="46" t="n">
        <v>2.728</v>
      </c>
      <c r="E14" s="46" t="n">
        <v>0</v>
      </c>
      <c r="F14" s="46" t="n">
        <v>-0.09</v>
      </c>
      <c r="G14" s="46" t="n">
        <f aca="false">D14-D13</f>
        <v>0.225</v>
      </c>
      <c r="H14" s="6" t="n">
        <f aca="false">H13+G14</f>
        <v>3.477</v>
      </c>
      <c r="I14" s="6" t="n">
        <f aca="false">D14-K14</f>
        <v>-1.6116435181783</v>
      </c>
      <c r="J14" s="44" t="n">
        <v>37561</v>
      </c>
      <c r="K14" s="46" t="n">
        <f aca="false">D14*A14</f>
        <v>4.3396435181783</v>
      </c>
      <c r="L14" s="46" t="n">
        <f aca="false">A14*E14</f>
        <v>0</v>
      </c>
      <c r="M14" s="46" t="n">
        <f aca="false">F14*A14</f>
        <v>-0.143170057417906</v>
      </c>
      <c r="N14" s="46" t="n">
        <f aca="false">K14+L14+M14</f>
        <v>4.19647346076039</v>
      </c>
      <c r="O14" s="46" t="n">
        <f aca="false">N14-N13</f>
        <v>0.405141240416457</v>
      </c>
      <c r="P14" s="47" t="n">
        <f aca="false">SUM(O9:O14)</f>
        <v>0.910593750796688</v>
      </c>
    </row>
    <row r="15" customFormat="false" ht="12.75" hidden="false" customHeight="false" outlineLevel="0" collapsed="false">
      <c r="A15" s="13" t="n">
        <f aca="false">(1+B15/2)^(-2*(J15-$D$2)/365.25)</f>
        <v>1.60978044812868</v>
      </c>
      <c r="B15" s="14" t="n">
        <v>0.0209723916138476</v>
      </c>
      <c r="C15" s="44" t="n">
        <v>37591</v>
      </c>
      <c r="D15" s="46" t="n">
        <v>2.938</v>
      </c>
      <c r="E15" s="46" t="n">
        <v>0</v>
      </c>
      <c r="F15" s="46" t="n">
        <v>-0.09</v>
      </c>
      <c r="G15" s="46" t="n">
        <f aca="false">D15-D14</f>
        <v>0.21</v>
      </c>
      <c r="H15" s="6" t="n">
        <f aca="false">H14+G15</f>
        <v>3.687</v>
      </c>
      <c r="I15" s="6" t="n">
        <f aca="false">D15-K15</f>
        <v>-1.79153495660207</v>
      </c>
      <c r="J15" s="44" t="n">
        <v>37591</v>
      </c>
      <c r="K15" s="46" t="n">
        <f aca="false">D15*A15</f>
        <v>4.72953495660207</v>
      </c>
      <c r="L15" s="46" t="n">
        <f aca="false">A15*E15</f>
        <v>0</v>
      </c>
      <c r="M15" s="46" t="n">
        <f aca="false">F15*A15</f>
        <v>-0.144880240331581</v>
      </c>
      <c r="N15" s="46" t="n">
        <f aca="false">K15+L15+M15</f>
        <v>4.58465471627048</v>
      </c>
      <c r="O15" s="46" t="n">
        <f aca="false">N15-N14</f>
        <v>0.388181255510093</v>
      </c>
      <c r="P15" s="47"/>
    </row>
    <row r="16" customFormat="false" ht="12.75" hidden="false" customHeight="false" outlineLevel="0" collapsed="false">
      <c r="A16" s="13" t="n">
        <f aca="false">(1+B16/2)^(-2*(J16-$D$2)/365.25)</f>
        <v>1.63202384045266</v>
      </c>
      <c r="B16" s="14" t="n">
        <v>0.0216611469697923</v>
      </c>
      <c r="C16" s="44" t="n">
        <v>37622</v>
      </c>
      <c r="D16" s="48" t="n">
        <v>3.028</v>
      </c>
      <c r="E16" s="48" t="n">
        <v>0</v>
      </c>
      <c r="F16" s="46" t="n">
        <v>-0.09</v>
      </c>
      <c r="G16" s="46" t="n">
        <f aca="false">D16-D15</f>
        <v>0.0899999999999999</v>
      </c>
      <c r="H16" s="6" t="n">
        <f aca="false">H15+G16</f>
        <v>3.777</v>
      </c>
      <c r="I16" s="6" t="n">
        <f aca="false">D16-K16</f>
        <v>-1.91376818889066</v>
      </c>
      <c r="J16" s="44" t="n">
        <v>37622</v>
      </c>
      <c r="K16" s="48" t="n">
        <f aca="false">D16*A16</f>
        <v>4.94176818889066</v>
      </c>
      <c r="L16" s="48" t="n">
        <f aca="false">A16*E16</f>
        <v>0</v>
      </c>
      <c r="M16" s="48" t="n">
        <f aca="false">F16*A16</f>
        <v>-0.14688214564074</v>
      </c>
      <c r="N16" s="48" t="n">
        <f aca="false">K16+L16+M16</f>
        <v>4.79488604324992</v>
      </c>
      <c r="O16" s="46" t="n">
        <f aca="false">N16-N15</f>
        <v>0.210231326979438</v>
      </c>
      <c r="P16" s="47"/>
    </row>
    <row r="17" customFormat="false" ht="12.75" hidden="false" customHeight="false" outlineLevel="0" collapsed="false">
      <c r="A17" s="13" t="n">
        <f aca="false">(1+B17/2)^(-2*(J17-$D$2)/365.25)</f>
        <v>1.65749743139691</v>
      </c>
      <c r="B17" s="14" t="n">
        <v>0.0224340965746181</v>
      </c>
      <c r="C17" s="44" t="n">
        <v>37653</v>
      </c>
      <c r="D17" s="46" t="n">
        <v>2.988</v>
      </c>
      <c r="E17" s="46" t="n">
        <v>0</v>
      </c>
      <c r="F17" s="46" t="n">
        <v>-0.09</v>
      </c>
      <c r="G17" s="46" t="n">
        <f aca="false">D17-D16</f>
        <v>-0.04</v>
      </c>
      <c r="H17" s="6" t="n">
        <f aca="false">H16+G17</f>
        <v>3.737</v>
      </c>
      <c r="I17" s="6" t="n">
        <f aca="false">D17-K17</f>
        <v>-1.96460232501396</v>
      </c>
      <c r="J17" s="44" t="n">
        <v>37653</v>
      </c>
      <c r="K17" s="46" t="n">
        <f aca="false">D17*A17</f>
        <v>4.95260232501396</v>
      </c>
      <c r="L17" s="46" t="n">
        <f aca="false">A17*E17</f>
        <v>0</v>
      </c>
      <c r="M17" s="46" t="n">
        <f aca="false">F17*A17</f>
        <v>-0.149174768825722</v>
      </c>
      <c r="N17" s="46" t="n">
        <f aca="false">K17+L17+M17</f>
        <v>4.80342755618824</v>
      </c>
      <c r="O17" s="46" t="n">
        <f aca="false">N17-N16</f>
        <v>0.0085415129383204</v>
      </c>
      <c r="P17" s="47"/>
    </row>
    <row r="18" customFormat="false" ht="12.75" hidden="false" customHeight="false" outlineLevel="0" collapsed="false">
      <c r="A18" s="13" t="n">
        <f aca="false">(1+B18/2)^(-2*(J18-$D$2)/365.25)</f>
        <v>1.68065041770133</v>
      </c>
      <c r="B18" s="14" t="n">
        <v>0.02313224477858</v>
      </c>
      <c r="C18" s="44" t="n">
        <v>37681</v>
      </c>
      <c r="D18" s="46" t="n">
        <v>2.918</v>
      </c>
      <c r="E18" s="46" t="n">
        <v>0</v>
      </c>
      <c r="F18" s="46" t="n">
        <v>-0.09</v>
      </c>
      <c r="G18" s="46" t="n">
        <f aca="false">D18-D17</f>
        <v>-0.0699999999999998</v>
      </c>
      <c r="H18" s="6" t="n">
        <f aca="false">H17+G18</f>
        <v>3.667</v>
      </c>
      <c r="I18" s="6" t="n">
        <f aca="false">D18-K18</f>
        <v>-1.98613791885247</v>
      </c>
      <c r="J18" s="44" t="n">
        <v>37681</v>
      </c>
      <c r="K18" s="46" t="n">
        <f aca="false">D18*A18</f>
        <v>4.90413791885247</v>
      </c>
      <c r="L18" s="46" t="n">
        <f aca="false">A18*E18</f>
        <v>0</v>
      </c>
      <c r="M18" s="46" t="n">
        <f aca="false">F18*A18</f>
        <v>-0.151258537593119</v>
      </c>
      <c r="N18" s="46" t="n">
        <f aca="false">K18+L18+M18</f>
        <v>4.75287938125935</v>
      </c>
      <c r="O18" s="46" t="n">
        <f aca="false">N18-N17</f>
        <v>-0.0505481749288936</v>
      </c>
      <c r="P18" s="47"/>
    </row>
    <row r="19" customFormat="false" ht="12.75" hidden="false" customHeight="false" outlineLevel="0" collapsed="false">
      <c r="A19" s="13" t="n">
        <f aca="false">(1+B19/2)^(-2*(J19-$D$2)/365.25)</f>
        <v>1.70836074926165</v>
      </c>
      <c r="B19" s="14" t="n">
        <v>0.0239558114502132</v>
      </c>
      <c r="C19" s="44" t="n">
        <v>37712</v>
      </c>
      <c r="D19" s="46" t="n">
        <v>2.808</v>
      </c>
      <c r="E19" s="46" t="n">
        <v>0</v>
      </c>
      <c r="F19" s="46" t="n">
        <v>-0.09</v>
      </c>
      <c r="G19" s="46" t="n">
        <f aca="false">D19-D18</f>
        <v>-0.11</v>
      </c>
      <c r="H19" s="6" t="n">
        <f aca="false">H18+G19</f>
        <v>3.557</v>
      </c>
      <c r="I19" s="6" t="n">
        <f aca="false">D19-K19</f>
        <v>-1.98907698392671</v>
      </c>
      <c r="J19" s="44" t="n">
        <v>37712</v>
      </c>
      <c r="K19" s="46" t="n">
        <f aca="false">D19*A19</f>
        <v>4.79707698392671</v>
      </c>
      <c r="L19" s="46" t="n">
        <f aca="false">A19*E19</f>
        <v>0</v>
      </c>
      <c r="M19" s="46" t="n">
        <f aca="false">F19*A19</f>
        <v>-0.153752467433548</v>
      </c>
      <c r="N19" s="46" t="n">
        <f aca="false">K19+L19+M19</f>
        <v>4.64332451649316</v>
      </c>
      <c r="O19" s="46" t="n">
        <f aca="false">N19-N18</f>
        <v>-0.109554864766189</v>
      </c>
      <c r="P19" s="47" t="n">
        <f aca="false">SUM(O16:O19)</f>
        <v>0.0586698002226749</v>
      </c>
      <c r="Q19" s="47" t="n">
        <f aca="false">P19-P14</f>
        <v>-0.851923950574014</v>
      </c>
    </row>
    <row r="20" customFormat="false" ht="12.75" hidden="false" customHeight="false" outlineLevel="0" collapsed="false">
      <c r="A20" s="13" t="n">
        <f aca="false">(1+B20/2)^(-2*(J20-$D$2)/365.25)</f>
        <v>1.73712497254823</v>
      </c>
      <c r="B20" s="14" t="n">
        <v>0.0247984407807835</v>
      </c>
      <c r="C20" s="44" t="n">
        <v>37742</v>
      </c>
      <c r="D20" s="46" t="n">
        <v>2.811</v>
      </c>
      <c r="E20" s="46" t="n">
        <v>0</v>
      </c>
      <c r="F20" s="46" t="n">
        <v>-0.09</v>
      </c>
      <c r="G20" s="46" t="n">
        <f aca="false">D20-D19</f>
        <v>0.00300000000000011</v>
      </c>
      <c r="H20" s="6" t="n">
        <f aca="false">H19+G20</f>
        <v>3.56</v>
      </c>
      <c r="I20" s="6" t="n">
        <f aca="false">D20-K20</f>
        <v>-2.07205829783307</v>
      </c>
      <c r="J20" s="44" t="n">
        <v>37742</v>
      </c>
      <c r="K20" s="46" t="n">
        <f aca="false">D20*A20</f>
        <v>4.88305829783307</v>
      </c>
      <c r="L20" s="46" t="n">
        <f aca="false">A20*E20</f>
        <v>0</v>
      </c>
      <c r="M20" s="46" t="n">
        <f aca="false">F20*A20</f>
        <v>-0.15634124752934</v>
      </c>
      <c r="N20" s="46" t="n">
        <f aca="false">K20+L20+M20</f>
        <v>4.72671705030373</v>
      </c>
      <c r="O20" s="46" t="n">
        <f aca="false">N20-N19</f>
        <v>0.0833925338105672</v>
      </c>
      <c r="P20" s="47"/>
    </row>
    <row r="21" customFormat="false" ht="12.75" hidden="false" customHeight="false" outlineLevel="0" collapsed="false">
      <c r="A21" s="13" t="n">
        <f aca="false">(1+B21/2)^(-2*(J21-$D$2)/365.25)</f>
        <v>1.76708866059888</v>
      </c>
      <c r="B21" s="13" t="n">
        <v>0.0256691580078559</v>
      </c>
      <c r="C21" s="44" t="n">
        <v>37773</v>
      </c>
      <c r="D21" s="6" t="n">
        <v>2.861</v>
      </c>
      <c r="E21" s="6" t="n">
        <v>0</v>
      </c>
      <c r="F21" s="46" t="n">
        <v>-0.09</v>
      </c>
      <c r="G21" s="6" t="n">
        <f aca="false">D21-D20</f>
        <v>0.0500000000000003</v>
      </c>
      <c r="H21" s="6" t="n">
        <f aca="false">H20+G21</f>
        <v>3.61</v>
      </c>
      <c r="I21" s="6" t="n">
        <f aca="false">D21-K21</f>
        <v>-2.1946406579734</v>
      </c>
      <c r="J21" s="15" t="n">
        <v>37773</v>
      </c>
      <c r="K21" s="6" t="n">
        <f aca="false">D21*A21</f>
        <v>5.0556406579734</v>
      </c>
      <c r="L21" s="6" t="n">
        <f aca="false">A21*E21</f>
        <v>0</v>
      </c>
      <c r="M21" s="6" t="n">
        <f aca="false">F21*A21</f>
        <v>-0.159037979453899</v>
      </c>
      <c r="N21" s="6" t="n">
        <f aca="false">K21+L21+M21</f>
        <v>4.8966026785195</v>
      </c>
      <c r="O21" s="6" t="n">
        <f aca="false">N21-N20</f>
        <v>0.169885628215778</v>
      </c>
    </row>
    <row r="22" customFormat="false" ht="12.75" hidden="false" customHeight="false" outlineLevel="0" collapsed="false">
      <c r="A22" s="13" t="n">
        <f aca="false">(1+B22/2)^(-2*(J22-$D$2)/365.25)</f>
        <v>1.79703155535526</v>
      </c>
      <c r="B22" s="13" t="n">
        <v>0.0265299818607314</v>
      </c>
      <c r="C22" s="44" t="n">
        <v>37803</v>
      </c>
      <c r="D22" s="6" t="n">
        <v>2.901</v>
      </c>
      <c r="E22" s="6" t="n">
        <v>0</v>
      </c>
      <c r="F22" s="46" t="n">
        <v>-0.09</v>
      </c>
      <c r="G22" s="6" t="n">
        <f aca="false">D22-D21</f>
        <v>0.0399999999999996</v>
      </c>
      <c r="H22" s="6" t="n">
        <f aca="false">H21+G22</f>
        <v>3.65</v>
      </c>
      <c r="I22" s="6" t="n">
        <f aca="false">D22-K22</f>
        <v>-2.31218854208561</v>
      </c>
      <c r="J22" s="15" t="n">
        <v>37803</v>
      </c>
      <c r="K22" s="6" t="n">
        <f aca="false">D22*A22</f>
        <v>5.21318854208561</v>
      </c>
      <c r="L22" s="6" t="n">
        <f aca="false">A22*E22</f>
        <v>0</v>
      </c>
      <c r="M22" s="6" t="n">
        <f aca="false">F22*A22</f>
        <v>-0.161732839981973</v>
      </c>
      <c r="N22" s="6" t="n">
        <f aca="false">K22+L22+M22</f>
        <v>5.05145570210363</v>
      </c>
      <c r="O22" s="6" t="n">
        <f aca="false">N22-N21</f>
        <v>0.154853023584129</v>
      </c>
    </row>
    <row r="23" customFormat="false" ht="12.75" hidden="false" customHeight="false" outlineLevel="0" collapsed="false">
      <c r="A23" s="13" t="n">
        <f aca="false">(1+B23/2)^(-2*(J23-$D$2)/365.25)</f>
        <v>1.82926233981735</v>
      </c>
      <c r="B23" s="13" t="n">
        <v>0.0274455248571908</v>
      </c>
      <c r="C23" s="44" t="n">
        <v>37834</v>
      </c>
      <c r="D23" s="6" t="n">
        <v>2.936</v>
      </c>
      <c r="E23" s="6" t="n">
        <v>0</v>
      </c>
      <c r="F23" s="46" t="n">
        <v>-0.09</v>
      </c>
      <c r="G23" s="6" t="n">
        <f aca="false">D23-D22</f>
        <v>0.0350000000000001</v>
      </c>
      <c r="H23" s="6" t="n">
        <f aca="false">H22+G23</f>
        <v>3.685</v>
      </c>
      <c r="I23" s="6" t="n">
        <f aca="false">D23-K23</f>
        <v>-2.43471422970374</v>
      </c>
      <c r="J23" s="15" t="n">
        <v>37834</v>
      </c>
      <c r="K23" s="6" t="n">
        <f aca="false">D23*A23</f>
        <v>5.37071422970374</v>
      </c>
      <c r="L23" s="6" t="n">
        <f aca="false">A23*E23</f>
        <v>0</v>
      </c>
      <c r="M23" s="6" t="n">
        <f aca="false">F23*A23</f>
        <v>-0.164633610583561</v>
      </c>
      <c r="N23" s="6" t="n">
        <f aca="false">K23+L23+M23</f>
        <v>5.20608061912018</v>
      </c>
      <c r="O23" s="6" t="n">
        <f aca="false">N23-N22</f>
        <v>0.154624917016542</v>
      </c>
    </row>
    <row r="24" customFormat="false" ht="12.75" hidden="false" customHeight="false" outlineLevel="0" collapsed="false">
      <c r="A24" s="13" t="n">
        <f aca="false">(1+B24/2)^(-2*(J24-$D$2)/365.25)</f>
        <v>1.86176894498298</v>
      </c>
      <c r="B24" s="13" t="n">
        <v>0.0283610681366318</v>
      </c>
      <c r="C24" s="44" t="n">
        <v>37865</v>
      </c>
      <c r="D24" s="6" t="n">
        <v>2.936</v>
      </c>
      <c r="E24" s="6" t="n">
        <v>0</v>
      </c>
      <c r="F24" s="46" t="n">
        <v>-0.09</v>
      </c>
      <c r="G24" s="6" t="n">
        <f aca="false">D24-D23</f>
        <v>0</v>
      </c>
      <c r="H24" s="6" t="n">
        <f aca="false">H23+G24</f>
        <v>3.685</v>
      </c>
      <c r="I24" s="6" t="n">
        <f aca="false">D24-K24</f>
        <v>-2.53015362247004</v>
      </c>
      <c r="J24" s="15" t="n">
        <v>37865</v>
      </c>
      <c r="K24" s="6" t="n">
        <f aca="false">D24*A24</f>
        <v>5.46615362247004</v>
      </c>
      <c r="L24" s="6" t="n">
        <f aca="false">A24*E24</f>
        <v>0</v>
      </c>
      <c r="M24" s="6" t="n">
        <f aca="false">F24*A24</f>
        <v>-0.167559205048469</v>
      </c>
      <c r="N24" s="6" t="n">
        <f aca="false">K24+L24+M24</f>
        <v>5.29859441742157</v>
      </c>
      <c r="O24" s="6" t="n">
        <f aca="false">N24-N23</f>
        <v>0.0925137983013977</v>
      </c>
    </row>
    <row r="25" customFormat="false" ht="12.75" hidden="false" customHeight="false" outlineLevel="0" collapsed="false">
      <c r="A25" s="13" t="n">
        <f aca="false">(1+B25/2)^(-2*(J25-$D$2)/365.25)</f>
        <v>1.89288553974249</v>
      </c>
      <c r="B25" s="13" t="n">
        <v>0.0292324823045234</v>
      </c>
      <c r="C25" s="44" t="n">
        <v>37895</v>
      </c>
      <c r="D25" s="6" t="n">
        <v>2.976</v>
      </c>
      <c r="E25" s="6" t="n">
        <v>0</v>
      </c>
      <c r="F25" s="46" t="n">
        <v>-0.09</v>
      </c>
      <c r="G25" s="6" t="n">
        <f aca="false">D25-D24</f>
        <v>0.04</v>
      </c>
      <c r="H25" s="6" t="n">
        <f aca="false">H24+G25</f>
        <v>3.725</v>
      </c>
      <c r="I25" s="6" t="n">
        <f aca="false">D25-K25</f>
        <v>-2.65722736627366</v>
      </c>
      <c r="J25" s="15" t="n">
        <v>37895</v>
      </c>
      <c r="K25" s="6" t="n">
        <f aca="false">D25*A25</f>
        <v>5.63322736627366</v>
      </c>
      <c r="L25" s="6" t="n">
        <f aca="false">A25*E25</f>
        <v>0</v>
      </c>
      <c r="M25" s="6" t="n">
        <f aca="false">F25*A25</f>
        <v>-0.170359698576824</v>
      </c>
      <c r="N25" s="6" t="n">
        <f aca="false">K25+L25+M25</f>
        <v>5.46286766769683</v>
      </c>
      <c r="O25" s="6" t="n">
        <f aca="false">N25-N24</f>
        <v>0.16427325027526</v>
      </c>
    </row>
    <row r="26" customFormat="false" ht="12.75" hidden="false" customHeight="false" outlineLevel="0" collapsed="false">
      <c r="A26" s="13" t="n">
        <f aca="false">(1+B26/2)^(-2*(J26-$D$2)/365.25)</f>
        <v>1.91976885537144</v>
      </c>
      <c r="B26" s="13" t="n">
        <v>0.03</v>
      </c>
      <c r="C26" s="44" t="n">
        <v>37926</v>
      </c>
      <c r="D26" s="6" t="n">
        <v>3.149</v>
      </c>
      <c r="E26" s="6" t="n">
        <v>0</v>
      </c>
      <c r="F26" s="6" t="n">
        <v>0</v>
      </c>
      <c r="G26" s="6" t="n">
        <f aca="false">D26-D25</f>
        <v>0.173</v>
      </c>
      <c r="H26" s="6" t="n">
        <f aca="false">H25+G26</f>
        <v>3.898</v>
      </c>
      <c r="I26" s="6" t="n">
        <f aca="false">D26-K26</f>
        <v>-2.89635212556465</v>
      </c>
      <c r="J26" s="15" t="n">
        <v>37926</v>
      </c>
      <c r="K26" s="6" t="n">
        <f aca="false">D26*A26</f>
        <v>6.04535212556465</v>
      </c>
      <c r="L26" s="6" t="n">
        <f aca="false">A26*E26</f>
        <v>0</v>
      </c>
      <c r="M26" s="6" t="n">
        <f aca="false">F26*A26</f>
        <v>0</v>
      </c>
      <c r="N26" s="6" t="n">
        <f aca="false">K26+L26+M26</f>
        <v>6.04535212556465</v>
      </c>
      <c r="O26" s="6" t="n">
        <f aca="false">N26-N25</f>
        <v>0.582484457867819</v>
      </c>
    </row>
    <row r="27" customFormat="false" ht="12.75" hidden="false" customHeight="false" outlineLevel="0" collapsed="false">
      <c r="A27" s="13"/>
      <c r="B27" s="13"/>
      <c r="C27" s="44"/>
      <c r="D27" s="49" t="n">
        <v>7500000</v>
      </c>
      <c r="E27" s="49" t="n">
        <v>-416667</v>
      </c>
      <c r="F27" s="6" t="n">
        <f aca="false">E27*18</f>
        <v>-7500006</v>
      </c>
      <c r="G27" s="6"/>
      <c r="H27" s="6"/>
      <c r="I27" s="49" t="n">
        <v>4000000</v>
      </c>
      <c r="J27" s="15"/>
      <c r="K27" s="6"/>
      <c r="L27" s="6"/>
      <c r="M27" s="6"/>
      <c r="N27" s="6"/>
      <c r="O27" s="6"/>
    </row>
    <row r="28" customFormat="false" ht="12.75" hidden="false" customHeight="false" outlineLevel="0" collapsed="false">
      <c r="A28" s="13"/>
      <c r="B28" s="13"/>
      <c r="C28" s="44"/>
      <c r="D28" s="6" t="n">
        <v>2.26</v>
      </c>
      <c r="E28" s="6"/>
      <c r="F28" s="6"/>
      <c r="G28" s="6"/>
      <c r="H28" s="6"/>
      <c r="I28" s="49" t="n">
        <f aca="false">(D7-0.03)*4000000</f>
        <v>8592000</v>
      </c>
      <c r="J28" s="15"/>
      <c r="K28" s="6"/>
      <c r="L28" s="49" t="n">
        <f aca="false">N26*I27</f>
        <v>24181408.5022586</v>
      </c>
      <c r="M28" s="6"/>
      <c r="N28" s="6"/>
      <c r="O28" s="6"/>
    </row>
    <row r="29" customFormat="false" ht="12.75" hidden="false" customHeight="false" outlineLevel="0" collapsed="false">
      <c r="A29" s="13"/>
      <c r="B29" s="13"/>
      <c r="C29" s="44"/>
      <c r="D29" s="50" t="n">
        <f aca="false">PV(0.0226/18,18,E27)</f>
        <v>7411291.48637904</v>
      </c>
      <c r="E29" s="1" t="n">
        <f aca="false">18*2000*30.5</f>
        <v>1098000</v>
      </c>
      <c r="F29" s="49" t="n">
        <f aca="false">PV(0.0226/18,18,E30)</f>
        <v>-1085012.20559613</v>
      </c>
      <c r="G29" s="6"/>
      <c r="H29" s="6"/>
      <c r="I29" s="49" t="n">
        <f aca="false">D29*0.4</f>
        <v>2964516.59455162</v>
      </c>
      <c r="J29" s="15"/>
      <c r="K29" s="6"/>
      <c r="L29" s="6"/>
      <c r="M29" s="6"/>
      <c r="N29" s="6"/>
      <c r="O29" s="6"/>
    </row>
    <row r="30" customFormat="false" ht="12.75" hidden="false" customHeight="false" outlineLevel="0" collapsed="false">
      <c r="A30" s="13"/>
      <c r="B30" s="13"/>
      <c r="C30" s="44"/>
      <c r="D30" s="6"/>
      <c r="E30" s="6" t="n">
        <f aca="false">E29/18</f>
        <v>61000</v>
      </c>
      <c r="F30" s="6"/>
      <c r="G30" s="6"/>
      <c r="H30" s="6"/>
      <c r="I30" s="49" t="n">
        <f aca="false">I28+I29</f>
        <v>11556516.5945516</v>
      </c>
      <c r="J30" s="15"/>
      <c r="K30" s="6"/>
      <c r="L30" s="6"/>
      <c r="M30" s="6"/>
      <c r="N30" s="6"/>
      <c r="O30" s="6"/>
    </row>
    <row r="31" customFormat="false" ht="12.75" hidden="false" customHeight="false" outlineLevel="0" collapsed="false">
      <c r="A31" s="39"/>
      <c r="B31" s="51"/>
      <c r="C31" s="39"/>
    </row>
    <row r="32" customFormat="false" ht="12.75" hidden="false" customHeight="false" outlineLevel="0" collapsed="false">
      <c r="B32" s="14"/>
      <c r="D32" s="40" t="s">
        <v>0</v>
      </c>
      <c r="E32" s="40" t="s">
        <v>27</v>
      </c>
      <c r="F32" s="40" t="s">
        <v>28</v>
      </c>
      <c r="G32" s="40"/>
      <c r="H32" s="40"/>
      <c r="I32" s="52"/>
      <c r="K32" s="38" t="s">
        <v>29</v>
      </c>
      <c r="L32" s="38"/>
      <c r="M32" s="38"/>
      <c r="N32" s="38"/>
      <c r="Q32" s="1" t="n">
        <v>3.66</v>
      </c>
      <c r="R32" s="3" t="n">
        <f aca="false">(Q32*0.011)+0.005</f>
        <v>0.04526</v>
      </c>
    </row>
    <row r="33" customFormat="false" ht="12.75" hidden="false" customHeight="false" outlineLevel="0" collapsed="false">
      <c r="B33" s="14" t="n">
        <v>0.0516625686269845</v>
      </c>
      <c r="C33" s="44" t="n">
        <v>37043</v>
      </c>
      <c r="D33" s="45" t="n">
        <v>4.113</v>
      </c>
      <c r="E33" s="53" t="n">
        <v>0</v>
      </c>
      <c r="F33" s="53" t="n">
        <v>0</v>
      </c>
      <c r="G33" s="46"/>
      <c r="H33" s="7"/>
      <c r="I33" s="52"/>
      <c r="J33" s="44" t="n">
        <v>36982</v>
      </c>
      <c r="K33" s="42" t="s">
        <v>4</v>
      </c>
      <c r="L33" s="12" t="s">
        <v>5</v>
      </c>
      <c r="M33" s="12" t="s">
        <v>6</v>
      </c>
      <c r="N33" s="43" t="s">
        <v>8</v>
      </c>
      <c r="R33" s="1" t="n">
        <v>0.02</v>
      </c>
    </row>
    <row r="34" customFormat="false" ht="12.75" hidden="false" customHeight="false" outlineLevel="0" collapsed="false">
      <c r="B34" s="14" t="n">
        <v>0.0506326926031102</v>
      </c>
      <c r="C34" s="44" t="n">
        <v>37073</v>
      </c>
      <c r="D34" s="46" t="n">
        <v>4.172</v>
      </c>
      <c r="E34" s="53" t="n">
        <v>0</v>
      </c>
      <c r="F34" s="46" t="n">
        <v>0</v>
      </c>
      <c r="G34" s="46" t="n">
        <f aca="false">D34-D33</f>
        <v>0.0589999999999993</v>
      </c>
      <c r="H34" s="7"/>
      <c r="I34" s="52"/>
      <c r="J34" s="44" t="n">
        <v>37012</v>
      </c>
      <c r="K34" s="53" t="n">
        <v>5.27816205607905</v>
      </c>
      <c r="L34" s="21" t="n">
        <v>-0.056904716700682</v>
      </c>
      <c r="M34" s="21" t="n">
        <v>0</v>
      </c>
      <c r="N34" s="54" t="n">
        <v>5.22125733937836</v>
      </c>
      <c r="O34" s="3" t="n">
        <v>-0.0319191688839249</v>
      </c>
    </row>
    <row r="35" customFormat="false" ht="12.75" hidden="false" customHeight="false" outlineLevel="0" collapsed="false">
      <c r="B35" s="14" t="n">
        <v>0.0495827149309172</v>
      </c>
      <c r="C35" s="44" t="n">
        <v>37104</v>
      </c>
      <c r="D35" s="46" t="n">
        <v>4.249</v>
      </c>
      <c r="E35" s="53" t="n">
        <v>0</v>
      </c>
      <c r="F35" s="48" t="n">
        <v>0</v>
      </c>
      <c r="G35" s="46" t="n">
        <f aca="false">D35-D34</f>
        <v>0.077</v>
      </c>
      <c r="H35" s="7"/>
      <c r="I35" s="52"/>
      <c r="J35" s="44" t="n">
        <v>37043</v>
      </c>
      <c r="K35" s="46" t="n">
        <v>5.31034649959854</v>
      </c>
      <c r="L35" s="6" t="n">
        <v>-0.0571699913362509</v>
      </c>
      <c r="M35" s="6" t="n">
        <v>0</v>
      </c>
      <c r="N35" s="55" t="n">
        <v>5.25317650826229</v>
      </c>
      <c r="O35" s="3" t="n">
        <v>-0.018057031600784</v>
      </c>
      <c r="P35" s="56" t="n">
        <v>36526</v>
      </c>
      <c r="Q35" s="57"/>
    </row>
    <row r="36" customFormat="false" ht="12.75" hidden="false" customHeight="false" outlineLevel="0" collapsed="false">
      <c r="B36" s="14" t="n">
        <v>0.048800797189049</v>
      </c>
      <c r="C36" s="44" t="n">
        <v>37135</v>
      </c>
      <c r="D36" s="46" t="n">
        <v>4.281</v>
      </c>
      <c r="E36" s="53" t="n">
        <v>0</v>
      </c>
      <c r="F36" s="46" t="n">
        <v>0</v>
      </c>
      <c r="G36" s="46" t="n">
        <f aca="false">D36-D35</f>
        <v>0.032</v>
      </c>
      <c r="H36" s="7"/>
      <c r="I36" s="52"/>
      <c r="J36" s="44" t="n">
        <v>37073</v>
      </c>
      <c r="K36" s="46" t="n">
        <v>5.3281690012216</v>
      </c>
      <c r="L36" s="6" t="n">
        <v>-0.0569354613585286</v>
      </c>
      <c r="M36" s="6" t="n">
        <v>0</v>
      </c>
      <c r="N36" s="55" t="n">
        <v>5.27123353986307</v>
      </c>
      <c r="O36" s="3" t="n">
        <v>-0.0192036498173742</v>
      </c>
      <c r="P36" s="56" t="n">
        <f aca="false">EOMONTH(P35,0)+1</f>
        <v>36557</v>
      </c>
      <c r="Q36" s="57"/>
      <c r="R36" s="14" t="n">
        <f aca="false">Q36/100</f>
        <v>0</v>
      </c>
    </row>
    <row r="37" customFormat="false" ht="12.75" hidden="false" customHeight="false" outlineLevel="0" collapsed="false">
      <c r="B37" s="14" t="n">
        <v>0.0480188796514356</v>
      </c>
      <c r="C37" s="44" t="n">
        <v>37165</v>
      </c>
      <c r="D37" s="46" t="n">
        <v>4.314</v>
      </c>
      <c r="E37" s="53" t="n">
        <v>0</v>
      </c>
      <c r="F37" s="46" t="n">
        <v>0</v>
      </c>
      <c r="G37" s="46" t="n">
        <f aca="false">D37-D36</f>
        <v>0.0330000000000004</v>
      </c>
      <c r="H37" s="7"/>
      <c r="I37" s="52"/>
      <c r="J37" s="44" t="n">
        <v>37104</v>
      </c>
      <c r="K37" s="46" t="n">
        <v>5.34715391167292</v>
      </c>
      <c r="L37" s="6" t="n">
        <v>-0.0567167219924724</v>
      </c>
      <c r="M37" s="6" t="n">
        <v>0</v>
      </c>
      <c r="N37" s="55" t="n">
        <v>5.29043718968045</v>
      </c>
      <c r="O37" s="3" t="n">
        <v>0.000733652751618408</v>
      </c>
      <c r="P37" s="56" t="n">
        <f aca="false">EOMONTH(P36,0)+1</f>
        <v>36586</v>
      </c>
      <c r="Q37" s="57"/>
      <c r="R37" s="14" t="n">
        <f aca="false">Q37/100</f>
        <v>0</v>
      </c>
    </row>
    <row r="38" customFormat="false" ht="12.75" hidden="false" customHeight="false" outlineLevel="0" collapsed="false">
      <c r="B38" s="14" t="n">
        <v>0.0474092566507975</v>
      </c>
      <c r="C38" s="44" t="n">
        <v>37196</v>
      </c>
      <c r="D38" s="46" t="n">
        <v>4.494</v>
      </c>
      <c r="E38" s="53" t="n">
        <v>0</v>
      </c>
      <c r="F38" s="46" t="n">
        <v>0</v>
      </c>
      <c r="G38" s="46" t="n">
        <f aca="false">D38-D37</f>
        <v>0.18</v>
      </c>
      <c r="H38" s="7"/>
      <c r="I38" s="52"/>
      <c r="J38" s="44" t="n">
        <v>37135</v>
      </c>
      <c r="K38" s="46" t="n">
        <v>5.34620171717837</v>
      </c>
      <c r="L38" s="6" t="n">
        <v>-0.0564981802495417</v>
      </c>
      <c r="M38" s="6" t="n">
        <v>0</v>
      </c>
      <c r="N38" s="55" t="n">
        <v>5.28970353692883</v>
      </c>
      <c r="O38" s="3" t="n">
        <v>0.0543878590505686</v>
      </c>
      <c r="P38" s="56" t="n">
        <f aca="false">EOMONTH(P37,0)+1</f>
        <v>36617</v>
      </c>
      <c r="Q38" s="57" t="n">
        <v>0.0516625686269845</v>
      </c>
      <c r="R38" s="14" t="n">
        <f aca="false">Q38/100</f>
        <v>0.000516625686269845</v>
      </c>
    </row>
    <row r="39" customFormat="false" ht="12.75" hidden="false" customHeight="false" outlineLevel="0" collapsed="false">
      <c r="B39" s="14" t="n">
        <v>0.0470164408269826</v>
      </c>
      <c r="C39" s="44" t="n">
        <v>37226</v>
      </c>
      <c r="D39" s="46" t="n">
        <v>4.674</v>
      </c>
      <c r="E39" s="53" t="n">
        <v>0</v>
      </c>
      <c r="F39" s="46" t="n">
        <v>0</v>
      </c>
      <c r="G39" s="46" t="n">
        <f aca="false">D39-D38</f>
        <v>0.180000000000001</v>
      </c>
      <c r="H39" s="7"/>
      <c r="I39" s="58" t="n">
        <f aca="false">D34-D37</f>
        <v>-0.142</v>
      </c>
      <c r="J39" s="44" t="n">
        <v>37165</v>
      </c>
      <c r="K39" s="46" t="n">
        <v>5.29159886970363</v>
      </c>
      <c r="L39" s="6" t="n">
        <v>-0.0562831918253716</v>
      </c>
      <c r="M39" s="6" t="n">
        <v>0</v>
      </c>
      <c r="N39" s="55" t="n">
        <v>5.23531567787826</v>
      </c>
      <c r="O39" s="3" t="n">
        <v>0.0164224015355501</v>
      </c>
      <c r="P39" s="56" t="n">
        <f aca="false">EOMONTH(P38,0)+1</f>
        <v>36647</v>
      </c>
      <c r="Q39" s="57" t="n">
        <v>0.048881109727493</v>
      </c>
      <c r="R39" s="14" t="n">
        <f aca="false">Q39/100</f>
        <v>0.00048881109727493</v>
      </c>
    </row>
    <row r="40" customFormat="false" ht="12.75" hidden="false" customHeight="false" outlineLevel="0" collapsed="false">
      <c r="B40" s="14" t="n">
        <v>0.0466362965304796</v>
      </c>
      <c r="C40" s="44" t="n">
        <v>37257</v>
      </c>
      <c r="D40" s="46" t="n">
        <v>4.749</v>
      </c>
      <c r="E40" s="53" t="n">
        <v>0</v>
      </c>
      <c r="F40" s="46" t="n">
        <v>0</v>
      </c>
      <c r="G40" s="46" t="n">
        <f aca="false">D40-D39</f>
        <v>0.0749999999999993</v>
      </c>
      <c r="H40" s="7"/>
      <c r="I40" s="52"/>
      <c r="J40" s="44" t="n">
        <v>37196</v>
      </c>
      <c r="K40" s="46" t="n">
        <v>5.27496846337246</v>
      </c>
      <c r="L40" s="6" t="n">
        <v>-0.0560751870297498</v>
      </c>
      <c r="M40" s="6" t="n">
        <v>0</v>
      </c>
      <c r="N40" s="55" t="n">
        <v>5.21889327634271</v>
      </c>
      <c r="O40" s="3" t="n">
        <v>-0.0798936969501503</v>
      </c>
      <c r="P40" s="56" t="n">
        <f aca="false">EOMONTH(P39,0)+1</f>
        <v>36678</v>
      </c>
      <c r="Q40" s="57" t="n">
        <v>0.0477952824671055</v>
      </c>
      <c r="R40" s="14" t="n">
        <f aca="false">Q40/100</f>
        <v>0.000477952824671055</v>
      </c>
    </row>
    <row r="41" customFormat="false" ht="12.75" hidden="false" customHeight="false" outlineLevel="0" collapsed="false">
      <c r="B41" s="14" t="n">
        <v>0.0463858429171124</v>
      </c>
      <c r="C41" s="44" t="n">
        <v>37288</v>
      </c>
      <c r="D41" s="46" t="n">
        <v>4.639</v>
      </c>
      <c r="E41" s="53" t="n">
        <v>0</v>
      </c>
      <c r="F41" s="46" t="n">
        <v>0</v>
      </c>
      <c r="G41" s="46" t="n">
        <f aca="false">D41-D40</f>
        <v>-0.109999999999999</v>
      </c>
      <c r="H41" s="7"/>
      <c r="I41" s="52"/>
      <c r="J41" s="44" t="n">
        <v>37226</v>
      </c>
      <c r="K41" s="46" t="n">
        <v>5.36193716641058</v>
      </c>
      <c r="L41" s="6" t="n">
        <v>-0.0631501931177184</v>
      </c>
      <c r="M41" s="6" t="n">
        <v>0</v>
      </c>
      <c r="N41" s="55" t="n">
        <v>5.29878697329286</v>
      </c>
      <c r="O41" s="3" t="n">
        <v>-0.0869953440286597</v>
      </c>
      <c r="P41" s="56" t="n">
        <f aca="false">EOMONTH(P40,0)+1</f>
        <v>36708</v>
      </c>
      <c r="Q41" s="57" t="n">
        <v>0.0468166552646223</v>
      </c>
      <c r="R41" s="14" t="n">
        <f aca="false">Q41/100</f>
        <v>0.000468166552646223</v>
      </c>
    </row>
    <row r="42" customFormat="false" ht="12.75" hidden="false" customHeight="false" outlineLevel="0" collapsed="false">
      <c r="B42" s="14" t="n">
        <v>0.0463325060855895</v>
      </c>
      <c r="C42" s="44" t="n">
        <v>37316</v>
      </c>
      <c r="D42" s="46" t="n">
        <v>4.469</v>
      </c>
      <c r="E42" s="53" t="n">
        <v>0</v>
      </c>
      <c r="F42" s="46" t="n">
        <v>0</v>
      </c>
      <c r="G42" s="46" t="n">
        <f aca="false">D42-D41</f>
        <v>-0.17</v>
      </c>
      <c r="H42" s="7"/>
      <c r="I42" s="52"/>
      <c r="J42" s="44" t="n">
        <v>37257</v>
      </c>
      <c r="K42" s="46" t="n">
        <v>5.44870033504724</v>
      </c>
      <c r="L42" s="6" t="n">
        <v>-0.0629180177257187</v>
      </c>
      <c r="M42" s="6" t="n">
        <v>0</v>
      </c>
      <c r="N42" s="55" t="n">
        <v>5.38578231732152</v>
      </c>
      <c r="O42" s="3" t="n">
        <v>-0.00590794890138646</v>
      </c>
      <c r="P42" s="56" t="n">
        <f aca="false">EOMONTH(P41,0)+1</f>
        <v>36739</v>
      </c>
      <c r="Q42" s="57" t="n">
        <v>0.0460701835196464</v>
      </c>
      <c r="R42" s="14" t="n">
        <f aca="false">Q42/100</f>
        <v>0.000460701835196464</v>
      </c>
    </row>
    <row r="43" customFormat="false" ht="12.75" hidden="false" customHeight="false" outlineLevel="0" collapsed="false">
      <c r="B43" s="14" t="n">
        <v>0.0462843308837422</v>
      </c>
      <c r="C43" s="44" t="n">
        <v>37347</v>
      </c>
      <c r="D43" s="46" t="n">
        <v>4.149</v>
      </c>
      <c r="E43" s="53" t="n">
        <v>0</v>
      </c>
      <c r="F43" s="46" t="n">
        <v>0</v>
      </c>
      <c r="G43" s="46" t="n">
        <f aca="false">D43-D42</f>
        <v>-0.32</v>
      </c>
      <c r="H43" s="7"/>
      <c r="I43" s="52"/>
      <c r="J43" s="44" t="n">
        <v>37288</v>
      </c>
      <c r="K43" s="46" t="n">
        <v>5.45436191631312</v>
      </c>
      <c r="L43" s="6" t="n">
        <v>-0.0626716500902162</v>
      </c>
      <c r="M43" s="6" t="n">
        <v>0</v>
      </c>
      <c r="N43" s="55" t="n">
        <v>5.39169026622291</v>
      </c>
      <c r="O43" s="3" t="n">
        <v>0.230469679141771</v>
      </c>
      <c r="P43" s="56" t="n">
        <f aca="false">EOMONTH(P42,0)+1</f>
        <v>36770</v>
      </c>
      <c r="Q43" s="57" t="n">
        <v>0.0456246492362373</v>
      </c>
      <c r="R43" s="14" t="n">
        <f aca="false">Q43/100</f>
        <v>0.000456246492362373</v>
      </c>
    </row>
    <row r="44" customFormat="false" ht="12.75" hidden="false" customHeight="false" outlineLevel="0" collapsed="false">
      <c r="B44" s="14" t="n">
        <v>0.0462522307955306</v>
      </c>
      <c r="C44" s="44" t="n">
        <v>37377</v>
      </c>
      <c r="D44" s="48" t="n">
        <v>4.084</v>
      </c>
      <c r="E44" s="53" t="n">
        <v>0</v>
      </c>
      <c r="F44" s="46" t="n">
        <v>0</v>
      </c>
      <c r="G44" s="46" t="n">
        <f aca="false">D44-D43</f>
        <v>-0.0650000000000004</v>
      </c>
      <c r="H44" s="7"/>
      <c r="I44" s="52"/>
      <c r="J44" s="44" t="n">
        <v>37316</v>
      </c>
      <c r="K44" s="46" t="n">
        <v>5.22364696187836</v>
      </c>
      <c r="L44" s="6" t="n">
        <v>-0.0624263747972225</v>
      </c>
      <c r="M44" s="6" t="n">
        <v>0</v>
      </c>
      <c r="N44" s="55" t="n">
        <v>5.16122058708114</v>
      </c>
      <c r="O44" s="3" t="n">
        <v>0.316892350684468</v>
      </c>
      <c r="P44" s="56" t="n">
        <f aca="false">EOMONTH(P43,0)+1</f>
        <v>36800</v>
      </c>
      <c r="Q44" s="57" t="n">
        <v>0.0451934870897257</v>
      </c>
      <c r="R44" s="14" t="n">
        <f aca="false">Q44/100</f>
        <v>0.000451934870897257</v>
      </c>
    </row>
    <row r="45" customFormat="false" ht="12.75" hidden="false" customHeight="false" outlineLevel="0" collapsed="false">
      <c r="B45" s="14" t="n">
        <v>0.0462480183947882</v>
      </c>
      <c r="C45" s="44" t="n">
        <v>37408</v>
      </c>
      <c r="D45" s="46" t="n">
        <v>4.129</v>
      </c>
      <c r="E45" s="53" t="n">
        <v>0</v>
      </c>
      <c r="F45" s="46" t="n">
        <v>0</v>
      </c>
      <c r="G45" s="46" t="n">
        <f aca="false">D45-D44</f>
        <v>0.0449999999999999</v>
      </c>
      <c r="H45" s="52"/>
      <c r="I45" s="52"/>
      <c r="J45" s="44" t="n">
        <v>37347</v>
      </c>
      <c r="K45" s="59" t="n">
        <v>4.90653316238754</v>
      </c>
      <c r="L45" s="26" t="n">
        <v>-0.0622049259908699</v>
      </c>
      <c r="M45" s="26" t="n">
        <v>0</v>
      </c>
      <c r="N45" s="60" t="n">
        <v>4.84432823639667</v>
      </c>
      <c r="O45" s="1" t="n">
        <v>0.390900362530959</v>
      </c>
      <c r="P45" s="56" t="n">
        <f aca="false">EOMONTH(P44,0)+1</f>
        <v>36831</v>
      </c>
      <c r="Q45" s="57" t="n">
        <v>0.0449068937914245</v>
      </c>
      <c r="R45" s="14" t="n">
        <f aca="false">Q45/100</f>
        <v>0.000449068937914245</v>
      </c>
    </row>
    <row r="46" customFormat="false" ht="12.75" hidden="false" customHeight="false" outlineLevel="0" collapsed="false">
      <c r="B46" s="14" t="n">
        <v>0.0462436655806942</v>
      </c>
      <c r="C46" s="44" t="n">
        <v>37438</v>
      </c>
      <c r="D46" s="46" t="n">
        <v>4.182</v>
      </c>
      <c r="E46" s="53" t="n">
        <v>0</v>
      </c>
      <c r="F46" s="46" t="n">
        <v>0</v>
      </c>
      <c r="G46" s="46" t="n">
        <f aca="false">D46-D45</f>
        <v>0.0530000000000008</v>
      </c>
      <c r="J46" s="44" t="n">
        <v>37377</v>
      </c>
      <c r="K46" s="1" t="n">
        <v>4.52015303464709</v>
      </c>
      <c r="L46" s="1" t="n">
        <v>-0.0667251607813783</v>
      </c>
      <c r="M46" s="1" t="n">
        <v>0</v>
      </c>
      <c r="N46" s="1" t="n">
        <v>4.45342787386571</v>
      </c>
      <c r="O46" s="1" t="n">
        <v>0.0692826602702521</v>
      </c>
      <c r="P46" s="56" t="n">
        <f aca="false">EOMONTH(P45,0)+1</f>
        <v>36861</v>
      </c>
      <c r="Q46" s="57" t="n">
        <v>0.0448403724657087</v>
      </c>
      <c r="R46" s="14" t="n">
        <f aca="false">Q46/100</f>
        <v>0.000448403724657087</v>
      </c>
    </row>
    <row r="47" customFormat="false" ht="12.75" hidden="false" customHeight="false" outlineLevel="0" collapsed="false">
      <c r="B47" s="14" t="n">
        <v>0.0462861413198135</v>
      </c>
      <c r="C47" s="44" t="n">
        <v>37469</v>
      </c>
      <c r="D47" s="59" t="n">
        <v>4.212</v>
      </c>
      <c r="E47" s="53" t="n">
        <v>0</v>
      </c>
      <c r="F47" s="59" t="n">
        <v>0</v>
      </c>
      <c r="G47" s="46" t="n">
        <f aca="false">D47-D46</f>
        <v>0.0299999999999994</v>
      </c>
      <c r="J47" s="44" t="n">
        <v>37408</v>
      </c>
      <c r="K47" s="1" t="n">
        <v>4.38414521359546</v>
      </c>
      <c r="L47" s="1" t="n">
        <v>0</v>
      </c>
      <c r="M47" s="1" t="n">
        <v>0</v>
      </c>
      <c r="N47" s="1" t="n">
        <v>4.38414521359546</v>
      </c>
      <c r="O47" s="1" t="n">
        <v>0.0128545177801209</v>
      </c>
      <c r="P47" s="56" t="n">
        <f aca="false">EOMONTH(P46,0)+1</f>
        <v>36892</v>
      </c>
      <c r="Q47" s="57" t="n">
        <v>0.0447802886889166</v>
      </c>
      <c r="R47" s="14" t="n">
        <f aca="false">Q47/100</f>
        <v>0.000447802886889166</v>
      </c>
    </row>
    <row r="48" customFormat="false" ht="12.75" hidden="false" customHeight="false" outlineLevel="0" collapsed="false">
      <c r="B48" s="1" t="n">
        <v>0.0498761417801967</v>
      </c>
      <c r="C48" s="44" t="n">
        <v>37500</v>
      </c>
      <c r="D48" s="1" t="n">
        <v>4.328</v>
      </c>
      <c r="E48" s="1" t="n">
        <v>0</v>
      </c>
      <c r="F48" s="4" t="s">
        <v>30</v>
      </c>
      <c r="G48" s="3" t="n">
        <f aca="false">AVERAGE(D33:D37)</f>
        <v>4.2258</v>
      </c>
      <c r="H48" s="3" t="n">
        <f aca="false">D33-G48</f>
        <v>-0.112799999999999</v>
      </c>
      <c r="K48" s="1" t="n">
        <v>4.37129069581534</v>
      </c>
      <c r="L48" s="1" t="n">
        <v>0</v>
      </c>
      <c r="M48" s="1" t="n">
        <v>0</v>
      </c>
      <c r="N48" s="1" t="n">
        <v>4.37129069581534</v>
      </c>
      <c r="P48" s="56" t="n">
        <f aca="false">EOMONTH(P47,0)+1</f>
        <v>36923</v>
      </c>
      <c r="Q48" s="57" t="n">
        <v>0.0447458158139486</v>
      </c>
      <c r="R48" s="14" t="n">
        <f aca="false">Q48/100</f>
        <v>0.000447458158139486</v>
      </c>
    </row>
    <row r="49" customFormat="false" ht="12.75" hidden="false" customHeight="false" outlineLevel="0" collapsed="false">
      <c r="C49" s="44" t="n">
        <v>37530</v>
      </c>
      <c r="D49" s="1" t="n">
        <v>4.338</v>
      </c>
      <c r="F49" s="4" t="s">
        <v>31</v>
      </c>
      <c r="G49" s="3" t="n">
        <f aca="false">AVERAGE(D38:D42)</f>
        <v>4.605</v>
      </c>
      <c r="H49" s="3" t="n">
        <f aca="false">G49-D33</f>
        <v>0.491999999999999</v>
      </c>
      <c r="P49" s="56" t="n">
        <f aca="false">EOMONTH(P48,0)+1</f>
        <v>36951</v>
      </c>
      <c r="Q49" s="57" t="n">
        <v>0.0447535700121793</v>
      </c>
      <c r="R49" s="14" t="n">
        <f aca="false">Q49/100</f>
        <v>0.000447535700121793</v>
      </c>
    </row>
    <row r="50" customFormat="false" ht="12.75" hidden="false" customHeight="false" outlineLevel="0" collapsed="false">
      <c r="C50" s="44" t="n">
        <v>37561</v>
      </c>
      <c r="D50" s="1" t="n">
        <v>4.483</v>
      </c>
      <c r="G50" s="3" t="n">
        <f aca="false">G49-G48</f>
        <v>0.3792</v>
      </c>
      <c r="P50" s="56" t="n">
        <v>36982</v>
      </c>
      <c r="Q50" s="1" t="n">
        <v>0.0447615826837051</v>
      </c>
      <c r="R50" s="14" t="n">
        <f aca="false">Q50/100</f>
        <v>0.000447615826837051</v>
      </c>
    </row>
    <row r="51" customFormat="false" ht="12.75" hidden="false" customHeight="false" outlineLevel="0" collapsed="false">
      <c r="C51" s="44" t="n">
        <v>37591</v>
      </c>
      <c r="D51" s="1" t="n">
        <v>4.608</v>
      </c>
      <c r="F51" s="4" t="s">
        <v>32</v>
      </c>
      <c r="G51" s="3" t="n">
        <f aca="false">AVERAGE(D40:D51)</f>
        <v>4.36416666666667</v>
      </c>
      <c r="P51" s="56" t="n">
        <v>37012</v>
      </c>
      <c r="Q51" s="1" t="n">
        <v>0.0448204694926457</v>
      </c>
      <c r="R51" s="14" t="n">
        <f aca="false">Q51/100</f>
        <v>0.000448204694926457</v>
      </c>
    </row>
    <row r="52" customFormat="false" ht="12.75" hidden="false" customHeight="false" outlineLevel="0" collapsed="false">
      <c r="P52" s="56" t="n">
        <v>37043</v>
      </c>
      <c r="Q52" s="1" t="n">
        <v>0.0449650478026888</v>
      </c>
    </row>
    <row r="53" customFormat="false" ht="12.75" hidden="false" customHeight="false" outlineLevel="0" collapsed="false">
      <c r="P53" s="56" t="n">
        <v>37073</v>
      </c>
      <c r="Q53" s="1" t="n">
        <v>0.0451096261197286</v>
      </c>
    </row>
    <row r="54" customFormat="false" ht="12.75" hidden="false" customHeight="false" outlineLevel="0" collapsed="false">
      <c r="P54" s="56" t="n">
        <v>37104</v>
      </c>
      <c r="Q54" s="1" t="n">
        <v>0.0465269064975438</v>
      </c>
    </row>
    <row r="55" customFormat="false" ht="12.75" hidden="false" customHeight="false" outlineLevel="0" collapsed="false">
      <c r="Q55" s="1" t="n">
        <v>0.0466748334116351</v>
      </c>
    </row>
    <row r="56" customFormat="false" ht="12.75" hidden="false" customHeight="false" outlineLevel="0" collapsed="false">
      <c r="Q56" s="1" t="n">
        <v>0.0534498037269762</v>
      </c>
    </row>
    <row r="57" customFormat="false" ht="12.75" hidden="false" customHeight="false" outlineLevel="0" collapsed="false">
      <c r="Q57" s="1" t="n">
        <v>0.053603014529612</v>
      </c>
    </row>
    <row r="58" customFormat="false" ht="12.75" hidden="false" customHeight="false" outlineLevel="0" collapsed="false">
      <c r="Q58" s="1" t="n">
        <v>0.0537512830557416</v>
      </c>
    </row>
  </sheetData>
  <mergeCells count="2">
    <mergeCell ref="K3:N3"/>
    <mergeCell ref="K32:N3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2002-01-11T18:27:17Z</dcterms:created>
  <dc:creator>jparks</dc:creator>
  <dc:description/>
  <dc:language>en-US</dc:language>
  <cp:lastModifiedBy>jparks</cp:lastModifiedBy>
  <cp:lastPrinted>2002-01-17T17:23:55Z</cp:lastPrinted>
  <dcterms:modified xsi:type="dcterms:W3CDTF">2002-01-23T13:08:09Z</dcterms:modified>
  <cp:revision>0</cp:revision>
  <dc:subject/>
  <dc:title/>
</cp:coreProperties>
</file>