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8.xml.rels" ContentType="application/vnd.openxmlformats-package.relationships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SA" sheetId="1" state="visible" r:id="rId3"/>
    <sheet name="PrepayBOND" sheetId="2" state="visible" r:id="rId4"/>
    <sheet name="Sheet1" sheetId="3" state="visible" r:id="rId5"/>
    <sheet name="GNMA graph" sheetId="4" state="visible" r:id="rId6"/>
    <sheet name="GNMA" sheetId="5" state="visible" r:id="rId7"/>
    <sheet name="Total Coupon" sheetId="6" state="visible" r:id="rId8"/>
    <sheet name="IOPO" sheetId="7" state="visible" r:id="rId9"/>
    <sheet name="Tranches" sheetId="8" state="visible" r:id="rId10"/>
    <sheet name="PrepayCTranche" sheetId="9" state="visible" r:id="rId11"/>
    <sheet name="Tranche Payments" sheetId="10" state="visible" r:id="rId12"/>
    <sheet name="Tranche Balances" sheetId="11" state="visible" r:id="rId13"/>
    <sheet name="Sheet4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<sst xmlns="http://schemas.openxmlformats.org/spreadsheetml/2006/main" count="157" uniqueCount="100">
  <si>
    <t xml:space="preserve">Month</t>
  </si>
  <si>
    <t xml:space="preserve">100% PSA</t>
  </si>
  <si>
    <t xml:space="preserve">200% PSA</t>
  </si>
  <si>
    <t xml:space="preserve">500% PSA</t>
  </si>
  <si>
    <t xml:space="preserve">Coupon rate</t>
  </si>
  <si>
    <t xml:space="preserve">Principal</t>
  </si>
  <si>
    <t xml:space="preserve">Payment</t>
  </si>
  <si>
    <t xml:space="preserve">Calc</t>
  </si>
  <si>
    <t xml:space="preserve">Premium</t>
  </si>
  <si>
    <t xml:space="preserve">Discount</t>
  </si>
  <si>
    <t xml:space="preserve">Par</t>
  </si>
  <si>
    <t xml:space="preserve">d</t>
  </si>
  <si>
    <t xml:space="preserve">Interest</t>
  </si>
  <si>
    <t xml:space="preserve">6) CMO example. Underlying pool 10% annual interest rate, 30 year loans</t>
  </si>
  <si>
    <t xml:space="preserve">Pool Interest rate</t>
  </si>
  <si>
    <t xml:space="preserve">% PSA</t>
  </si>
  <si>
    <t xml:space="preserve">Pool Balance</t>
  </si>
  <si>
    <t xml:space="preserve">Residual payment</t>
  </si>
  <si>
    <t xml:space="preserve">Servicing</t>
  </si>
  <si>
    <t xml:space="preserve">A balance</t>
  </si>
  <si>
    <t xml:space="preserve">A interest rate</t>
  </si>
  <si>
    <t xml:space="preserve"> </t>
  </si>
  <si>
    <t xml:space="preserve">B balance</t>
  </si>
  <si>
    <t xml:space="preserve">B interest rate</t>
  </si>
  <si>
    <t xml:space="preserve">C balance</t>
  </si>
  <si>
    <t xml:space="preserve">C interest rate</t>
  </si>
  <si>
    <t xml:space="preserve">Z balance</t>
  </si>
  <si>
    <t xml:space="preserve">Z interest rate</t>
  </si>
  <si>
    <t xml:space="preserve">WHOLE POOL</t>
  </si>
  <si>
    <t xml:space="preserve">Owed to</t>
  </si>
  <si>
    <t xml:space="preserve">Year</t>
  </si>
  <si>
    <t xml:space="preserve">Disc.</t>
  </si>
  <si>
    <t xml:space="preserve">AF</t>
  </si>
  <si>
    <t xml:space="preserve">Prep. %</t>
  </si>
  <si>
    <t xml:space="preserve">Sec</t>
  </si>
  <si>
    <t xml:space="preserve">EOY</t>
  </si>
  <si>
    <t xml:space="preserve">Pool Principal</t>
  </si>
  <si>
    <t xml:space="preserve">P&amp;I Payment</t>
  </si>
  <si>
    <t xml:space="preserve">Unscheduled Prepayment</t>
  </si>
  <si>
    <t xml:space="preserve">Scheduled Payment</t>
  </si>
  <si>
    <t xml:space="preserve">Interest Payment</t>
  </si>
  <si>
    <t xml:space="preserve">A</t>
  </si>
  <si>
    <t xml:space="preserve">B</t>
  </si>
  <si>
    <t xml:space="preserve">C</t>
  </si>
  <si>
    <t xml:space="preserve">Z</t>
  </si>
  <si>
    <t xml:space="preserve">Total Int.</t>
  </si>
  <si>
    <t xml:space="preserve">A-Z Int.</t>
  </si>
  <si>
    <t xml:space="preserve">residual Int.</t>
  </si>
  <si>
    <t xml:space="preserve">WAC on Bonds</t>
  </si>
  <si>
    <t xml:space="preserve">Residual Coup. Diff.</t>
  </si>
  <si>
    <t xml:space="preserve">Coupon C</t>
  </si>
  <si>
    <t xml:space="preserve">PO</t>
  </si>
  <si>
    <t xml:space="preserve">IO</t>
  </si>
  <si>
    <t xml:space="preserve">LIBOR</t>
  </si>
  <si>
    <t xml:space="preserve">Floater</t>
  </si>
  <si>
    <t xml:space="preserve">Inverse Floater</t>
  </si>
  <si>
    <t xml:space="preserve">PO (150)</t>
  </si>
  <si>
    <t xml:space="preserve">IO (90)</t>
  </si>
  <si>
    <t xml:space="preserve">Residual bond</t>
  </si>
  <si>
    <t xml:space="preserve">A-1A balance</t>
  </si>
  <si>
    <t xml:space="preserve">A-1A interest rate</t>
  </si>
  <si>
    <t xml:space="preserve">A-2A balance</t>
  </si>
  <si>
    <t xml:space="preserve">A-2A interest rate</t>
  </si>
  <si>
    <t xml:space="preserve">A-1B balance</t>
  </si>
  <si>
    <t xml:space="preserve">A-1B interest rate</t>
  </si>
  <si>
    <t xml:space="preserve">A-2B balance</t>
  </si>
  <si>
    <t xml:space="preserve">A-2B interest rate</t>
  </si>
  <si>
    <t xml:space="preserve">A-3B balance</t>
  </si>
  <si>
    <t xml:space="preserve">A-3B interest rate</t>
  </si>
  <si>
    <t xml:space="preserve">X balance</t>
  </si>
  <si>
    <t xml:space="preserve">X interest rate</t>
  </si>
  <si>
    <t xml:space="preserve">TRANCHE A</t>
  </si>
  <si>
    <t xml:space="preserve">TRANCHE B</t>
  </si>
  <si>
    <t xml:space="preserve">TRANCHE C</t>
  </si>
  <si>
    <t xml:space="preserve">TRANCHE Z</t>
  </si>
  <si>
    <t xml:space="preserve">RESIDUAL</t>
  </si>
  <si>
    <t xml:space="preserve">Amort.</t>
  </si>
  <si>
    <t xml:space="preserve">Int.</t>
  </si>
  <si>
    <t xml:space="preserve">Accum.</t>
  </si>
  <si>
    <t xml:space="preserve">Total</t>
  </si>
  <si>
    <t xml:space="preserve">Initial</t>
  </si>
  <si>
    <t xml:space="preserve">Pool</t>
  </si>
  <si>
    <t xml:space="preserve">Prep.</t>
  </si>
  <si>
    <t xml:space="preserve">exc. prep</t>
  </si>
  <si>
    <t xml:space="preserve">Net Interest</t>
  </si>
  <si>
    <t xml:space="preserve">Owed</t>
  </si>
  <si>
    <t xml:space="preserve">Expense</t>
  </si>
  <si>
    <t xml:space="preserve">Accrued</t>
  </si>
  <si>
    <t xml:space="preserve">paid</t>
  </si>
  <si>
    <t xml:space="preserve">Paid</t>
  </si>
  <si>
    <t xml:space="preserve">Percent Par</t>
  </si>
  <si>
    <t xml:space="preserve">Bond Face Value</t>
  </si>
  <si>
    <t xml:space="preserve">PSA</t>
  </si>
  <si>
    <t xml:space="preserve">Par Bond</t>
  </si>
  <si>
    <t xml:space="preserve">IRR</t>
  </si>
  <si>
    <t xml:space="preserve">Tranche A</t>
  </si>
  <si>
    <t xml:space="preserve">Tranche B</t>
  </si>
  <si>
    <t xml:space="preserve">Tranche C</t>
  </si>
  <si>
    <t xml:space="preserve">Z Bond</t>
  </si>
  <si>
    <t xml:space="preserve">Residual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</si>
</sst>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%"/>
    <numFmt numFmtId="166" formatCode="0%"/>
    <numFmt numFmtId="167" formatCode="0.000000%"/>
    <numFmt numFmtId="168" formatCode="0.0000%"/>
    <numFmt numFmtId="169" formatCode="\$#,##0"/>
    <numFmt numFmtId="170" formatCode="\$#,##0_);&quot;($&quot;#,##0\)"/>
    <numFmt numFmtId="171" formatCode="0_)"/>
    <numFmt numFmtId="172" formatCode="0.00000_)"/>
    <numFmt numFmtId="173" formatCode="0.000%"/>
    <numFmt numFmtId="174" formatCode="#,##0.0_);\(#,##0.0\)"/>
    <numFmt numFmtId="175" formatCode="0.00000000000000000%"/>
    <numFmt numFmtId="176" formatCode="#,##0"/>
    <numFmt numFmtId="177" formatCode="\$#,##0.00_);&quot;($&quot;#,##0.00\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Times New Roman"/>
      <family val="2"/>
    </font>
    <font>
      <b val="true"/>
      <sz val="16"/>
      <color rgb="FF000000"/>
      <name val="Times New Roman"/>
      <family val="2"/>
    </font>
    <font>
      <sz val="16"/>
      <color rgb="FF000000"/>
      <name val="Times New Roman"/>
      <family val="2"/>
    </font>
    <font>
      <sz val="13.5"/>
      <color rgb="FF000000"/>
      <name val="Times New Roman"/>
      <family val="2"/>
    </font>
    <font>
      <b val="true"/>
      <sz val="16.5"/>
      <color rgb="FF000000"/>
      <name val="Times New Roman"/>
      <family val="2"/>
    </font>
    <font>
      <sz val="16.5"/>
      <color rgb="FF000000"/>
      <name val="Times New Roman"/>
      <family val="2"/>
    </font>
    <font>
      <b val="true"/>
      <sz val="10"/>
      <name val="Arial"/>
      <family val="2"/>
    </font>
    <font>
      <b val="true"/>
      <sz val="17"/>
      <color rgb="FF000000"/>
      <name val="Times New Roman"/>
      <family val="2"/>
    </font>
    <font>
      <sz val="17"/>
      <color rgb="FF000000"/>
      <name val="Times New Roman"/>
      <family val="2"/>
    </font>
    <font>
      <b val="true"/>
      <sz val="18.25"/>
      <color rgb="FF000000"/>
      <name val="Times New Roman"/>
      <family val="2"/>
    </font>
    <font>
      <sz val="15.25"/>
      <color rgb="FF000000"/>
      <name val="Times New Roman"/>
      <family val="2"/>
    </font>
    <font>
      <b val="true"/>
      <sz val="15.25"/>
      <color rgb="FF000000"/>
      <name val="Times New Roman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38014664410604"/>
          <c:y val="0.201216702000184"/>
          <c:w val="0.846700507614213"/>
          <c:h val="0.679601806618122"/>
        </c:manualLayout>
      </c:layout>
      <c:lineChart>
        <c:grouping val="standard"/>
        <c:varyColors val="0"/>
        <c:ser>
          <c:idx val="0"/>
          <c:order val="0"/>
          <c:tx>
            <c:strRef>
              <c:f>PSA!$B$1</c:f>
              <c:strCache>
                <c:ptCount val="1"/>
                <c:pt idx="0">
                  <c:v>100% PSA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PSA!$A$2:$A$62</c:f>
              <c:strCach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strCache>
            </c:strRef>
          </c:cat>
          <c:val>
            <c:numRef>
              <c:f>PSA!$B$2:$B$62</c:f>
              <c:numCache>
                <c:formatCode>0.00%</c:formatCode>
                <c:ptCount val="61"/>
                <c:pt idx="0">
                  <c:v>0</c:v>
                </c:pt>
                <c:pt idx="1">
                  <c:v>0.002</c:v>
                </c:pt>
                <c:pt idx="2">
                  <c:v>0.004</c:v>
                </c:pt>
                <c:pt idx="3">
                  <c:v>0.006</c:v>
                </c:pt>
                <c:pt idx="4">
                  <c:v>0.008</c:v>
                </c:pt>
                <c:pt idx="5">
                  <c:v>0.01</c:v>
                </c:pt>
                <c:pt idx="6">
                  <c:v>0.012</c:v>
                </c:pt>
                <c:pt idx="7">
                  <c:v>0.014</c:v>
                </c:pt>
                <c:pt idx="8">
                  <c:v>0.016</c:v>
                </c:pt>
                <c:pt idx="9">
                  <c:v>0.018</c:v>
                </c:pt>
                <c:pt idx="10">
                  <c:v>0.02</c:v>
                </c:pt>
                <c:pt idx="11">
                  <c:v>0.022</c:v>
                </c:pt>
                <c:pt idx="12">
                  <c:v>0.024</c:v>
                </c:pt>
                <c:pt idx="13">
                  <c:v>0.026</c:v>
                </c:pt>
                <c:pt idx="14">
                  <c:v>0.028</c:v>
                </c:pt>
                <c:pt idx="15">
                  <c:v>0.03</c:v>
                </c:pt>
                <c:pt idx="16">
                  <c:v>0.032</c:v>
                </c:pt>
                <c:pt idx="17">
                  <c:v>0.034</c:v>
                </c:pt>
                <c:pt idx="18">
                  <c:v>0.036</c:v>
                </c:pt>
                <c:pt idx="19">
                  <c:v>0.038</c:v>
                </c:pt>
                <c:pt idx="20">
                  <c:v>0.04</c:v>
                </c:pt>
                <c:pt idx="21">
                  <c:v>0.042</c:v>
                </c:pt>
                <c:pt idx="22">
                  <c:v>0.044</c:v>
                </c:pt>
                <c:pt idx="23">
                  <c:v>0.046</c:v>
                </c:pt>
                <c:pt idx="24">
                  <c:v>0.048</c:v>
                </c:pt>
                <c:pt idx="25">
                  <c:v>0.05</c:v>
                </c:pt>
                <c:pt idx="26">
                  <c:v>0.052</c:v>
                </c:pt>
                <c:pt idx="27">
                  <c:v>0.054</c:v>
                </c:pt>
                <c:pt idx="28">
                  <c:v>0.056</c:v>
                </c:pt>
                <c:pt idx="29">
                  <c:v>0.058</c:v>
                </c:pt>
                <c:pt idx="30">
                  <c:v>0.06</c:v>
                </c:pt>
                <c:pt idx="31">
                  <c:v>0.06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  <c:pt idx="42">
                  <c:v>0.06</c:v>
                </c:pt>
                <c:pt idx="43">
                  <c:v>0.06</c:v>
                </c:pt>
                <c:pt idx="44">
                  <c:v>0.06</c:v>
                </c:pt>
                <c:pt idx="45">
                  <c:v>0.06</c:v>
                </c:pt>
                <c:pt idx="46">
                  <c:v>0.06</c:v>
                </c:pt>
                <c:pt idx="47">
                  <c:v>0.06</c:v>
                </c:pt>
                <c:pt idx="48">
                  <c:v>0.06</c:v>
                </c:pt>
                <c:pt idx="49">
                  <c:v>0.06</c:v>
                </c:pt>
                <c:pt idx="50">
                  <c:v>0.06</c:v>
                </c:pt>
                <c:pt idx="51">
                  <c:v>0.06</c:v>
                </c:pt>
                <c:pt idx="52">
                  <c:v>0.06</c:v>
                </c:pt>
                <c:pt idx="53">
                  <c:v>0.06</c:v>
                </c:pt>
                <c:pt idx="54">
                  <c:v>0.06</c:v>
                </c:pt>
                <c:pt idx="55">
                  <c:v>0.06</c:v>
                </c:pt>
                <c:pt idx="56">
                  <c:v>0.06</c:v>
                </c:pt>
                <c:pt idx="57">
                  <c:v>0.06</c:v>
                </c:pt>
                <c:pt idx="58">
                  <c:v>0.06</c:v>
                </c:pt>
                <c:pt idx="59">
                  <c:v>0.06</c:v>
                </c:pt>
                <c:pt idx="60">
                  <c:v>0.06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cat>
            <c:strRef>
              <c:f>PSA!$A$2:$A$62</c:f>
              <c:strCach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strCache>
            </c:strRef>
          </c:cat>
          <c:smooth val="0"/>
        </c:ser>
        <c:hiLowLines>
          <c:spPr>
            <a:ln w="0">
              <a:noFill/>
            </a:ln>
          </c:spPr>
        </c:hiLowLines>
        <c:marker val="0"/>
        <c:axId val="7945196"/>
        <c:axId val="64846800"/>
      </c:lineChart>
      <c:catAx>
        <c:axId val="794519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End of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4846800"/>
        <c:crossesAt val="0"/>
        <c:auto val="1"/>
        <c:lblAlgn val="ctr"/>
        <c:lblOffset val="100"/>
        <c:noMultiLvlLbl val="0"/>
      </c:catAx>
      <c:valAx>
        <c:axId val="648468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CPR (Constant Prepayment Rate)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945196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PrepayCTranche!$D$4</c:f>
              <c:strCache>
                <c:ptCount val="1"/>
                <c:pt idx="0">
                  <c:v>Premium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PrepayCTranche!$B$5:$B$25</c:f>
              <c:strCache>
                <c:ptCount val="21"/>
                <c:pt idx="0">
                  <c:v>0%</c:v>
                </c:pt>
                <c:pt idx="1">
                  <c:v>25%</c:v>
                </c:pt>
                <c:pt idx="2">
                  <c:v>50%</c:v>
                </c:pt>
                <c:pt idx="3">
                  <c:v>75%</c:v>
                </c:pt>
                <c:pt idx="4">
                  <c:v>100%</c:v>
                </c:pt>
                <c:pt idx="5">
                  <c:v>125%</c:v>
                </c:pt>
                <c:pt idx="6">
                  <c:v>150%</c:v>
                </c:pt>
                <c:pt idx="7">
                  <c:v>175%</c:v>
                </c:pt>
                <c:pt idx="8">
                  <c:v>200%</c:v>
                </c:pt>
                <c:pt idx="9">
                  <c:v>225%</c:v>
                </c:pt>
                <c:pt idx="10">
                  <c:v>250%</c:v>
                </c:pt>
                <c:pt idx="11">
                  <c:v>275%</c:v>
                </c:pt>
                <c:pt idx="12">
                  <c:v>300%</c:v>
                </c:pt>
                <c:pt idx="13">
                  <c:v>325%</c:v>
                </c:pt>
                <c:pt idx="14">
                  <c:v>350%</c:v>
                </c:pt>
                <c:pt idx="15">
                  <c:v>375%</c:v>
                </c:pt>
                <c:pt idx="16">
                  <c:v>400%</c:v>
                </c:pt>
                <c:pt idx="17">
                  <c:v>425%</c:v>
                </c:pt>
                <c:pt idx="18">
                  <c:v>450%</c:v>
                </c:pt>
                <c:pt idx="19">
                  <c:v>475%</c:v>
                </c:pt>
                <c:pt idx="20">
                  <c:v>500%</c:v>
                </c:pt>
              </c:strCache>
            </c:strRef>
          </c:cat>
          <c:val>
            <c:numRef>
              <c:f>PrepayCTranche!$D$5:$D$25</c:f>
              <c:numCache>
                <c:formatCode>0.00%</c:formatCode>
                <c:ptCount val="21"/>
                <c:pt idx="0">
                  <c:v>0.0479376139903351</c:v>
                </c:pt>
                <c:pt idx="1">
                  <c:v>0.0452897429506429</c:v>
                </c:pt>
                <c:pt idx="2">
                  <c:v>0.0426659093035946</c:v>
                </c:pt>
                <c:pt idx="3">
                  <c:v>0.0398567840358459</c:v>
                </c:pt>
                <c:pt idx="4">
                  <c:v>0.0370592856482858</c:v>
                </c:pt>
                <c:pt idx="5">
                  <c:v>0.0341511825236739</c:v>
                </c:pt>
                <c:pt idx="6">
                  <c:v>0.0312661228062314</c:v>
                </c:pt>
                <c:pt idx="7">
                  <c:v>0.0284813529724383</c:v>
                </c:pt>
                <c:pt idx="8">
                  <c:v>0.0257669250612999</c:v>
                </c:pt>
                <c:pt idx="9">
                  <c:v>0.0228538334404752</c:v>
                </c:pt>
                <c:pt idx="10">
                  <c:v>0.0207835901322242</c:v>
                </c:pt>
                <c:pt idx="11">
                  <c:v>0.0176666607064626</c:v>
                </c:pt>
                <c:pt idx="12">
                  <c:v>0.0151181672242032</c:v>
                </c:pt>
                <c:pt idx="13">
                  <c:v>0.0128938952857231</c:v>
                </c:pt>
                <c:pt idx="14">
                  <c:v>0.0106345169105077</c:v>
                </c:pt>
                <c:pt idx="15">
                  <c:v>0.008146671453987</c:v>
                </c:pt>
                <c:pt idx="16">
                  <c:v>0.00579120290682866</c:v>
                </c:pt>
                <c:pt idx="17">
                  <c:v>0.00337069917810553</c:v>
                </c:pt>
                <c:pt idx="18">
                  <c:v>0.000883604039773507</c:v>
                </c:pt>
                <c:pt idx="19">
                  <c:v>-0.00167174219265578</c:v>
                </c:pt>
                <c:pt idx="20">
                  <c:v>-0.00334989906851209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PrepayCTranche!$E$4</c:f>
              <c:strCache>
                <c:ptCount val="1"/>
                <c:pt idx="0">
                  <c:v>Discount</c:v>
                </c:pt>
              </c:strCache>
            </c:strRef>
          </c:tx>
          <c:spPr>
            <a:solidFill>
              <a:srgbClr val="339966"/>
            </a:solidFill>
            <a:ln w="378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PrepayCTranche!$B$5:$B$25</c:f>
              <c:strCache>
                <c:ptCount val="21"/>
                <c:pt idx="0">
                  <c:v>0%</c:v>
                </c:pt>
                <c:pt idx="1">
                  <c:v>25%</c:v>
                </c:pt>
                <c:pt idx="2">
                  <c:v>50%</c:v>
                </c:pt>
                <c:pt idx="3">
                  <c:v>75%</c:v>
                </c:pt>
                <c:pt idx="4">
                  <c:v>100%</c:v>
                </c:pt>
                <c:pt idx="5">
                  <c:v>125%</c:v>
                </c:pt>
                <c:pt idx="6">
                  <c:v>150%</c:v>
                </c:pt>
                <c:pt idx="7">
                  <c:v>175%</c:v>
                </c:pt>
                <c:pt idx="8">
                  <c:v>200%</c:v>
                </c:pt>
                <c:pt idx="9">
                  <c:v>225%</c:v>
                </c:pt>
                <c:pt idx="10">
                  <c:v>250%</c:v>
                </c:pt>
                <c:pt idx="11">
                  <c:v>275%</c:v>
                </c:pt>
                <c:pt idx="12">
                  <c:v>300%</c:v>
                </c:pt>
                <c:pt idx="13">
                  <c:v>325%</c:v>
                </c:pt>
                <c:pt idx="14">
                  <c:v>350%</c:v>
                </c:pt>
                <c:pt idx="15">
                  <c:v>375%</c:v>
                </c:pt>
                <c:pt idx="16">
                  <c:v>400%</c:v>
                </c:pt>
                <c:pt idx="17">
                  <c:v>425%</c:v>
                </c:pt>
                <c:pt idx="18">
                  <c:v>450%</c:v>
                </c:pt>
                <c:pt idx="19">
                  <c:v>475%</c:v>
                </c:pt>
                <c:pt idx="20">
                  <c:v>500%</c:v>
                </c:pt>
              </c:strCache>
            </c:strRef>
          </c:cat>
          <c:val>
            <c:numRef>
              <c:f>PrepayCTranche!$E$5:$E$25</c:f>
              <c:numCache>
                <c:formatCode>0.00%</c:formatCode>
                <c:ptCount val="21"/>
                <c:pt idx="0">
                  <c:v>0.112870336884893</c:v>
                </c:pt>
                <c:pt idx="1">
                  <c:v>0.114601494265555</c:v>
                </c:pt>
                <c:pt idx="2">
                  <c:v>0.116354802396872</c:v>
                </c:pt>
                <c:pt idx="3">
                  <c:v>0.118262524353331</c:v>
                </c:pt>
                <c:pt idx="4">
                  <c:v>0.12018183875209</c:v>
                </c:pt>
                <c:pt idx="5">
                  <c:v>0.122210831733257</c:v>
                </c:pt>
                <c:pt idx="6">
                  <c:v>0.124239100588066</c:v>
                </c:pt>
                <c:pt idx="7">
                  <c:v>0.126183061011499</c:v>
                </c:pt>
                <c:pt idx="8">
                  <c:v>0.128148124793704</c:v>
                </c:pt>
                <c:pt idx="9">
                  <c:v>0.130209259889985</c:v>
                </c:pt>
                <c:pt idx="10">
                  <c:v>0.131694500130812</c:v>
                </c:pt>
                <c:pt idx="11">
                  <c:v>0.133978679016273</c:v>
                </c:pt>
                <c:pt idx="12">
                  <c:v>0.135843566382558</c:v>
                </c:pt>
                <c:pt idx="13">
                  <c:v>0.137469043430298</c:v>
                </c:pt>
                <c:pt idx="14">
                  <c:v>0.139081529008955</c:v>
                </c:pt>
                <c:pt idx="15">
                  <c:v>0.140919367872531</c:v>
                </c:pt>
                <c:pt idx="16">
                  <c:v>0.142734419572897</c:v>
                </c:pt>
                <c:pt idx="17">
                  <c:v>0.144568576138178</c:v>
                </c:pt>
                <c:pt idx="18">
                  <c:v>0.146417777644116</c:v>
                </c:pt>
                <c:pt idx="19">
                  <c:v>0.148277728161902</c:v>
                </c:pt>
                <c:pt idx="20">
                  <c:v>0.149524147332204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PrepayCTranche!$F$4</c:f>
              <c:strCache>
                <c:ptCount val="1"/>
                <c:pt idx="0">
                  <c:v>Par Bond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PrepayCTranche!$B$5:$B$25</c:f>
              <c:strCache>
                <c:ptCount val="21"/>
                <c:pt idx="0">
                  <c:v>0%</c:v>
                </c:pt>
                <c:pt idx="1">
                  <c:v>25%</c:v>
                </c:pt>
                <c:pt idx="2">
                  <c:v>50%</c:v>
                </c:pt>
                <c:pt idx="3">
                  <c:v>75%</c:v>
                </c:pt>
                <c:pt idx="4">
                  <c:v>100%</c:v>
                </c:pt>
                <c:pt idx="5">
                  <c:v>125%</c:v>
                </c:pt>
                <c:pt idx="6">
                  <c:v>150%</c:v>
                </c:pt>
                <c:pt idx="7">
                  <c:v>175%</c:v>
                </c:pt>
                <c:pt idx="8">
                  <c:v>200%</c:v>
                </c:pt>
                <c:pt idx="9">
                  <c:v>225%</c:v>
                </c:pt>
                <c:pt idx="10">
                  <c:v>250%</c:v>
                </c:pt>
                <c:pt idx="11">
                  <c:v>275%</c:v>
                </c:pt>
                <c:pt idx="12">
                  <c:v>300%</c:v>
                </c:pt>
                <c:pt idx="13">
                  <c:v>325%</c:v>
                </c:pt>
                <c:pt idx="14">
                  <c:v>350%</c:v>
                </c:pt>
                <c:pt idx="15">
                  <c:v>375%</c:v>
                </c:pt>
                <c:pt idx="16">
                  <c:v>400%</c:v>
                </c:pt>
                <c:pt idx="17">
                  <c:v>425%</c:v>
                </c:pt>
                <c:pt idx="18">
                  <c:v>450%</c:v>
                </c:pt>
                <c:pt idx="19">
                  <c:v>475%</c:v>
                </c:pt>
                <c:pt idx="20">
                  <c:v>500%</c:v>
                </c:pt>
              </c:strCache>
            </c:strRef>
          </c:cat>
          <c:val>
            <c:numRef>
              <c:f>PrepayCTranche!$F$5:$F$25</c:f>
              <c:numCache>
                <c:formatCode>0.00%</c:formatCode>
                <c:ptCount val="21"/>
                <c:pt idx="0">
                  <c:v>0.0850000000000001</c:v>
                </c:pt>
                <c:pt idx="1">
                  <c:v>0.0850000000000001</c:v>
                </c:pt>
                <c:pt idx="2">
                  <c:v>0.0850000000000005</c:v>
                </c:pt>
                <c:pt idx="3">
                  <c:v>0.0850000000000003</c:v>
                </c:pt>
                <c:pt idx="4">
                  <c:v>0.085</c:v>
                </c:pt>
                <c:pt idx="5">
                  <c:v>0.085</c:v>
                </c:pt>
                <c:pt idx="6">
                  <c:v>0.085</c:v>
                </c:pt>
                <c:pt idx="7">
                  <c:v>0.0850000000000001</c:v>
                </c:pt>
                <c:pt idx="8">
                  <c:v>0.0850000000000001</c:v>
                </c:pt>
                <c:pt idx="9">
                  <c:v>0.0849999999999999</c:v>
                </c:pt>
                <c:pt idx="10">
                  <c:v>0.0849999999999999</c:v>
                </c:pt>
                <c:pt idx="11">
                  <c:v>0.0849999999999999</c:v>
                </c:pt>
                <c:pt idx="12">
                  <c:v>0.0850000000000001</c:v>
                </c:pt>
                <c:pt idx="13">
                  <c:v>0.085</c:v>
                </c:pt>
                <c:pt idx="14">
                  <c:v>0.0850000000000001</c:v>
                </c:pt>
                <c:pt idx="15">
                  <c:v>0.085</c:v>
                </c:pt>
                <c:pt idx="16">
                  <c:v>0.0849999999999999</c:v>
                </c:pt>
                <c:pt idx="17">
                  <c:v>0.0850000000000001</c:v>
                </c:pt>
                <c:pt idx="18">
                  <c:v>0.0849999999999999</c:v>
                </c:pt>
                <c:pt idx="19">
                  <c:v>0.0849999999999999</c:v>
                </c:pt>
                <c:pt idx="20">
                  <c:v>0.0849999999999999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9009375"/>
        <c:axId val="61249850"/>
      </c:lineChart>
      <c:catAx>
        <c:axId val="8900937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PSA 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1249850"/>
        <c:crossesAt val="0"/>
        <c:auto val="1"/>
        <c:lblAlgn val="ctr"/>
        <c:lblOffset val="100"/>
        <c:noMultiLvlLbl val="0"/>
      </c:catAx>
      <c:valAx>
        <c:axId val="612498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Cash Flow Yield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9009375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'Tranche Payments'!$B$4</c:f>
              <c:strCache>
                <c:ptCount val="1"/>
                <c:pt idx="0">
                  <c:v>Tranche A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'Tranche Payments'!$A$5:$A$34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'Tranche Payments'!$B$5:$B$34</c:f>
              <c:numCache>
                <c:formatCode>\$#,##0</c:formatCode>
                <c:ptCount val="30"/>
                <c:pt idx="0">
                  <c:v>30674632.215412</c:v>
                </c:pt>
                <c:pt idx="1">
                  <c:v>48084621.2505719</c:v>
                </c:pt>
                <c:pt idx="2">
                  <c:v>60113025.4273313</c:v>
                </c:pt>
                <c:pt idx="3">
                  <c:v>44430250.1421951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'Tranche Payments'!$C$4</c:f>
              <c:strCache>
                <c:ptCount val="1"/>
                <c:pt idx="0">
                  <c:v>Tranche B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'Tranche Payments'!$A$5:$A$34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'Tranche Payments'!$C$5:$C$34</c:f>
              <c:numCache>
                <c:formatCode>\$#,##0</c:formatCode>
                <c:ptCount val="30"/>
                <c:pt idx="0">
                  <c:v>21925716.9312</c:v>
                </c:pt>
                <c:pt idx="1">
                  <c:v>21925716.9312</c:v>
                </c:pt>
                <c:pt idx="2">
                  <c:v>21925716.9312</c:v>
                </c:pt>
                <c:pt idx="3">
                  <c:v>32620545.7412892</c:v>
                </c:pt>
                <c:pt idx="4">
                  <c:v>70367800.6732695</c:v>
                </c:pt>
                <c:pt idx="5">
                  <c:v>64027844.4943092</c:v>
                </c:pt>
                <c:pt idx="6">
                  <c:v>58095841.8555271</c:v>
                </c:pt>
                <c:pt idx="7">
                  <c:v>52545631.0896537</c:v>
                </c:pt>
                <c:pt idx="8">
                  <c:v>47352776.3786329</c:v>
                </c:pt>
                <c:pt idx="9">
                  <c:v>42494459.3502484</c:v>
                </c:pt>
                <c:pt idx="10">
                  <c:v>32096927.2409682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'Tranche Payments'!$D$4</c:f>
              <c:strCache>
                <c:ptCount val="1"/>
                <c:pt idx="0">
                  <c:v>Tranche C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'Tranche Payments'!$A$5:$A$34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'Tranche Payments'!$D$5:$D$34</c:f>
              <c:numCache>
                <c:formatCode>\$#,##0</c:formatCode>
                <c:ptCount val="30"/>
                <c:pt idx="0">
                  <c:v>2125000</c:v>
                </c:pt>
                <c:pt idx="1">
                  <c:v>2125000</c:v>
                </c:pt>
                <c:pt idx="2">
                  <c:v>2125000</c:v>
                </c:pt>
                <c:pt idx="3">
                  <c:v>2125000</c:v>
                </c:pt>
                <c:pt idx="4">
                  <c:v>2125000</c:v>
                </c:pt>
                <c:pt idx="5">
                  <c:v>2125000</c:v>
                </c:pt>
                <c:pt idx="6">
                  <c:v>2125000</c:v>
                </c:pt>
                <c:pt idx="7">
                  <c:v>2125000</c:v>
                </c:pt>
                <c:pt idx="8">
                  <c:v>2125000</c:v>
                </c:pt>
                <c:pt idx="9">
                  <c:v>2125000</c:v>
                </c:pt>
                <c:pt idx="10">
                  <c:v>7977450.72346418</c:v>
                </c:pt>
                <c:pt idx="11">
                  <c:v>20775090.9650414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'Tranche Payments'!$E$4</c:f>
              <c:strCache>
                <c:ptCount val="1"/>
                <c:pt idx="0">
                  <c:v>Z Bond</c:v>
                </c:pt>
              </c:strCache>
            </c:strRef>
          </c:tx>
          <c:spPr>
            <a:solidFill>
              <a:srgbClr val="993366"/>
            </a:solidFill>
            <a:ln w="37800">
              <a:solidFill>
                <a:srgbClr val="9933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'Tranche Payments'!$A$5:$A$34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'Tranche Payments'!$E$5:$E$34</c:f>
              <c:numCache>
                <c:formatCode>\$#,##0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14979263.1676546</c:v>
                </c:pt>
                <c:pt idx="12">
                  <c:v>29659672.3294068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'Tranche Payments'!$F$4</c:f>
              <c:strCache>
                <c:ptCount val="1"/>
                <c:pt idx="0">
                  <c:v>Residual</c:v>
                </c:pt>
              </c:strCache>
            </c:strRef>
          </c:tx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'Tranche Payments'!$A$5:$A$34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'Tranche Payments'!$F$5:$F$34</c:f>
              <c:numCache>
                <c:formatCode>\$#,##0</c:formatCode>
                <c:ptCount val="30"/>
                <c:pt idx="0">
                  <c:v>40014280.190824</c:v>
                </c:pt>
                <c:pt idx="1">
                  <c:v>39548055.2312531</c:v>
                </c:pt>
                <c:pt idx="2">
                  <c:v>38632541.1439757</c:v>
                </c:pt>
                <c:pt idx="3">
                  <c:v>37364483.1466924</c:v>
                </c:pt>
                <c:pt idx="4">
                  <c:v>36149648.7751894</c:v>
                </c:pt>
                <c:pt idx="5">
                  <c:v>35092442.2599329</c:v>
                </c:pt>
                <c:pt idx="6">
                  <c:v>34095256.4760026</c:v>
                </c:pt>
                <c:pt idx="7">
                  <c:v>33153666.6855329</c:v>
                </c:pt>
                <c:pt idx="8">
                  <c:v>32263491.8945219</c:v>
                </c:pt>
                <c:pt idx="9">
                  <c:v>31420775.4432057</c:v>
                </c:pt>
                <c:pt idx="10">
                  <c:v>30621766.5326495</c:v>
                </c:pt>
                <c:pt idx="11">
                  <c:v>29931200.6991173</c:v>
                </c:pt>
                <c:pt idx="12">
                  <c:v>31326856.4625661</c:v>
                </c:pt>
                <c:pt idx="13">
                  <c:v>56578536.8547989</c:v>
                </c:pt>
                <c:pt idx="14">
                  <c:v>52442365.1239013</c:v>
                </c:pt>
                <c:pt idx="15">
                  <c:v>48560029.2223803</c:v>
                </c:pt>
                <c:pt idx="16">
                  <c:v>44914693.4786331</c:v>
                </c:pt>
                <c:pt idx="17">
                  <c:v>41490594.9297929</c:v>
                </c:pt>
                <c:pt idx="18">
                  <c:v>38272971.6181057</c:v>
                </c:pt>
                <c:pt idx="19">
                  <c:v>35247994.5490242</c:v>
                </c:pt>
                <c:pt idx="20">
                  <c:v>32402702.4648697</c:v>
                </c:pt>
                <c:pt idx="21">
                  <c:v>29724938.1540875</c:v>
                </c:pt>
                <c:pt idx="22">
                  <c:v>27203284.1110409</c:v>
                </c:pt>
                <c:pt idx="23">
                  <c:v>24826993.3629893</c:v>
                </c:pt>
                <c:pt idx="24">
                  <c:v>22585906.5066169</c:v>
                </c:pt>
                <c:pt idx="25">
                  <c:v>20470333.3248929</c:v>
                </c:pt>
                <c:pt idx="26">
                  <c:v>18470838.6039331</c:v>
                </c:pt>
                <c:pt idx="27">
                  <c:v>16577727.0234967</c:v>
                </c:pt>
                <c:pt idx="28">
                  <c:v>14779284.947211</c:v>
                </c:pt>
                <c:pt idx="29">
                  <c:v>13051082.6109741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840779"/>
        <c:axId val="70212943"/>
      </c:lineChart>
      <c:catAx>
        <c:axId val="384077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End-of-Year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0212943"/>
        <c:crossesAt val="0"/>
        <c:auto val="1"/>
        <c:lblAlgn val="ctr"/>
        <c:lblOffset val="100"/>
        <c:noMultiLvlLbl val="0"/>
      </c:catAx>
      <c:valAx>
        <c:axId val="702129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840779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'Tranche Balances'!$B$2</c:f>
              <c:strCache>
                <c:ptCount val="1"/>
                <c:pt idx="0">
                  <c:v>Tranche A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'Tranche Balances'!$A$3:$A$32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'Tranche Balances'!$B$3:$B$32</c:f>
              <c:numCache>
                <c:formatCode>\$#,##0</c:formatCode>
                <c:ptCount val="30"/>
                <c:pt idx="0">
                  <c:v>133449106.503518</c:v>
                </c:pt>
                <c:pt idx="1">
                  <c:v>94851382.2342811</c:v>
                </c:pt>
                <c:pt idx="2">
                  <c:v>41481341.5699849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'Tranche Balances'!$C$2</c:f>
              <c:strCache>
                <c:ptCount val="1"/>
                <c:pt idx="0">
                  <c:v>Tranche B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'Tranche Balances'!$A$3:$A$32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'Tranche Balances'!$C$3:$C$32</c:f>
              <c:numCache>
                <c:formatCode>\$#,##0</c:formatCode>
                <c:ptCount val="30"/>
                <c:pt idx="0">
                  <c:v>299000640</c:v>
                </c:pt>
                <c:pt idx="1">
                  <c:v>299000640</c:v>
                </c:pt>
                <c:pt idx="2">
                  <c:v>299000640</c:v>
                </c:pt>
                <c:pt idx="3">
                  <c:v>288305811.189911</c:v>
                </c:pt>
                <c:pt idx="4">
                  <c:v>239079475.651197</c:v>
                </c:pt>
                <c:pt idx="5">
                  <c:v>192583329.10639</c:v>
                </c:pt>
                <c:pt idx="6">
                  <c:v>148609622.774235</c:v>
                </c:pt>
                <c:pt idx="7">
                  <c:v>106961535.322616</c:v>
                </c:pt>
                <c:pt idx="8">
                  <c:v>67452248.3291906</c:v>
                </c:pt>
                <c:pt idx="9">
                  <c:v>29904062.3489217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'Tranche Balances'!$D$2</c:f>
              <c:strCache>
                <c:ptCount val="1"/>
                <c:pt idx="0">
                  <c:v>Tranche C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'Tranche Balances'!$A$3:$A$32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'Tranche Balances'!$D$3:$D$32</c:f>
              <c:numCache>
                <c:formatCode>\$#,##0</c:formatCode>
                <c:ptCount val="30"/>
                <c:pt idx="0">
                  <c:v>25000000</c:v>
                </c:pt>
                <c:pt idx="1">
                  <c:v>25000000</c:v>
                </c:pt>
                <c:pt idx="2">
                  <c:v>25000000</c:v>
                </c:pt>
                <c:pt idx="3">
                  <c:v>25000000</c:v>
                </c:pt>
                <c:pt idx="4">
                  <c:v>25000000</c:v>
                </c:pt>
                <c:pt idx="5">
                  <c:v>25000000</c:v>
                </c:pt>
                <c:pt idx="6">
                  <c:v>25000000</c:v>
                </c:pt>
                <c:pt idx="7">
                  <c:v>25000000</c:v>
                </c:pt>
                <c:pt idx="8">
                  <c:v>25000000</c:v>
                </c:pt>
                <c:pt idx="9">
                  <c:v>25000000</c:v>
                </c:pt>
                <c:pt idx="10">
                  <c:v>19147549.2765358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'Tranche Balances'!$E$2</c:f>
              <c:strCache>
                <c:ptCount val="1"/>
                <c:pt idx="0">
                  <c:v>Z Bond</c:v>
                </c:pt>
              </c:strCache>
            </c:strRef>
          </c:tx>
          <c:spPr>
            <a:solidFill>
              <a:srgbClr val="993366"/>
            </a:solidFill>
            <a:ln w="37800">
              <a:solidFill>
                <a:srgbClr val="9933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'Tranche Balances'!$A$3:$A$32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'Tranche Balances'!$E$3:$E$32</c:f>
              <c:numCache>
                <c:formatCode>\$#,##0</c:formatCode>
                <c:ptCount val="30"/>
                <c:pt idx="0">
                  <c:v>16350000</c:v>
                </c:pt>
                <c:pt idx="1">
                  <c:v>17821500</c:v>
                </c:pt>
                <c:pt idx="2">
                  <c:v>19425435</c:v>
                </c:pt>
                <c:pt idx="3">
                  <c:v>21173724.15</c:v>
                </c:pt>
                <c:pt idx="4">
                  <c:v>23079359.3235</c:v>
                </c:pt>
                <c:pt idx="5">
                  <c:v>25156501.662615</c:v>
                </c:pt>
                <c:pt idx="6">
                  <c:v>27420586.8122504</c:v>
                </c:pt>
                <c:pt idx="7">
                  <c:v>29888439.6253529</c:v>
                </c:pt>
                <c:pt idx="8">
                  <c:v>32578399.1916346</c:v>
                </c:pt>
                <c:pt idx="9">
                  <c:v>35510455.1188818</c:v>
                </c:pt>
                <c:pt idx="10">
                  <c:v>38706396.0795811</c:v>
                </c:pt>
                <c:pt idx="11">
                  <c:v>27210708.5590888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298665"/>
        <c:axId val="978300"/>
      </c:lineChart>
      <c:catAx>
        <c:axId val="229866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End-of-Year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78300"/>
        <c:crossesAt val="0"/>
        <c:auto val="1"/>
        <c:lblAlgn val="ctr"/>
        <c:lblOffset val="100"/>
        <c:noMultiLvlLbl val="0"/>
      </c:catAx>
      <c:valAx>
        <c:axId val="9783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298665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7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PSA!$B$1</c:f>
              <c:strCache>
                <c:ptCount val="1"/>
                <c:pt idx="0">
                  <c:v>100% PSA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PSA!$B$2:$B$62</c:f>
              <c:numCache>
                <c:formatCode>0.00%</c:formatCode>
                <c:ptCount val="61"/>
                <c:pt idx="0">
                  <c:v>0</c:v>
                </c:pt>
                <c:pt idx="1">
                  <c:v>0.002</c:v>
                </c:pt>
                <c:pt idx="2">
                  <c:v>0.004</c:v>
                </c:pt>
                <c:pt idx="3">
                  <c:v>0.006</c:v>
                </c:pt>
                <c:pt idx="4">
                  <c:v>0.008</c:v>
                </c:pt>
                <c:pt idx="5">
                  <c:v>0.01</c:v>
                </c:pt>
                <c:pt idx="6">
                  <c:v>0.012</c:v>
                </c:pt>
                <c:pt idx="7">
                  <c:v>0.014</c:v>
                </c:pt>
                <c:pt idx="8">
                  <c:v>0.016</c:v>
                </c:pt>
                <c:pt idx="9">
                  <c:v>0.018</c:v>
                </c:pt>
                <c:pt idx="10">
                  <c:v>0.02</c:v>
                </c:pt>
                <c:pt idx="11">
                  <c:v>0.022</c:v>
                </c:pt>
                <c:pt idx="12">
                  <c:v>0.024</c:v>
                </c:pt>
                <c:pt idx="13">
                  <c:v>0.026</c:v>
                </c:pt>
                <c:pt idx="14">
                  <c:v>0.028</c:v>
                </c:pt>
                <c:pt idx="15">
                  <c:v>0.03</c:v>
                </c:pt>
                <c:pt idx="16">
                  <c:v>0.032</c:v>
                </c:pt>
                <c:pt idx="17">
                  <c:v>0.034</c:v>
                </c:pt>
                <c:pt idx="18">
                  <c:v>0.036</c:v>
                </c:pt>
                <c:pt idx="19">
                  <c:v>0.038</c:v>
                </c:pt>
                <c:pt idx="20">
                  <c:v>0.04</c:v>
                </c:pt>
                <c:pt idx="21">
                  <c:v>0.042</c:v>
                </c:pt>
                <c:pt idx="22">
                  <c:v>0.044</c:v>
                </c:pt>
                <c:pt idx="23">
                  <c:v>0.046</c:v>
                </c:pt>
                <c:pt idx="24">
                  <c:v>0.048</c:v>
                </c:pt>
                <c:pt idx="25">
                  <c:v>0.05</c:v>
                </c:pt>
                <c:pt idx="26">
                  <c:v>0.052</c:v>
                </c:pt>
                <c:pt idx="27">
                  <c:v>0.054</c:v>
                </c:pt>
                <c:pt idx="28">
                  <c:v>0.056</c:v>
                </c:pt>
                <c:pt idx="29">
                  <c:v>0.058</c:v>
                </c:pt>
                <c:pt idx="30">
                  <c:v>0.06</c:v>
                </c:pt>
                <c:pt idx="31">
                  <c:v>0.06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  <c:pt idx="42">
                  <c:v>0.06</c:v>
                </c:pt>
                <c:pt idx="43">
                  <c:v>0.06</c:v>
                </c:pt>
                <c:pt idx="44">
                  <c:v>0.06</c:v>
                </c:pt>
                <c:pt idx="45">
                  <c:v>0.06</c:v>
                </c:pt>
                <c:pt idx="46">
                  <c:v>0.06</c:v>
                </c:pt>
                <c:pt idx="47">
                  <c:v>0.06</c:v>
                </c:pt>
                <c:pt idx="48">
                  <c:v>0.06</c:v>
                </c:pt>
                <c:pt idx="49">
                  <c:v>0.06</c:v>
                </c:pt>
                <c:pt idx="50">
                  <c:v>0.06</c:v>
                </c:pt>
                <c:pt idx="51">
                  <c:v>0.06</c:v>
                </c:pt>
                <c:pt idx="52">
                  <c:v>0.06</c:v>
                </c:pt>
                <c:pt idx="53">
                  <c:v>0.06</c:v>
                </c:pt>
                <c:pt idx="54">
                  <c:v>0.06</c:v>
                </c:pt>
                <c:pt idx="55">
                  <c:v>0.06</c:v>
                </c:pt>
                <c:pt idx="56">
                  <c:v>0.06</c:v>
                </c:pt>
                <c:pt idx="57">
                  <c:v>0.06</c:v>
                </c:pt>
                <c:pt idx="58">
                  <c:v>0.06</c:v>
                </c:pt>
                <c:pt idx="59">
                  <c:v>0.06</c:v>
                </c:pt>
                <c:pt idx="60">
                  <c:v>0.06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PSA!$C$1</c:f>
              <c:strCache>
                <c:ptCount val="1"/>
                <c:pt idx="0">
                  <c:v>200% PSA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PSA!$C$2:$C$62</c:f>
              <c:numCache>
                <c:formatCode>0.00%</c:formatCode>
                <c:ptCount val="61"/>
                <c:pt idx="0">
                  <c:v>0</c:v>
                </c:pt>
                <c:pt idx="1">
                  <c:v>0.004</c:v>
                </c:pt>
                <c:pt idx="2">
                  <c:v>0.008</c:v>
                </c:pt>
                <c:pt idx="3">
                  <c:v>0.012</c:v>
                </c:pt>
                <c:pt idx="4">
                  <c:v>0.016</c:v>
                </c:pt>
                <c:pt idx="5">
                  <c:v>0.02</c:v>
                </c:pt>
                <c:pt idx="6">
                  <c:v>0.024</c:v>
                </c:pt>
                <c:pt idx="7">
                  <c:v>0.028</c:v>
                </c:pt>
                <c:pt idx="8">
                  <c:v>0.032</c:v>
                </c:pt>
                <c:pt idx="9">
                  <c:v>0.036</c:v>
                </c:pt>
                <c:pt idx="10">
                  <c:v>0.04</c:v>
                </c:pt>
                <c:pt idx="11">
                  <c:v>0.044</c:v>
                </c:pt>
                <c:pt idx="12">
                  <c:v>0.048</c:v>
                </c:pt>
                <c:pt idx="13">
                  <c:v>0.052</c:v>
                </c:pt>
                <c:pt idx="14">
                  <c:v>0.056</c:v>
                </c:pt>
                <c:pt idx="15">
                  <c:v>0.06</c:v>
                </c:pt>
                <c:pt idx="16">
                  <c:v>0.064</c:v>
                </c:pt>
                <c:pt idx="17">
                  <c:v>0.068</c:v>
                </c:pt>
                <c:pt idx="18">
                  <c:v>0.072</c:v>
                </c:pt>
                <c:pt idx="19">
                  <c:v>0.076</c:v>
                </c:pt>
                <c:pt idx="20">
                  <c:v>0.08</c:v>
                </c:pt>
                <c:pt idx="21">
                  <c:v>0.0840000000000001</c:v>
                </c:pt>
                <c:pt idx="22">
                  <c:v>0.0880000000000001</c:v>
                </c:pt>
                <c:pt idx="23">
                  <c:v>0.0920000000000001</c:v>
                </c:pt>
                <c:pt idx="24">
                  <c:v>0.0960000000000001</c:v>
                </c:pt>
                <c:pt idx="25">
                  <c:v>0.1</c:v>
                </c:pt>
                <c:pt idx="26">
                  <c:v>0.104</c:v>
                </c:pt>
                <c:pt idx="27">
                  <c:v>0.108</c:v>
                </c:pt>
                <c:pt idx="28">
                  <c:v>0.112</c:v>
                </c:pt>
                <c:pt idx="29">
                  <c:v>0.116</c:v>
                </c:pt>
                <c:pt idx="30">
                  <c:v>0.12</c:v>
                </c:pt>
                <c:pt idx="31">
                  <c:v>0.12</c:v>
                </c:pt>
                <c:pt idx="32">
                  <c:v>0.12</c:v>
                </c:pt>
                <c:pt idx="33">
                  <c:v>0.12</c:v>
                </c:pt>
                <c:pt idx="34">
                  <c:v>0.12</c:v>
                </c:pt>
                <c:pt idx="35">
                  <c:v>0.12</c:v>
                </c:pt>
                <c:pt idx="36">
                  <c:v>0.12</c:v>
                </c:pt>
                <c:pt idx="37">
                  <c:v>0.12</c:v>
                </c:pt>
                <c:pt idx="38">
                  <c:v>0.12</c:v>
                </c:pt>
                <c:pt idx="39">
                  <c:v>0.12</c:v>
                </c:pt>
                <c:pt idx="40">
                  <c:v>0.12</c:v>
                </c:pt>
                <c:pt idx="41">
                  <c:v>0.12</c:v>
                </c:pt>
                <c:pt idx="42">
                  <c:v>0.12</c:v>
                </c:pt>
                <c:pt idx="43">
                  <c:v>0.12</c:v>
                </c:pt>
                <c:pt idx="44">
                  <c:v>0.12</c:v>
                </c:pt>
                <c:pt idx="45">
                  <c:v>0.12</c:v>
                </c:pt>
                <c:pt idx="46">
                  <c:v>0.12</c:v>
                </c:pt>
                <c:pt idx="47">
                  <c:v>0.12</c:v>
                </c:pt>
                <c:pt idx="48">
                  <c:v>0.12</c:v>
                </c:pt>
                <c:pt idx="49">
                  <c:v>0.12</c:v>
                </c:pt>
                <c:pt idx="50">
                  <c:v>0.12</c:v>
                </c:pt>
                <c:pt idx="51">
                  <c:v>0.12</c:v>
                </c:pt>
                <c:pt idx="52">
                  <c:v>0.12</c:v>
                </c:pt>
                <c:pt idx="53">
                  <c:v>0.12</c:v>
                </c:pt>
                <c:pt idx="54">
                  <c:v>0.12</c:v>
                </c:pt>
                <c:pt idx="55">
                  <c:v>0.12</c:v>
                </c:pt>
                <c:pt idx="56">
                  <c:v>0.12</c:v>
                </c:pt>
                <c:pt idx="57">
                  <c:v>0.12</c:v>
                </c:pt>
                <c:pt idx="58">
                  <c:v>0.12</c:v>
                </c:pt>
                <c:pt idx="59">
                  <c:v>0.12</c:v>
                </c:pt>
                <c:pt idx="60">
                  <c:v>0.12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PSA!$D$1</c:f>
              <c:strCache>
                <c:ptCount val="1"/>
                <c:pt idx="0">
                  <c:v>500% PSA</c:v>
                </c:pt>
              </c:strCache>
            </c:strRef>
          </c:tx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PSA!$D$2:$D$62</c:f>
              <c:numCache>
                <c:formatCode>0.00%</c:formatCode>
                <c:ptCount val="6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0.07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</c:v>
                </c:pt>
                <c:pt idx="29">
                  <c:v>0.29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0.3</c:v>
                </c:pt>
                <c:pt idx="41">
                  <c:v>0.3</c:v>
                </c:pt>
                <c:pt idx="42">
                  <c:v>0.3</c:v>
                </c:pt>
                <c:pt idx="43">
                  <c:v>0.3</c:v>
                </c:pt>
                <c:pt idx="44">
                  <c:v>0.3</c:v>
                </c:pt>
                <c:pt idx="45">
                  <c:v>0.3</c:v>
                </c:pt>
                <c:pt idx="46">
                  <c:v>0.3</c:v>
                </c:pt>
                <c:pt idx="47">
                  <c:v>0.3</c:v>
                </c:pt>
                <c:pt idx="48">
                  <c:v>0.3</c:v>
                </c:pt>
                <c:pt idx="49">
                  <c:v>0.3</c:v>
                </c:pt>
                <c:pt idx="50">
                  <c:v>0.3</c:v>
                </c:pt>
                <c:pt idx="51">
                  <c:v>0.3</c:v>
                </c:pt>
                <c:pt idx="52">
                  <c:v>0.3</c:v>
                </c:pt>
                <c:pt idx="53">
                  <c:v>0.3</c:v>
                </c:pt>
                <c:pt idx="54">
                  <c:v>0.3</c:v>
                </c:pt>
                <c:pt idx="55">
                  <c:v>0.3</c:v>
                </c:pt>
                <c:pt idx="56">
                  <c:v>0.3</c:v>
                </c:pt>
                <c:pt idx="57">
                  <c:v>0.3</c:v>
                </c:pt>
                <c:pt idx="58">
                  <c:v>0.3</c:v>
                </c:pt>
                <c:pt idx="59">
                  <c:v>0.3</c:v>
                </c:pt>
                <c:pt idx="60">
                  <c:v>0.3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5398661"/>
        <c:axId val="79831644"/>
      </c:lineChart>
      <c:catAx>
        <c:axId val="553986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End of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9831644"/>
        <c:crossesAt val="0"/>
        <c:auto val="1"/>
        <c:lblAlgn val="ctr"/>
        <c:lblOffset val="100"/>
        <c:noMultiLvlLbl val="0"/>
      </c:catAx>
      <c:valAx>
        <c:axId val="798316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CPR (Constant Prepayment Rate)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5398661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PSA!$B$1</c:f>
              <c:strCache>
                <c:ptCount val="1"/>
                <c:pt idx="0">
                  <c:v>100% PSA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PSA!$B$2:$B$62</c:f>
              <c:numCache>
                <c:formatCode>0.00%</c:formatCode>
                <c:ptCount val="61"/>
                <c:pt idx="0">
                  <c:v>0</c:v>
                </c:pt>
                <c:pt idx="1">
                  <c:v>0.002</c:v>
                </c:pt>
                <c:pt idx="2">
                  <c:v>0.004</c:v>
                </c:pt>
                <c:pt idx="3">
                  <c:v>0.006</c:v>
                </c:pt>
                <c:pt idx="4">
                  <c:v>0.008</c:v>
                </c:pt>
                <c:pt idx="5">
                  <c:v>0.01</c:v>
                </c:pt>
                <c:pt idx="6">
                  <c:v>0.012</c:v>
                </c:pt>
                <c:pt idx="7">
                  <c:v>0.014</c:v>
                </c:pt>
                <c:pt idx="8">
                  <c:v>0.016</c:v>
                </c:pt>
                <c:pt idx="9">
                  <c:v>0.018</c:v>
                </c:pt>
                <c:pt idx="10">
                  <c:v>0.02</c:v>
                </c:pt>
                <c:pt idx="11">
                  <c:v>0.022</c:v>
                </c:pt>
                <c:pt idx="12">
                  <c:v>0.024</c:v>
                </c:pt>
                <c:pt idx="13">
                  <c:v>0.026</c:v>
                </c:pt>
                <c:pt idx="14">
                  <c:v>0.028</c:v>
                </c:pt>
                <c:pt idx="15">
                  <c:v>0.03</c:v>
                </c:pt>
                <c:pt idx="16">
                  <c:v>0.032</c:v>
                </c:pt>
                <c:pt idx="17">
                  <c:v>0.034</c:v>
                </c:pt>
                <c:pt idx="18">
                  <c:v>0.036</c:v>
                </c:pt>
                <c:pt idx="19">
                  <c:v>0.038</c:v>
                </c:pt>
                <c:pt idx="20">
                  <c:v>0.04</c:v>
                </c:pt>
                <c:pt idx="21">
                  <c:v>0.042</c:v>
                </c:pt>
                <c:pt idx="22">
                  <c:v>0.044</c:v>
                </c:pt>
                <c:pt idx="23">
                  <c:v>0.046</c:v>
                </c:pt>
                <c:pt idx="24">
                  <c:v>0.048</c:v>
                </c:pt>
                <c:pt idx="25">
                  <c:v>0.05</c:v>
                </c:pt>
                <c:pt idx="26">
                  <c:v>0.052</c:v>
                </c:pt>
                <c:pt idx="27">
                  <c:v>0.054</c:v>
                </c:pt>
                <c:pt idx="28">
                  <c:v>0.056</c:v>
                </c:pt>
                <c:pt idx="29">
                  <c:v>0.058</c:v>
                </c:pt>
                <c:pt idx="30">
                  <c:v>0.06</c:v>
                </c:pt>
                <c:pt idx="31">
                  <c:v>0.06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  <c:pt idx="42">
                  <c:v>0.06</c:v>
                </c:pt>
                <c:pt idx="43">
                  <c:v>0.06</c:v>
                </c:pt>
                <c:pt idx="44">
                  <c:v>0.06</c:v>
                </c:pt>
                <c:pt idx="45">
                  <c:v>0.06</c:v>
                </c:pt>
                <c:pt idx="46">
                  <c:v>0.06</c:v>
                </c:pt>
                <c:pt idx="47">
                  <c:v>0.06</c:v>
                </c:pt>
                <c:pt idx="48">
                  <c:v>0.06</c:v>
                </c:pt>
                <c:pt idx="49">
                  <c:v>0.06</c:v>
                </c:pt>
                <c:pt idx="50">
                  <c:v>0.06</c:v>
                </c:pt>
                <c:pt idx="51">
                  <c:v>0.06</c:v>
                </c:pt>
                <c:pt idx="52">
                  <c:v>0.06</c:v>
                </c:pt>
                <c:pt idx="53">
                  <c:v>0.06</c:v>
                </c:pt>
                <c:pt idx="54">
                  <c:v>0.06</c:v>
                </c:pt>
                <c:pt idx="55">
                  <c:v>0.06</c:v>
                </c:pt>
                <c:pt idx="56">
                  <c:v>0.06</c:v>
                </c:pt>
                <c:pt idx="57">
                  <c:v>0.06</c:v>
                </c:pt>
                <c:pt idx="58">
                  <c:v>0.06</c:v>
                </c:pt>
                <c:pt idx="59">
                  <c:v>0.06</c:v>
                </c:pt>
                <c:pt idx="60">
                  <c:v>0.06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PSA!$C$1</c:f>
              <c:strCache>
                <c:ptCount val="1"/>
                <c:pt idx="0">
                  <c:v>200% PSA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PSA!$C$2:$C$62</c:f>
              <c:numCache>
                <c:formatCode>0.00%</c:formatCode>
                <c:ptCount val="61"/>
                <c:pt idx="0">
                  <c:v>0</c:v>
                </c:pt>
                <c:pt idx="1">
                  <c:v>0.004</c:v>
                </c:pt>
                <c:pt idx="2">
                  <c:v>0.008</c:v>
                </c:pt>
                <c:pt idx="3">
                  <c:v>0.012</c:v>
                </c:pt>
                <c:pt idx="4">
                  <c:v>0.016</c:v>
                </c:pt>
                <c:pt idx="5">
                  <c:v>0.02</c:v>
                </c:pt>
                <c:pt idx="6">
                  <c:v>0.024</c:v>
                </c:pt>
                <c:pt idx="7">
                  <c:v>0.028</c:v>
                </c:pt>
                <c:pt idx="8">
                  <c:v>0.032</c:v>
                </c:pt>
                <c:pt idx="9">
                  <c:v>0.036</c:v>
                </c:pt>
                <c:pt idx="10">
                  <c:v>0.04</c:v>
                </c:pt>
                <c:pt idx="11">
                  <c:v>0.044</c:v>
                </c:pt>
                <c:pt idx="12">
                  <c:v>0.048</c:v>
                </c:pt>
                <c:pt idx="13">
                  <c:v>0.052</c:v>
                </c:pt>
                <c:pt idx="14">
                  <c:v>0.056</c:v>
                </c:pt>
                <c:pt idx="15">
                  <c:v>0.06</c:v>
                </c:pt>
                <c:pt idx="16">
                  <c:v>0.064</c:v>
                </c:pt>
                <c:pt idx="17">
                  <c:v>0.068</c:v>
                </c:pt>
                <c:pt idx="18">
                  <c:v>0.072</c:v>
                </c:pt>
                <c:pt idx="19">
                  <c:v>0.076</c:v>
                </c:pt>
                <c:pt idx="20">
                  <c:v>0.08</c:v>
                </c:pt>
                <c:pt idx="21">
                  <c:v>0.0840000000000001</c:v>
                </c:pt>
                <c:pt idx="22">
                  <c:v>0.0880000000000001</c:v>
                </c:pt>
                <c:pt idx="23">
                  <c:v>0.0920000000000001</c:v>
                </c:pt>
                <c:pt idx="24">
                  <c:v>0.0960000000000001</c:v>
                </c:pt>
                <c:pt idx="25">
                  <c:v>0.1</c:v>
                </c:pt>
                <c:pt idx="26">
                  <c:v>0.104</c:v>
                </c:pt>
                <c:pt idx="27">
                  <c:v>0.108</c:v>
                </c:pt>
                <c:pt idx="28">
                  <c:v>0.112</c:v>
                </c:pt>
                <c:pt idx="29">
                  <c:v>0.116</c:v>
                </c:pt>
                <c:pt idx="30">
                  <c:v>0.12</c:v>
                </c:pt>
                <c:pt idx="31">
                  <c:v>0.12</c:v>
                </c:pt>
                <c:pt idx="32">
                  <c:v>0.12</c:v>
                </c:pt>
                <c:pt idx="33">
                  <c:v>0.12</c:v>
                </c:pt>
                <c:pt idx="34">
                  <c:v>0.12</c:v>
                </c:pt>
                <c:pt idx="35">
                  <c:v>0.12</c:v>
                </c:pt>
                <c:pt idx="36">
                  <c:v>0.12</c:v>
                </c:pt>
                <c:pt idx="37">
                  <c:v>0.12</c:v>
                </c:pt>
                <c:pt idx="38">
                  <c:v>0.12</c:v>
                </c:pt>
                <c:pt idx="39">
                  <c:v>0.12</c:v>
                </c:pt>
                <c:pt idx="40">
                  <c:v>0.12</c:v>
                </c:pt>
                <c:pt idx="41">
                  <c:v>0.12</c:v>
                </c:pt>
                <c:pt idx="42">
                  <c:v>0.12</c:v>
                </c:pt>
                <c:pt idx="43">
                  <c:v>0.12</c:v>
                </c:pt>
                <c:pt idx="44">
                  <c:v>0.12</c:v>
                </c:pt>
                <c:pt idx="45">
                  <c:v>0.12</c:v>
                </c:pt>
                <c:pt idx="46">
                  <c:v>0.12</c:v>
                </c:pt>
                <c:pt idx="47">
                  <c:v>0.12</c:v>
                </c:pt>
                <c:pt idx="48">
                  <c:v>0.12</c:v>
                </c:pt>
                <c:pt idx="49">
                  <c:v>0.12</c:v>
                </c:pt>
                <c:pt idx="50">
                  <c:v>0.12</c:v>
                </c:pt>
                <c:pt idx="51">
                  <c:v>0.12</c:v>
                </c:pt>
                <c:pt idx="52">
                  <c:v>0.12</c:v>
                </c:pt>
                <c:pt idx="53">
                  <c:v>0.12</c:v>
                </c:pt>
                <c:pt idx="54">
                  <c:v>0.12</c:v>
                </c:pt>
                <c:pt idx="55">
                  <c:v>0.12</c:v>
                </c:pt>
                <c:pt idx="56">
                  <c:v>0.12</c:v>
                </c:pt>
                <c:pt idx="57">
                  <c:v>0.12</c:v>
                </c:pt>
                <c:pt idx="58">
                  <c:v>0.12</c:v>
                </c:pt>
                <c:pt idx="59">
                  <c:v>0.12</c:v>
                </c:pt>
                <c:pt idx="60">
                  <c:v>0.12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8130399"/>
        <c:axId val="55033722"/>
      </c:lineChart>
      <c:catAx>
        <c:axId val="6813039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5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End of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3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5033722"/>
        <c:crossesAt val="0"/>
        <c:auto val="1"/>
        <c:lblAlgn val="ctr"/>
        <c:lblOffset val="100"/>
        <c:noMultiLvlLbl val="0"/>
      </c:catAx>
      <c:valAx>
        <c:axId val="550337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5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Constant Prepayment 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3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8130399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5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PrepayBOND!$C$5</c:f>
              <c:strCache>
                <c:ptCount val="1"/>
                <c:pt idx="0">
                  <c:v>Premium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PrepayBOND!$C$6:$C$25</c:f>
              <c:numCache>
                <c:formatCode>0.000000%</c:formatCode>
                <c:ptCount val="20"/>
                <c:pt idx="0">
                  <c:v>-0.0833333333333315</c:v>
                </c:pt>
                <c:pt idx="1">
                  <c:v>-3.43707532172253E-017</c:v>
                </c:pt>
                <c:pt idx="2">
                  <c:v>0.0293784103140557</c:v>
                </c:pt>
                <c:pt idx="3">
                  <c:v>0.0443376406587214</c:v>
                </c:pt>
                <c:pt idx="4">
                  <c:v>0.0533734246972753</c:v>
                </c:pt>
                <c:pt idx="5">
                  <c:v>0.0594036497659444</c:v>
                </c:pt>
                <c:pt idx="6">
                  <c:v>0.0637003803269131</c:v>
                </c:pt>
                <c:pt idx="7">
                  <c:v>0.0669068264939176</c:v>
                </c:pt>
                <c:pt idx="8">
                  <c:v>0.0693832015695749</c:v>
                </c:pt>
                <c:pt idx="9">
                  <c:v>0.0713469456928974</c:v>
                </c:pt>
                <c:pt idx="10">
                  <c:v>0.072937091533089</c:v>
                </c:pt>
                <c:pt idx="11">
                  <c:v>0.0742466885574453</c:v>
                </c:pt>
                <c:pt idx="12">
                  <c:v>0.0753403656654802</c:v>
                </c:pt>
                <c:pt idx="13">
                  <c:v>0.0762644152068725</c:v>
                </c:pt>
                <c:pt idx="14">
                  <c:v>0.0770528674934849</c:v>
                </c:pt>
                <c:pt idx="15">
                  <c:v>0.0777313001289232</c:v>
                </c:pt>
                <c:pt idx="16">
                  <c:v>0.0783193099643799</c:v>
                </c:pt>
                <c:pt idx="17">
                  <c:v>0.0788321651876263</c:v>
                </c:pt>
                <c:pt idx="18">
                  <c:v>0.0792819381829496</c:v>
                </c:pt>
                <c:pt idx="19">
                  <c:v>0.0796783000831832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PrepayBOND!$D$5</c:f>
              <c:strCache>
                <c:ptCount val="1"/>
                <c:pt idx="0">
                  <c:v>Discount</c:v>
                </c:pt>
              </c:strCache>
            </c:strRef>
          </c:tx>
          <c:spPr>
            <a:solidFill>
              <a:srgbClr val="339966"/>
            </a:solidFill>
            <a:ln w="378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PrepayBOND!$D$6:$D$25</c:f>
              <c:numCache>
                <c:formatCode>0.000000%</c:formatCode>
                <c:ptCount val="20"/>
                <c:pt idx="0">
                  <c:v>0.374999999999997</c:v>
                </c:pt>
                <c:pt idx="1">
                  <c:v>0.236768389253496</c:v>
                </c:pt>
                <c:pt idx="2">
                  <c:v>0.194063606556439</c:v>
                </c:pt>
                <c:pt idx="3">
                  <c:v>0.173394792923619</c:v>
                </c:pt>
                <c:pt idx="4">
                  <c:v>0.161261756739086</c:v>
                </c:pt>
                <c:pt idx="5">
                  <c:v>0.153320842904681</c:v>
                </c:pt>
                <c:pt idx="6">
                  <c:v>0.147747696791633</c:v>
                </c:pt>
                <c:pt idx="7">
                  <c:v>0.143642084449478</c:v>
                </c:pt>
                <c:pt idx="8">
                  <c:v>0.140508482782341</c:v>
                </c:pt>
                <c:pt idx="9">
                  <c:v>0.138051586118217</c:v>
                </c:pt>
                <c:pt idx="10">
                  <c:v>0.136084423957936</c:v>
                </c:pt>
                <c:pt idx="11">
                  <c:v>0.134482825254007</c:v>
                </c:pt>
                <c:pt idx="12">
                  <c:v>0.133161071103239</c:v>
                </c:pt>
                <c:pt idx="13">
                  <c:v>0.132058061659332</c:v>
                </c:pt>
                <c:pt idx="14">
                  <c:v>0.131129055945322</c:v>
                </c:pt>
                <c:pt idx="15">
                  <c:v>0.130340530200957</c:v>
                </c:pt>
                <c:pt idx="16">
                  <c:v>0.1296668625758</c:v>
                </c:pt>
                <c:pt idx="17">
                  <c:v>0.129088129661262</c:v>
                </c:pt>
                <c:pt idx="18">
                  <c:v>0.128588602877511</c:v>
                </c:pt>
                <c:pt idx="19">
                  <c:v>0.128155698399673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PrepayBOND!$E$5</c:f>
              <c:strCache>
                <c:ptCount val="1"/>
                <c:pt idx="0">
                  <c:v>Par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PrepayBOND!$E$6:$E$25</c:f>
              <c:numCache>
                <c:formatCode>0.000000%</c:formatCode>
                <c:ptCount val="2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6614397"/>
        <c:axId val="47376899"/>
      </c:lineChart>
      <c:catAx>
        <c:axId val="3661439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7376899"/>
        <c:crossesAt val="0"/>
        <c:auto val="1"/>
        <c:lblAlgn val="ctr"/>
        <c:lblOffset val="100"/>
        <c:noMultiLvlLbl val="0"/>
      </c:catAx>
      <c:valAx>
        <c:axId val="473768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Cash Flow Yield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6614397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areaChart>
        <c:grouping val="stacked"/>
        <c:ser>
          <c:idx val="0"/>
          <c:order val="0"/>
          <c:tx>
            <c:strRef>
              <c:f>'GNMA graph'!$B$2</c:f>
              <c:strCache>
                <c:ptCount val="1"/>
                <c:pt idx="0">
                  <c:v>Unscheduled Prepayment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'GNMA graph'!$B$3:$B$32</c:f>
              <c:numCache>
                <c:formatCode>\$#,##0</c:formatCode>
                <c:ptCount val="30"/>
                <c:pt idx="0">
                  <c:v>1240413.09818071</c:v>
                </c:pt>
                <c:pt idx="1">
                  <c:v>3651848.08831603</c:v>
                </c:pt>
                <c:pt idx="2">
                  <c:v>5580935.86111684</c:v>
                </c:pt>
                <c:pt idx="3">
                  <c:v>5443405.13330077</c:v>
                </c:pt>
                <c:pt idx="4">
                  <c:v>5069935.8491996</c:v>
                </c:pt>
                <c:pt idx="5">
                  <c:v>4717281.31295699</c:v>
                </c:pt>
                <c:pt idx="6">
                  <c:v>4384138.46378906</c:v>
                </c:pt>
                <c:pt idx="7">
                  <c:v>4069280.58257793</c:v>
                </c:pt>
                <c:pt idx="8">
                  <c:v>3771552.64874442</c:v>
                </c:pt>
                <c:pt idx="9">
                  <c:v>3489866.97357903</c:v>
                </c:pt>
                <c:pt idx="10">
                  <c:v>3223199.09337139</c:v>
                </c:pt>
                <c:pt idx="11">
                  <c:v>2970583.90667524</c:v>
                </c:pt>
                <c:pt idx="12">
                  <c:v>2731112.04098368</c:v>
                </c:pt>
                <c:pt idx="13">
                  <c:v>2503926.43496971</c:v>
                </c:pt>
                <c:pt idx="14">
                  <c:v>2288219.12327571</c:v>
                </c:pt>
                <c:pt idx="15">
                  <c:v>2083228.21161309</c:v>
                </c:pt>
                <c:pt idx="16">
                  <c:v>1888235.03066519</c:v>
                </c:pt>
                <c:pt idx="17">
                  <c:v>1702561.45797362</c:v>
                </c:pt>
                <c:pt idx="18">
                  <c:v>1525567.39763458</c:v>
                </c:pt>
                <c:pt idx="19">
                  <c:v>1356648.40823863</c:v>
                </c:pt>
                <c:pt idx="20">
                  <c:v>1195233.47005815</c:v>
                </c:pt>
                <c:pt idx="21">
                  <c:v>1040782.88302317</c:v>
                </c:pt>
                <c:pt idx="22">
                  <c:v>892786.287530014</c:v>
                </c:pt>
                <c:pt idx="23">
                  <c:v>750760.800601049</c:v>
                </c:pt>
                <c:pt idx="24">
                  <c:v>614249.260358798</c:v>
                </c:pt>
                <c:pt idx="25">
                  <c:v>482818.572196072</c:v>
                </c:pt>
                <c:pt idx="26">
                  <c:v>356058.150416708</c:v>
                </c:pt>
                <c:pt idx="27">
                  <c:v>233578.449490888</c:v>
                </c:pt>
                <c:pt idx="28">
                  <c:v>115009.57941599</c:v>
                </c:pt>
                <c:pt idx="29">
                  <c:v>0</c:v>
                </c:pt>
              </c:numCache>
            </c:numRef>
          </c:val>
        </c:ser>
        <c:ser>
          <c:idx val="1"/>
          <c:order val="1"/>
          <c:tx>
            <c:strRef>
              <c:f>'GNMA graph'!$C$2</c:f>
              <c:strCache>
                <c:ptCount val="1"/>
                <c:pt idx="0">
                  <c:v>Scheduled Payment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'GNMA graph'!$C$3:$C$32</c:f>
              <c:numCache>
                <c:formatCode>\$#,##0</c:formatCode>
                <c:ptCount val="30"/>
                <c:pt idx="0">
                  <c:v>632241.818273926</c:v>
                </c:pt>
                <c:pt idx="1">
                  <c:v>687120.408100102</c:v>
                </c:pt>
                <c:pt idx="2">
                  <c:v>728622.48074935</c:v>
                </c:pt>
                <c:pt idx="3">
                  <c:v>755399.356916888</c:v>
                </c:pt>
                <c:pt idx="4">
                  <c:v>781082.935052063</c:v>
                </c:pt>
                <c:pt idx="5">
                  <c:v>807639.754843833</c:v>
                </c:pt>
                <c:pt idx="6">
                  <c:v>835099.506508522</c:v>
                </c:pt>
                <c:pt idx="7">
                  <c:v>863492.889729812</c:v>
                </c:pt>
                <c:pt idx="8">
                  <c:v>892851.647980627</c:v>
                </c:pt>
                <c:pt idx="9">
                  <c:v>923208.604011968</c:v>
                </c:pt>
                <c:pt idx="10">
                  <c:v>954597.696548373</c:v>
                </c:pt>
                <c:pt idx="11">
                  <c:v>987054.018231018</c:v>
                </c:pt>
                <c:pt idx="12">
                  <c:v>1020613.85485087</c:v>
                </c:pt>
                <c:pt idx="13">
                  <c:v>1055314.7259158</c:v>
                </c:pt>
                <c:pt idx="14">
                  <c:v>1091195.42659694</c:v>
                </c:pt>
                <c:pt idx="15">
                  <c:v>1128296.07110124</c:v>
                </c:pt>
                <c:pt idx="16">
                  <c:v>1166658.13751868</c:v>
                </c:pt>
                <c:pt idx="17">
                  <c:v>1206324.51419431</c:v>
                </c:pt>
                <c:pt idx="18">
                  <c:v>1247339.54767692</c:v>
                </c:pt>
                <c:pt idx="19">
                  <c:v>1289749.09229794</c:v>
                </c:pt>
                <c:pt idx="20">
                  <c:v>1333600.56143607</c:v>
                </c:pt>
                <c:pt idx="21">
                  <c:v>1378942.98052489</c:v>
                </c:pt>
                <c:pt idx="22">
                  <c:v>1425827.04186274</c:v>
                </c:pt>
                <c:pt idx="23">
                  <c:v>1474305.16128607</c:v>
                </c:pt>
                <c:pt idx="24">
                  <c:v>1524431.5367698</c:v>
                </c:pt>
                <c:pt idx="25">
                  <c:v>1576262.20901997</c:v>
                </c:pt>
                <c:pt idx="26">
                  <c:v>1629855.12412665</c:v>
                </c:pt>
                <c:pt idx="27">
                  <c:v>1685270.19834696</c:v>
                </c:pt>
                <c:pt idx="28">
                  <c:v>1742569.38509075</c:v>
                </c:pt>
                <c:pt idx="29">
                  <c:v>1801816.74418384</c:v>
                </c:pt>
              </c:numCache>
            </c:numRef>
          </c:val>
        </c:ser>
        <c:ser>
          <c:idx val="2"/>
          <c:order val="2"/>
          <c:tx>
            <c:strRef>
              <c:f>'GNMA graph'!$D$2</c:f>
              <c:strCache>
                <c:ptCount val="1"/>
                <c:pt idx="0">
                  <c:v>Interest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'GNMA graph'!$D$3:$D$32</c:f>
              <c:numCache>
                <c:formatCode>\$#,##0</c:formatCode>
                <c:ptCount val="30"/>
                <c:pt idx="0">
                  <c:v>10400000</c:v>
                </c:pt>
                <c:pt idx="1">
                  <c:v>10212734.5083545</c:v>
                </c:pt>
                <c:pt idx="2">
                  <c:v>9778837.65871292</c:v>
                </c:pt>
                <c:pt idx="3">
                  <c:v>9147881.8245263</c:v>
                </c:pt>
                <c:pt idx="4">
                  <c:v>8528001.37550454</c:v>
                </c:pt>
                <c:pt idx="5">
                  <c:v>7942899.49707937</c:v>
                </c:pt>
                <c:pt idx="6">
                  <c:v>7390407.39029929</c:v>
                </c:pt>
                <c:pt idx="7">
                  <c:v>6868483.59326953</c:v>
                </c:pt>
                <c:pt idx="8">
                  <c:v>6375206.24603876</c:v>
                </c:pt>
                <c:pt idx="9">
                  <c:v>5908765.81636625</c:v>
                </c:pt>
                <c:pt idx="10">
                  <c:v>5467458.25860715</c:v>
                </c:pt>
                <c:pt idx="11">
                  <c:v>5049678.57961518</c:v>
                </c:pt>
                <c:pt idx="12">
                  <c:v>4653914.78712455</c:v>
                </c:pt>
                <c:pt idx="13">
                  <c:v>4278742.19754109</c:v>
                </c:pt>
                <c:pt idx="14">
                  <c:v>3922818.08145254</c:v>
                </c:pt>
                <c:pt idx="15">
                  <c:v>3584876.62646528</c:v>
                </c:pt>
                <c:pt idx="16">
                  <c:v>3263724.19819385</c:v>
                </c:pt>
                <c:pt idx="17">
                  <c:v>2958234.88137546</c:v>
                </c:pt>
                <c:pt idx="18">
                  <c:v>2667346.28415867</c:v>
                </c:pt>
                <c:pt idx="19">
                  <c:v>2390055.58962752</c:v>
                </c:pt>
                <c:pt idx="20">
                  <c:v>2125415.83957386</c:v>
                </c:pt>
                <c:pt idx="21">
                  <c:v>1872532.43642444</c:v>
                </c:pt>
                <c:pt idx="22">
                  <c:v>1630559.85006963</c:v>
                </c:pt>
                <c:pt idx="23">
                  <c:v>1398698.51713036</c:v>
                </c:pt>
                <c:pt idx="24">
                  <c:v>1176191.92094164</c:v>
                </c:pt>
                <c:pt idx="25">
                  <c:v>962323.841228783</c:v>
                </c:pt>
                <c:pt idx="26">
                  <c:v>756415.763107179</c:v>
                </c:pt>
                <c:pt idx="27">
                  <c:v>557824.435652843</c:v>
                </c:pt>
                <c:pt idx="28">
                  <c:v>365939.570869059</c:v>
                </c:pt>
                <c:pt idx="29">
                  <c:v>180181.674418384</c:v>
                </c:pt>
              </c:numCache>
            </c:numRef>
          </c:val>
        </c:ser>
        <c:ser>
          <c:idx val="3"/>
          <c:order val="3"/>
          <c:tx>
            <c:strRef>
              <c:f>'GNMA graph'!$E$2</c:f>
              <c:strCache>
                <c:ptCount val="1"/>
                <c:pt idx="0">
                  <c:v>Servicing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'GNMA graph'!$E$3:$E$32</c:f>
              <c:numCache>
                <c:formatCode>\$#,##0</c:formatCode>
                <c:ptCount val="30"/>
                <c:pt idx="0">
                  <c:v>520000</c:v>
                </c:pt>
                <c:pt idx="1">
                  <c:v>510636.725417727</c:v>
                </c:pt>
                <c:pt idx="2">
                  <c:v>488941.882935646</c:v>
                </c:pt>
                <c:pt idx="3">
                  <c:v>457394.091226315</c:v>
                </c:pt>
                <c:pt idx="4">
                  <c:v>426400.068775227</c:v>
                </c:pt>
                <c:pt idx="5">
                  <c:v>397144.974853969</c:v>
                </c:pt>
                <c:pt idx="6">
                  <c:v>369520.369514965</c:v>
                </c:pt>
                <c:pt idx="7">
                  <c:v>343424.179663477</c:v>
                </c:pt>
                <c:pt idx="8">
                  <c:v>318760.312301938</c:v>
                </c:pt>
                <c:pt idx="9">
                  <c:v>295438.290818313</c:v>
                </c:pt>
                <c:pt idx="10">
                  <c:v>273372.912930358</c:v>
                </c:pt>
                <c:pt idx="11">
                  <c:v>252483.928980759</c:v>
                </c:pt>
                <c:pt idx="12">
                  <c:v>232695.739356227</c:v>
                </c:pt>
                <c:pt idx="13">
                  <c:v>213937.109877055</c:v>
                </c:pt>
                <c:pt idx="14">
                  <c:v>196140.904072627</c:v>
                </c:pt>
                <c:pt idx="15">
                  <c:v>179243.831323264</c:v>
                </c:pt>
                <c:pt idx="16">
                  <c:v>163186.209909692</c:v>
                </c:pt>
                <c:pt idx="17">
                  <c:v>147911.744068773</c:v>
                </c:pt>
                <c:pt idx="18">
                  <c:v>133367.314207933</c:v>
                </c:pt>
                <c:pt idx="19">
                  <c:v>119502.779481376</c:v>
                </c:pt>
                <c:pt idx="20">
                  <c:v>106270.791978693</c:v>
                </c:pt>
                <c:pt idx="21">
                  <c:v>93626.6218212218</c:v>
                </c:pt>
                <c:pt idx="22">
                  <c:v>81527.9925034815</c:v>
                </c:pt>
                <c:pt idx="23">
                  <c:v>69934.9258565177</c:v>
                </c:pt>
                <c:pt idx="24">
                  <c:v>58809.5960470821</c:v>
                </c:pt>
                <c:pt idx="25">
                  <c:v>48116.1920614392</c:v>
                </c:pt>
                <c:pt idx="26">
                  <c:v>37820.788155359</c:v>
                </c:pt>
                <c:pt idx="27">
                  <c:v>27891.2217826422</c:v>
                </c:pt>
                <c:pt idx="28">
                  <c:v>18296.9785434529</c:v>
                </c:pt>
                <c:pt idx="29">
                  <c:v>9009.08372091921</c:v>
                </c:pt>
              </c:numCache>
            </c:numRef>
          </c:val>
        </c:ser>
        <c:axId val="48650282"/>
        <c:axId val="86517121"/>
      </c:areaChart>
      <c:catAx>
        <c:axId val="4865028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End of 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6517121"/>
        <c:crossesAt val="0"/>
        <c:auto val="1"/>
        <c:lblAlgn val="ctr"/>
        <c:lblOffset val="100"/>
        <c:noMultiLvlLbl val="0"/>
      </c:catAx>
      <c:valAx>
        <c:axId val="865171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8650282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areaChart>
        <c:grouping val="stacked"/>
        <c:ser>
          <c:idx val="0"/>
          <c:order val="0"/>
          <c:tx>
            <c:strRef>
              <c:f>'Total Coupon'!$K$3</c:f>
              <c:strCache>
                <c:ptCount val="1"/>
                <c:pt idx="0">
                  <c:v>WAC on Bonds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Coupon'!$J$4:$J$33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'Total Coupon'!$K$4:$K$33</c:f>
              <c:numCache>
                <c:formatCode>0.00%</c:formatCode>
                <c:ptCount val="30"/>
                <c:pt idx="0">
                  <c:v>0.0732221141563126</c:v>
                </c:pt>
                <c:pt idx="1">
                  <c:v>0.0733143130341142</c:v>
                </c:pt>
                <c:pt idx="2">
                  <c:v>0.0735192861907943</c:v>
                </c:pt>
                <c:pt idx="3">
                  <c:v>0.0738740262582279</c:v>
                </c:pt>
                <c:pt idx="4">
                  <c:v>0.0742611988146404</c:v>
                </c:pt>
                <c:pt idx="5">
                  <c:v>0.0744347810485104</c:v>
                </c:pt>
                <c:pt idx="6">
                  <c:v>0.0746708655947963</c:v>
                </c:pt>
                <c:pt idx="7">
                  <c:v>0.0750104944065767</c:v>
                </c:pt>
                <c:pt idx="8">
                  <c:v>0.0755408715186341</c:v>
                </c:pt>
                <c:pt idx="9">
                  <c:v>0.0764856831258574</c:v>
                </c:pt>
                <c:pt idx="10">
                  <c:v>0.0786438144523058</c:v>
                </c:pt>
                <c:pt idx="11">
                  <c:v>0.0883451820650542</c:v>
                </c:pt>
                <c:pt idx="12">
                  <c:v>0.09</c:v>
                </c:pt>
              </c:numCache>
            </c:numRef>
          </c:val>
        </c:ser>
        <c:ser>
          <c:idx val="1"/>
          <c:order val="1"/>
          <c:tx>
            <c:strRef>
              <c:f>'Total Coupon'!$L$3</c:f>
              <c:strCache>
                <c:ptCount val="1"/>
                <c:pt idx="0">
                  <c:v>Residual Coup. Diff.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Coupon'!$J$4:$J$33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'Total Coupon'!$L$4:$L$33</c:f>
              <c:numCache>
                <c:formatCode>0.00000000000000000%</c:formatCode>
                <c:ptCount val="30"/>
                <c:pt idx="0">
                  <c:v>0.0217778858436874</c:v>
                </c:pt>
                <c:pt idx="1">
                  <c:v>0.0216856869658858</c:v>
                </c:pt>
                <c:pt idx="2">
                  <c:v>0.0214807138092057</c:v>
                </c:pt>
                <c:pt idx="3">
                  <c:v>0.0211259737417721</c:v>
                </c:pt>
                <c:pt idx="4">
                  <c:v>0.0207388011853596</c:v>
                </c:pt>
                <c:pt idx="5">
                  <c:v>0.0205652189514896</c:v>
                </c:pt>
                <c:pt idx="6">
                  <c:v>0.0203291344052037</c:v>
                </c:pt>
                <c:pt idx="7">
                  <c:v>0.0199895055934233</c:v>
                </c:pt>
                <c:pt idx="8">
                  <c:v>0.0194591284813659</c:v>
                </c:pt>
                <c:pt idx="9">
                  <c:v>0.0185143168741427</c:v>
                </c:pt>
                <c:pt idx="10">
                  <c:v>0.0213561855476942</c:v>
                </c:pt>
                <c:pt idx="11">
                  <c:v>0.0116548179349459</c:v>
                </c:pt>
                <c:pt idx="12">
                  <c:v>0.01</c:v>
                </c:pt>
              </c:numCache>
            </c:numRef>
          </c:val>
        </c:ser>
        <c:ser>
          <c:idx val="2"/>
          <c:order val="2"/>
          <c:tx>
            <c:strRef>
              <c:f>'Total Coupon'!$M$3</c:f>
              <c:strCache>
                <c:ptCount val="1"/>
                <c:pt idx="0">
                  <c:v>Servicing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Coupon'!$J$4:$J$33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'Total Coupon'!$M$4:$M$33</c:f>
              <c:numCache>
                <c:formatCode>0%</c:formatCode>
                <c:ptCount val="30"/>
                <c:pt idx="0">
                  <c:v>0.005</c:v>
                </c:pt>
                <c:pt idx="1">
                  <c:v>0.005</c:v>
                </c:pt>
                <c:pt idx="2">
                  <c:v>0.005</c:v>
                </c:pt>
                <c:pt idx="3">
                  <c:v>0.005</c:v>
                </c:pt>
                <c:pt idx="4">
                  <c:v>0.005</c:v>
                </c:pt>
                <c:pt idx="5">
                  <c:v>0.005</c:v>
                </c:pt>
                <c:pt idx="6">
                  <c:v>0.005</c:v>
                </c:pt>
                <c:pt idx="7">
                  <c:v>0.005</c:v>
                </c:pt>
                <c:pt idx="8">
                  <c:v>0.005</c:v>
                </c:pt>
                <c:pt idx="9">
                  <c:v>0.005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axId val="72937048"/>
        <c:axId val="97236920"/>
      </c:areaChart>
      <c:catAx>
        <c:axId val="7293704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End of 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7236920"/>
        <c:crossesAt val="0"/>
        <c:auto val="1"/>
        <c:lblAlgn val="ctr"/>
        <c:lblOffset val="100"/>
        <c:noMultiLvlLbl val="0"/>
      </c:catAx>
      <c:valAx>
        <c:axId val="97236920"/>
        <c:scaling>
          <c:orientation val="minMax"/>
          <c:max val="0.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Coupon 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2937048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IOPO!$H$3</c:f>
              <c:strCache>
                <c:ptCount val="1"/>
                <c:pt idx="0">
                  <c:v>PO</c:v>
                </c:pt>
              </c:strCache>
            </c:strRef>
          </c:tx>
          <c:spPr>
            <a:solidFill>
              <a:srgbClr val="3366ff"/>
            </a:solidFill>
            <a:ln w="37800">
              <a:solidFill>
                <a:srgbClr val="3366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IOPO!$A$5:$A$34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IOPO!$H$5:$H$34</c:f>
              <c:numCache>
                <c:formatCode>#,##0</c:formatCode>
                <c:ptCount val="30"/>
                <c:pt idx="0">
                  <c:v>1872654.91645464</c:v>
                </c:pt>
                <c:pt idx="1">
                  <c:v>4338968.49641613</c:v>
                </c:pt>
                <c:pt idx="2">
                  <c:v>6309558.34186619</c:v>
                </c:pt>
                <c:pt idx="3">
                  <c:v>6198804.49021766</c:v>
                </c:pt>
                <c:pt idx="4">
                  <c:v>5851018.78425166</c:v>
                </c:pt>
                <c:pt idx="5">
                  <c:v>5524921.06780083</c:v>
                </c:pt>
                <c:pt idx="6">
                  <c:v>5219237.97029758</c:v>
                </c:pt>
                <c:pt idx="7">
                  <c:v>4932773.47230774</c:v>
                </c:pt>
                <c:pt idx="8">
                  <c:v>4664404.29672504</c:v>
                </c:pt>
                <c:pt idx="9">
                  <c:v>4413075.577591</c:v>
                </c:pt>
                <c:pt idx="10">
                  <c:v>4177796.78991976</c:v>
                </c:pt>
                <c:pt idx="11">
                  <c:v>3957637.92490626</c:v>
                </c:pt>
                <c:pt idx="12">
                  <c:v>3751725.89583455</c:v>
                </c:pt>
                <c:pt idx="13">
                  <c:v>3559241.16088551</c:v>
                </c:pt>
                <c:pt idx="14">
                  <c:v>3379414.54987265</c:v>
                </c:pt>
                <c:pt idx="15">
                  <c:v>3211524.28271433</c:v>
                </c:pt>
                <c:pt idx="16">
                  <c:v>3054893.16818387</c:v>
                </c:pt>
                <c:pt idx="17">
                  <c:v>2908885.97216793</c:v>
                </c:pt>
                <c:pt idx="18">
                  <c:v>2772906.94531151</c:v>
                </c:pt>
                <c:pt idx="19">
                  <c:v>2646397.50053657</c:v>
                </c:pt>
                <c:pt idx="20">
                  <c:v>2528834.03149422</c:v>
                </c:pt>
                <c:pt idx="21">
                  <c:v>2419725.86354806</c:v>
                </c:pt>
                <c:pt idx="22">
                  <c:v>2318613.32939275</c:v>
                </c:pt>
                <c:pt idx="23">
                  <c:v>2225065.96188712</c:v>
                </c:pt>
                <c:pt idx="24">
                  <c:v>2138680.7971286</c:v>
                </c:pt>
                <c:pt idx="25">
                  <c:v>2059080.78121604</c:v>
                </c:pt>
                <c:pt idx="26">
                  <c:v>1985913.27454336</c:v>
                </c:pt>
                <c:pt idx="27">
                  <c:v>1918848.64783785</c:v>
                </c:pt>
                <c:pt idx="28">
                  <c:v>1857578.96450674</c:v>
                </c:pt>
                <c:pt idx="29">
                  <c:v>1801816.74418384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IOPO!$I$3</c:f>
              <c:strCache>
                <c:ptCount val="1"/>
                <c:pt idx="0">
                  <c:v>IO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IOPO!$A$5:$A$34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IOPO!$I$5:$I$34</c:f>
              <c:numCache>
                <c:formatCode>#,##0</c:formatCode>
                <c:ptCount val="30"/>
                <c:pt idx="0">
                  <c:v>9880000</c:v>
                </c:pt>
                <c:pt idx="1">
                  <c:v>9702097.78293681</c:v>
                </c:pt>
                <c:pt idx="2">
                  <c:v>9289895.77577728</c:v>
                </c:pt>
                <c:pt idx="3">
                  <c:v>8690487.73329999</c:v>
                </c:pt>
                <c:pt idx="4">
                  <c:v>8101601.30672931</c:v>
                </c:pt>
                <c:pt idx="5">
                  <c:v>7545754.5222254</c:v>
                </c:pt>
                <c:pt idx="6">
                  <c:v>7020887.02078433</c:v>
                </c:pt>
                <c:pt idx="7">
                  <c:v>6525059.41360606</c:v>
                </c:pt>
                <c:pt idx="8">
                  <c:v>6056445.93373682</c:v>
                </c:pt>
                <c:pt idx="9">
                  <c:v>5613327.52554794</c:v>
                </c:pt>
                <c:pt idx="10">
                  <c:v>5194085.3456768</c:v>
                </c:pt>
                <c:pt idx="11">
                  <c:v>4797194.65063442</c:v>
                </c:pt>
                <c:pt idx="12">
                  <c:v>4421219.04776832</c:v>
                </c:pt>
                <c:pt idx="13">
                  <c:v>4064805.08766404</c:v>
                </c:pt>
                <c:pt idx="14">
                  <c:v>3726677.17737992</c:v>
                </c:pt>
                <c:pt idx="15">
                  <c:v>3405632.79514201</c:v>
                </c:pt>
                <c:pt idx="16">
                  <c:v>3100537.98828415</c:v>
                </c:pt>
                <c:pt idx="17">
                  <c:v>2810323.13730669</c:v>
                </c:pt>
                <c:pt idx="18">
                  <c:v>2533978.96995073</c:v>
                </c:pt>
                <c:pt idx="19">
                  <c:v>2270552.81014614</c:v>
                </c:pt>
                <c:pt idx="20">
                  <c:v>2019145.04759517</c:v>
                </c:pt>
                <c:pt idx="21">
                  <c:v>1778905.81460321</c:v>
                </c:pt>
                <c:pt idx="22">
                  <c:v>1549031.85756615</c:v>
                </c:pt>
                <c:pt idx="23">
                  <c:v>1328763.59127384</c:v>
                </c:pt>
                <c:pt idx="24">
                  <c:v>1117382.32489456</c:v>
                </c:pt>
                <c:pt idx="25">
                  <c:v>914207.649167344</c:v>
                </c:pt>
                <c:pt idx="26">
                  <c:v>718594.97495182</c:v>
                </c:pt>
                <c:pt idx="27">
                  <c:v>529933.213870201</c:v>
                </c:pt>
                <c:pt idx="28">
                  <c:v>347642.592325606</c:v>
                </c:pt>
                <c:pt idx="29">
                  <c:v>171172.590697465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9416266"/>
        <c:axId val="13767956"/>
      </c:lineChart>
      <c:catAx>
        <c:axId val="6941626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7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End of 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3767956"/>
        <c:crossesAt val="0"/>
        <c:auto val="1"/>
        <c:lblAlgn val="ctr"/>
        <c:lblOffset val="100"/>
        <c:noMultiLvlLbl val="0"/>
      </c:catAx>
      <c:valAx>
        <c:axId val="137679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7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Cash Flow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9416266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7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IOPO!$C$4</c:f>
              <c:strCache>
                <c:ptCount val="1"/>
                <c:pt idx="0">
                  <c:v>Floater</c:v>
                </c:pt>
              </c:strCache>
            </c:strRef>
          </c:tx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IOPO!$C$5:$C$34</c:f>
              <c:numCache>
                <c:formatCode>\$#,##0_);"($"#,##0\)</c:formatCode>
                <c:ptCount val="30"/>
                <c:pt idx="0">
                  <c:v>5200000</c:v>
                </c:pt>
                <c:pt idx="1">
                  <c:v>5149452.37515917</c:v>
                </c:pt>
                <c:pt idx="2">
                  <c:v>4975642.85143445</c:v>
                </c:pt>
                <c:pt idx="3">
                  <c:v>4704115.6083396</c:v>
                </c:pt>
                <c:pt idx="4">
                  <c:v>4466550.42053576</c:v>
                </c:pt>
                <c:pt idx="5">
                  <c:v>4230330.0656113</c:v>
                </c:pt>
                <c:pt idx="6">
                  <c:v>3971720.46161059</c:v>
                </c:pt>
                <c:pt idx="7">
                  <c:v>3748986.8246223</c:v>
                </c:pt>
                <c:pt idx="8">
                  <c:v>3517292.89109684</c:v>
                </c:pt>
                <c:pt idx="9">
                  <c:v>3296752.12775527</c:v>
                </c:pt>
                <c:pt idx="10">
                  <c:v>3102537.91243324</c:v>
                </c:pt>
                <c:pt idx="11">
                  <c:v>2895468.61543704</c:v>
                </c:pt>
                <c:pt idx="12">
                  <c:v>2678989.44796426</c:v>
                </c:pt>
                <c:pt idx="13">
                  <c:v>2485922.90077534</c:v>
                </c:pt>
                <c:pt idx="14">
                  <c:v>2284210.48369192</c:v>
                </c:pt>
                <c:pt idx="15">
                  <c:v>2099756.65237042</c:v>
                </c:pt>
                <c:pt idx="16">
                  <c:v>1939521.11584373</c:v>
                </c:pt>
                <c:pt idx="17">
                  <c:v>1765470.90136755</c:v>
                </c:pt>
                <c:pt idx="18">
                  <c:v>1602384.26536454</c:v>
                </c:pt>
                <c:pt idx="19">
                  <c:v>1456945.60101975</c:v>
                </c:pt>
                <c:pt idx="20">
                  <c:v>1303522.78969</c:v>
                </c:pt>
                <c:pt idx="21">
                  <c:v>1161096.4294071</c:v>
                </c:pt>
                <c:pt idx="22">
                  <c:v>1012757.8134398</c:v>
                </c:pt>
                <c:pt idx="23">
                  <c:v>876632.342045102</c:v>
                </c:pt>
                <c:pt idx="24">
                  <c:v>742008.85342042</c:v>
                </c:pt>
                <c:pt idx="25">
                  <c:v>607312.591051981</c:v>
                </c:pt>
                <c:pt idx="26">
                  <c:v>482780.129125324</c:v>
                </c:pt>
                <c:pt idx="27">
                  <c:v>358925.757864937</c:v>
                </c:pt>
                <c:pt idx="28">
                  <c:v>238404.123363385</c:v>
                </c:pt>
                <c:pt idx="29">
                  <c:v>118396.1537962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IOPO!$E$4</c:f>
              <c:strCache>
                <c:ptCount val="1"/>
                <c:pt idx="0">
                  <c:v>Inverse Floater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IOPO!$E$5:$E$34</c:f>
              <c:numCache>
                <c:formatCode>\$#,##0_);"($"#,##0\)</c:formatCode>
                <c:ptCount val="30"/>
                <c:pt idx="0">
                  <c:v>4680000</c:v>
                </c:pt>
                <c:pt idx="1">
                  <c:v>4552645.40777764</c:v>
                </c:pt>
                <c:pt idx="2">
                  <c:v>4314252.92434283</c:v>
                </c:pt>
                <c:pt idx="3">
                  <c:v>3986372.12496039</c:v>
                </c:pt>
                <c:pt idx="4">
                  <c:v>3635050.88619355</c:v>
                </c:pt>
                <c:pt idx="5">
                  <c:v>3315424.4566141</c:v>
                </c:pt>
                <c:pt idx="6">
                  <c:v>3049166.55917374</c:v>
                </c:pt>
                <c:pt idx="7">
                  <c:v>2776072.58898376</c:v>
                </c:pt>
                <c:pt idx="8">
                  <c:v>2539153.04263998</c:v>
                </c:pt>
                <c:pt idx="9">
                  <c:v>2316575.39779267</c:v>
                </c:pt>
                <c:pt idx="10">
                  <c:v>2091547.43324356</c:v>
                </c:pt>
                <c:pt idx="11">
                  <c:v>1901726.03519737</c:v>
                </c:pt>
                <c:pt idx="12">
                  <c:v>1742229.59980406</c:v>
                </c:pt>
                <c:pt idx="13">
                  <c:v>1578882.1868887</c:v>
                </c:pt>
                <c:pt idx="14">
                  <c:v>1442466.69368799</c:v>
                </c:pt>
                <c:pt idx="15">
                  <c:v>1305876.1427716</c:v>
                </c:pt>
                <c:pt idx="16">
                  <c:v>1161016.87244042</c:v>
                </c:pt>
                <c:pt idx="17">
                  <c:v>1044852.23593914</c:v>
                </c:pt>
                <c:pt idx="18">
                  <c:v>931594.704586191</c:v>
                </c:pt>
                <c:pt idx="19">
                  <c:v>813607.209126391</c:v>
                </c:pt>
                <c:pt idx="20">
                  <c:v>715622.257905163</c:v>
                </c:pt>
                <c:pt idx="21">
                  <c:v>617809.385196112</c:v>
                </c:pt>
                <c:pt idx="22">
                  <c:v>536274.044126354</c:v>
                </c:pt>
                <c:pt idx="23">
                  <c:v>452131.249228735</c:v>
                </c:pt>
                <c:pt idx="24">
                  <c:v>375373.471474141</c:v>
                </c:pt>
                <c:pt idx="25">
                  <c:v>306895.058115363</c:v>
                </c:pt>
                <c:pt idx="26">
                  <c:v>235814.845826498</c:v>
                </c:pt>
                <c:pt idx="27">
                  <c:v>171007.456005264</c:v>
                </c:pt>
                <c:pt idx="28">
                  <c:v>109238.468962221</c:v>
                </c:pt>
                <c:pt idx="29">
                  <c:v>52776.4369012662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695750"/>
        <c:axId val="39376772"/>
      </c:lineChart>
      <c:catAx>
        <c:axId val="269575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5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End of 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9376772"/>
        <c:crossesAt val="0"/>
        <c:auto val="1"/>
        <c:lblAlgn val="ctr"/>
        <c:lblOffset val="100"/>
        <c:noMultiLvlLbl val="0"/>
      </c:catAx>
      <c:valAx>
        <c:axId val="393767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_);&quot;($&quot;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695750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5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25" strike="noStrike" u="none">
                <a:solidFill>
                  <a:srgbClr val="000000"/>
                </a:solidFill>
                <a:uFillTx/>
                <a:latin typeface="Times New Roman"/>
              </a:rPr>
              <a:t>Simulated LIBOR Index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IOPO!$B$4</c:f>
              <c:strCache>
                <c:ptCount val="1"/>
                <c:pt idx="0">
                  <c:v>LIBOR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square"/>
            <c:size val="8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IOPO!$A$5:$A$34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IOPO!$B$5:$B$34</c:f>
              <c:numCache>
                <c:formatCode>General</c:formatCode>
                <c:ptCount val="30"/>
                <c:pt idx="0">
                  <c:v>0.05</c:v>
                </c:pt>
                <c:pt idx="1">
                  <c:v>0.05042187644207</c:v>
                </c:pt>
                <c:pt idx="2">
                  <c:v>0.0508817410114296</c:v>
                </c:pt>
                <c:pt idx="3">
                  <c:v>0.0514230036917119</c:v>
                </c:pt>
                <c:pt idx="4">
                  <c:v>0.0523751137442975</c:v>
                </c:pt>
                <c:pt idx="5">
                  <c:v>0.0532592671878425</c:v>
                </c:pt>
                <c:pt idx="6">
                  <c:v>0.0537415632435081</c:v>
                </c:pt>
                <c:pt idx="7">
                  <c:v>0.0545824529346762</c:v>
                </c:pt>
                <c:pt idx="8">
                  <c:v>0.0551714368971563</c:v>
                </c:pt>
                <c:pt idx="9">
                  <c:v>0.0557942594141038</c:v>
                </c:pt>
                <c:pt idx="10">
                  <c:v>0.0567455253553891</c:v>
                </c:pt>
                <c:pt idx="11">
                  <c:v>0.0573396617187801</c:v>
                </c:pt>
                <c:pt idx="12">
                  <c:v>0.0575642135815617</c:v>
                </c:pt>
                <c:pt idx="13">
                  <c:v>0.0580993849595321</c:v>
                </c:pt>
                <c:pt idx="14">
                  <c:v>0.0582288150065354</c:v>
                </c:pt>
                <c:pt idx="15">
                  <c:v>0.0585726336261897</c:v>
                </c:pt>
                <c:pt idx="16">
                  <c:v>0.0594266242508197</c:v>
                </c:pt>
                <c:pt idx="17">
                  <c:v>0.0596798757422086</c:v>
                </c:pt>
                <c:pt idx="18">
                  <c:v>0.0600740996728127</c:v>
                </c:pt>
                <c:pt idx="19">
                  <c:v>0.0609586491353036</c:v>
                </c:pt>
                <c:pt idx="20">
                  <c:v>0.0613302472588779</c:v>
                </c:pt>
                <c:pt idx="21">
                  <c:v>0.0620067458817533</c:v>
                </c:pt>
                <c:pt idx="22">
                  <c:v>0.0621110481407074</c:v>
                </c:pt>
                <c:pt idx="23">
                  <c:v>0.0626748603297048</c:v>
                </c:pt>
                <c:pt idx="24">
                  <c:v>0.0630856954727574</c:v>
                </c:pt>
                <c:pt idx="25">
                  <c:v>0.0631089623921724</c:v>
                </c:pt>
                <c:pt idx="26">
                  <c:v>0.0638247049667732</c:v>
                </c:pt>
                <c:pt idx="27">
                  <c:v>0.0643438571214386</c:v>
                </c:pt>
                <c:pt idx="28">
                  <c:v>0.0651484950909262</c:v>
                </c:pt>
                <c:pt idx="29">
                  <c:v>0.0657093204280485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441208"/>
        <c:axId val="94961722"/>
      </c:lineChart>
      <c:catAx>
        <c:axId val="4744120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2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Years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5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4961722"/>
        <c:crossesAt val="0"/>
        <c:auto val="1"/>
        <c:lblAlgn val="ctr"/>
        <c:lblOffset val="100"/>
        <c:noMultiLvlLbl val="0"/>
      </c:catAx>
      <c:valAx>
        <c:axId val="949617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5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7441208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525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9720</xdr:colOff>
      <xdr:row>0</xdr:row>
      <xdr:rowOff>9360</xdr:rowOff>
    </xdr:from>
    <xdr:to>
      <xdr:col>15</xdr:col>
      <xdr:colOff>10440</xdr:colOff>
      <xdr:row>24</xdr:row>
      <xdr:rowOff>28440</xdr:rowOff>
    </xdr:to>
    <xdr:graphicFrame>
      <xdr:nvGraphicFramePr>
        <xdr:cNvPr id="0" name="Chart 1"/>
        <xdr:cNvGraphicFramePr/>
      </xdr:nvGraphicFramePr>
      <xdr:xfrm>
        <a:off x="3200760" y="9360"/>
        <a:ext cx="638244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39600</xdr:colOff>
      <xdr:row>26</xdr:row>
      <xdr:rowOff>18720</xdr:rowOff>
    </xdr:from>
    <xdr:to>
      <xdr:col>14</xdr:col>
      <xdr:colOff>618840</xdr:colOff>
      <xdr:row>49</xdr:row>
      <xdr:rowOff>152280</xdr:rowOff>
    </xdr:to>
    <xdr:graphicFrame>
      <xdr:nvGraphicFramePr>
        <xdr:cNvPr id="1" name="Chart 2"/>
        <xdr:cNvGraphicFramePr/>
      </xdr:nvGraphicFramePr>
      <xdr:xfrm>
        <a:off x="3230640" y="4228920"/>
        <a:ext cx="6322680" cy="3857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19800</xdr:colOff>
      <xdr:row>52</xdr:row>
      <xdr:rowOff>19080</xdr:rowOff>
    </xdr:from>
    <xdr:to>
      <xdr:col>15</xdr:col>
      <xdr:colOff>360</xdr:colOff>
      <xdr:row>76</xdr:row>
      <xdr:rowOff>9720</xdr:rowOff>
    </xdr:to>
    <xdr:graphicFrame>
      <xdr:nvGraphicFramePr>
        <xdr:cNvPr id="2" name="Chart 3"/>
        <xdr:cNvGraphicFramePr/>
      </xdr:nvGraphicFramePr>
      <xdr:xfrm>
        <a:off x="3210840" y="8439120"/>
        <a:ext cx="6362280" cy="387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28</xdr:col>
      <xdr:colOff>20160</xdr:colOff>
      <xdr:row>2</xdr:row>
      <xdr:rowOff>28440</xdr:rowOff>
    </xdr:from>
    <xdr:to>
      <xdr:col>38</xdr:col>
      <xdr:colOff>20880</xdr:colOff>
      <xdr:row>24</xdr:row>
      <xdr:rowOff>162000</xdr:rowOff>
    </xdr:to>
    <xdr:graphicFrame>
      <xdr:nvGraphicFramePr>
        <xdr:cNvPr id="3" name="Chart 1"/>
        <xdr:cNvGraphicFramePr/>
      </xdr:nvGraphicFramePr>
      <xdr:xfrm>
        <a:off x="18847800" y="352440"/>
        <a:ext cx="6382440" cy="3695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10080</xdr:colOff>
      <xdr:row>1</xdr:row>
      <xdr:rowOff>28440</xdr:rowOff>
    </xdr:from>
    <xdr:to>
      <xdr:col>17</xdr:col>
      <xdr:colOff>628920</xdr:colOff>
      <xdr:row>24</xdr:row>
      <xdr:rowOff>28440</xdr:rowOff>
    </xdr:to>
    <xdr:graphicFrame>
      <xdr:nvGraphicFramePr>
        <xdr:cNvPr id="4" name="Chart 2"/>
        <xdr:cNvGraphicFramePr/>
      </xdr:nvGraphicFramePr>
      <xdr:xfrm>
        <a:off x="5536440" y="190440"/>
        <a:ext cx="7000560" cy="3724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21</xdr:col>
      <xdr:colOff>39600</xdr:colOff>
      <xdr:row>2</xdr:row>
      <xdr:rowOff>9360</xdr:rowOff>
    </xdr:from>
    <xdr:to>
      <xdr:col>31</xdr:col>
      <xdr:colOff>628560</xdr:colOff>
      <xdr:row>24</xdr:row>
      <xdr:rowOff>152280</xdr:rowOff>
    </xdr:to>
    <xdr:graphicFrame>
      <xdr:nvGraphicFramePr>
        <xdr:cNvPr id="5" name="Chart 4"/>
        <xdr:cNvGraphicFramePr/>
      </xdr:nvGraphicFramePr>
      <xdr:xfrm>
        <a:off x="15653160" y="333360"/>
        <a:ext cx="6970680" cy="3705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0</xdr:colOff>
      <xdr:row>0</xdr:row>
      <xdr:rowOff>9360</xdr:rowOff>
    </xdr:from>
    <xdr:to>
      <xdr:col>23</xdr:col>
      <xdr:colOff>360</xdr:colOff>
      <xdr:row>23</xdr:row>
      <xdr:rowOff>9720</xdr:rowOff>
    </xdr:to>
    <xdr:graphicFrame>
      <xdr:nvGraphicFramePr>
        <xdr:cNvPr id="6" name="Chart 1"/>
        <xdr:cNvGraphicFramePr/>
      </xdr:nvGraphicFramePr>
      <xdr:xfrm>
        <a:off x="10328400" y="9360"/>
        <a:ext cx="6382080" cy="372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20160</xdr:colOff>
      <xdr:row>37</xdr:row>
      <xdr:rowOff>9720</xdr:rowOff>
    </xdr:from>
    <xdr:to>
      <xdr:col>7</xdr:col>
      <xdr:colOff>856080</xdr:colOff>
      <xdr:row>59</xdr:row>
      <xdr:rowOff>18720</xdr:rowOff>
    </xdr:to>
    <xdr:graphicFrame>
      <xdr:nvGraphicFramePr>
        <xdr:cNvPr id="7" name="Chart 2"/>
        <xdr:cNvGraphicFramePr/>
      </xdr:nvGraphicFramePr>
      <xdr:xfrm>
        <a:off x="658440" y="6000840"/>
        <a:ext cx="6222600" cy="357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10440</xdr:colOff>
      <xdr:row>61</xdr:row>
      <xdr:rowOff>19080</xdr:rowOff>
    </xdr:from>
    <xdr:to>
      <xdr:col>8</xdr:col>
      <xdr:colOff>720</xdr:colOff>
      <xdr:row>79</xdr:row>
      <xdr:rowOff>9360</xdr:rowOff>
    </xdr:to>
    <xdr:graphicFrame>
      <xdr:nvGraphicFramePr>
        <xdr:cNvPr id="8" name="Chart 3"/>
        <xdr:cNvGraphicFramePr/>
      </xdr:nvGraphicFramePr>
      <xdr:xfrm>
        <a:off x="648720" y="9896400"/>
        <a:ext cx="6242400" cy="290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30</xdr:col>
      <xdr:colOff>10080</xdr:colOff>
      <xdr:row>0</xdr:row>
      <xdr:rowOff>19080</xdr:rowOff>
    </xdr:from>
    <xdr:to>
      <xdr:col>41</xdr:col>
      <xdr:colOff>720</xdr:colOff>
      <xdr:row>24</xdr:row>
      <xdr:rowOff>19080</xdr:rowOff>
    </xdr:to>
    <xdr:graphicFrame>
      <xdr:nvGraphicFramePr>
        <xdr:cNvPr id="9" name="Chart 3"/>
        <xdr:cNvGraphicFramePr/>
      </xdr:nvGraphicFramePr>
      <xdr:xfrm>
        <a:off x="24670800" y="19080"/>
        <a:ext cx="7010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3</xdr:row>
      <xdr:rowOff>19080</xdr:rowOff>
    </xdr:from>
    <xdr:to>
      <xdr:col>17</xdr:col>
      <xdr:colOff>628920</xdr:colOff>
      <xdr:row>25</xdr:row>
      <xdr:rowOff>152280</xdr:rowOff>
    </xdr:to>
    <xdr:graphicFrame>
      <xdr:nvGraphicFramePr>
        <xdr:cNvPr id="10" name="Chart 1"/>
        <xdr:cNvGraphicFramePr/>
      </xdr:nvGraphicFramePr>
      <xdr:xfrm>
        <a:off x="5949000" y="504720"/>
        <a:ext cx="6362640" cy="3695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19800</xdr:colOff>
      <xdr:row>1</xdr:row>
      <xdr:rowOff>19080</xdr:rowOff>
    </xdr:from>
    <xdr:to>
      <xdr:col>17</xdr:col>
      <xdr:colOff>720</xdr:colOff>
      <xdr:row>24</xdr:row>
      <xdr:rowOff>9360</xdr:rowOff>
    </xdr:to>
    <xdr:graphicFrame>
      <xdr:nvGraphicFramePr>
        <xdr:cNvPr id="11" name="Chart 1"/>
        <xdr:cNvGraphicFramePr/>
      </xdr:nvGraphicFramePr>
      <xdr:xfrm>
        <a:off x="5073840" y="181080"/>
        <a:ext cx="6362640" cy="3714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</row>
    <row r="2" customFormat="false" ht="12.75" hidden="false" customHeight="false" outlineLevel="0" collapsed="false">
      <c r="A2" s="2" t="n">
        <v>0</v>
      </c>
      <c r="B2" s="3" t="n">
        <v>0</v>
      </c>
      <c r="C2" s="4" t="n">
        <f aca="false">B2*2</f>
        <v>0</v>
      </c>
      <c r="D2" s="4" t="n">
        <f aca="false">B2*5</f>
        <v>0</v>
      </c>
    </row>
    <row r="3" customFormat="false" ht="12.75" hidden="false" customHeight="false" outlineLevel="0" collapsed="false">
      <c r="A3" s="2" t="n">
        <f aca="false">A2+1</f>
        <v>1</v>
      </c>
      <c r="B3" s="3" t="n">
        <f aca="false">MINA(0.06,+B2+0.002)</f>
        <v>0.002</v>
      </c>
      <c r="C3" s="4" t="n">
        <f aca="false">B3*2</f>
        <v>0.004</v>
      </c>
      <c r="D3" s="4" t="n">
        <f aca="false">B3*5</f>
        <v>0.01</v>
      </c>
    </row>
    <row r="4" customFormat="false" ht="12.75" hidden="false" customHeight="false" outlineLevel="0" collapsed="false">
      <c r="A4" s="2" t="n">
        <f aca="false">A3+1</f>
        <v>2</v>
      </c>
      <c r="B4" s="3" t="n">
        <f aca="false">MINA(0.06,+B3+0.002)</f>
        <v>0.004</v>
      </c>
      <c r="C4" s="4" t="n">
        <f aca="false">B4*2</f>
        <v>0.008</v>
      </c>
      <c r="D4" s="4" t="n">
        <f aca="false">B4*5</f>
        <v>0.02</v>
      </c>
    </row>
    <row r="5" customFormat="false" ht="12.75" hidden="false" customHeight="false" outlineLevel="0" collapsed="false">
      <c r="A5" s="2" t="n">
        <f aca="false">A4+1</f>
        <v>3</v>
      </c>
      <c r="B5" s="3" t="n">
        <f aca="false">MINA(0.06,+B4+0.002)</f>
        <v>0.006</v>
      </c>
      <c r="C5" s="4" t="n">
        <f aca="false">B5*2</f>
        <v>0.012</v>
      </c>
      <c r="D5" s="4" t="n">
        <f aca="false">B5*5</f>
        <v>0.03</v>
      </c>
    </row>
    <row r="6" customFormat="false" ht="12.75" hidden="false" customHeight="false" outlineLevel="0" collapsed="false">
      <c r="A6" s="2" t="n">
        <f aca="false">A5+1</f>
        <v>4</v>
      </c>
      <c r="B6" s="3" t="n">
        <f aca="false">MINA(0.06,+B5+0.002)</f>
        <v>0.008</v>
      </c>
      <c r="C6" s="4" t="n">
        <f aca="false">B6*2</f>
        <v>0.016</v>
      </c>
      <c r="D6" s="4" t="n">
        <f aca="false">B6*5</f>
        <v>0.04</v>
      </c>
    </row>
    <row r="7" customFormat="false" ht="12.75" hidden="false" customHeight="false" outlineLevel="0" collapsed="false">
      <c r="A7" s="2" t="n">
        <f aca="false">A6+1</f>
        <v>5</v>
      </c>
      <c r="B7" s="3" t="n">
        <f aca="false">MINA(0.06,+B6+0.002)</f>
        <v>0.01</v>
      </c>
      <c r="C7" s="4" t="n">
        <f aca="false">B7*2</f>
        <v>0.02</v>
      </c>
      <c r="D7" s="4" t="n">
        <f aca="false">B7*5</f>
        <v>0.05</v>
      </c>
    </row>
    <row r="8" customFormat="false" ht="12.75" hidden="false" customHeight="false" outlineLevel="0" collapsed="false">
      <c r="A8" s="2" t="n">
        <f aca="false">A7+1</f>
        <v>6</v>
      </c>
      <c r="B8" s="3" t="n">
        <f aca="false">MINA(0.06,+B7+0.002)</f>
        <v>0.012</v>
      </c>
      <c r="C8" s="4" t="n">
        <f aca="false">B8*2</f>
        <v>0.024</v>
      </c>
      <c r="D8" s="4" t="n">
        <f aca="false">B8*5</f>
        <v>0.06</v>
      </c>
    </row>
    <row r="9" customFormat="false" ht="12.75" hidden="false" customHeight="false" outlineLevel="0" collapsed="false">
      <c r="A9" s="2" t="n">
        <f aca="false">A8+1</f>
        <v>7</v>
      </c>
      <c r="B9" s="3" t="n">
        <f aca="false">MINA(0.06,+B8+0.002)</f>
        <v>0.014</v>
      </c>
      <c r="C9" s="4" t="n">
        <f aca="false">B9*2</f>
        <v>0.028</v>
      </c>
      <c r="D9" s="4" t="n">
        <f aca="false">B9*5</f>
        <v>0.07</v>
      </c>
    </row>
    <row r="10" customFormat="false" ht="12.75" hidden="false" customHeight="false" outlineLevel="0" collapsed="false">
      <c r="A10" s="2" t="n">
        <f aca="false">A9+1</f>
        <v>8</v>
      </c>
      <c r="B10" s="3" t="n">
        <f aca="false">MINA(0.06,+B9+0.002)</f>
        <v>0.016</v>
      </c>
      <c r="C10" s="4" t="n">
        <f aca="false">B10*2</f>
        <v>0.032</v>
      </c>
      <c r="D10" s="4" t="n">
        <f aca="false">B10*5</f>
        <v>0.08</v>
      </c>
    </row>
    <row r="11" customFormat="false" ht="12.75" hidden="false" customHeight="false" outlineLevel="0" collapsed="false">
      <c r="A11" s="2" t="n">
        <f aca="false">A10+1</f>
        <v>9</v>
      </c>
      <c r="B11" s="3" t="n">
        <f aca="false">MINA(0.06,+B10+0.002)</f>
        <v>0.018</v>
      </c>
      <c r="C11" s="4" t="n">
        <f aca="false">B11*2</f>
        <v>0.036</v>
      </c>
      <c r="D11" s="4" t="n">
        <f aca="false">B11*5</f>
        <v>0.09</v>
      </c>
    </row>
    <row r="12" customFormat="false" ht="12.75" hidden="false" customHeight="false" outlineLevel="0" collapsed="false">
      <c r="A12" s="2" t="n">
        <f aca="false">A11+1</f>
        <v>10</v>
      </c>
      <c r="B12" s="3" t="n">
        <f aca="false">MINA(0.06,+B11+0.002)</f>
        <v>0.02</v>
      </c>
      <c r="C12" s="4" t="n">
        <f aca="false">B12*2</f>
        <v>0.04</v>
      </c>
      <c r="D12" s="4" t="n">
        <f aca="false">B12*5</f>
        <v>0.1</v>
      </c>
    </row>
    <row r="13" customFormat="false" ht="12.75" hidden="false" customHeight="false" outlineLevel="0" collapsed="false">
      <c r="A13" s="2" t="n">
        <f aca="false">A12+1</f>
        <v>11</v>
      </c>
      <c r="B13" s="3" t="n">
        <f aca="false">MINA(0.06,+B12+0.002)</f>
        <v>0.022</v>
      </c>
      <c r="C13" s="4" t="n">
        <f aca="false">B13*2</f>
        <v>0.044</v>
      </c>
      <c r="D13" s="4" t="n">
        <f aca="false">B13*5</f>
        <v>0.11</v>
      </c>
    </row>
    <row r="14" customFormat="false" ht="12.75" hidden="false" customHeight="false" outlineLevel="0" collapsed="false">
      <c r="A14" s="2" t="n">
        <f aca="false">A13+1</f>
        <v>12</v>
      </c>
      <c r="B14" s="3" t="n">
        <f aca="false">MINA(0.06,+B13+0.002)</f>
        <v>0.024</v>
      </c>
      <c r="C14" s="4" t="n">
        <f aca="false">B14*2</f>
        <v>0.048</v>
      </c>
      <c r="D14" s="4" t="n">
        <f aca="false">B14*5</f>
        <v>0.12</v>
      </c>
    </row>
    <row r="15" customFormat="false" ht="12.75" hidden="false" customHeight="false" outlineLevel="0" collapsed="false">
      <c r="A15" s="2" t="n">
        <f aca="false">A14+1</f>
        <v>13</v>
      </c>
      <c r="B15" s="3" t="n">
        <f aca="false">MINA(0.06,+B14+0.002)</f>
        <v>0.026</v>
      </c>
      <c r="C15" s="4" t="n">
        <f aca="false">B15*2</f>
        <v>0.052</v>
      </c>
      <c r="D15" s="4" t="n">
        <f aca="false">B15*5</f>
        <v>0.13</v>
      </c>
    </row>
    <row r="16" customFormat="false" ht="12.75" hidden="false" customHeight="false" outlineLevel="0" collapsed="false">
      <c r="A16" s="2" t="n">
        <f aca="false">A15+1</f>
        <v>14</v>
      </c>
      <c r="B16" s="3" t="n">
        <f aca="false">MINA(0.06,+B15+0.002)</f>
        <v>0.028</v>
      </c>
      <c r="C16" s="4" t="n">
        <f aca="false">B16*2</f>
        <v>0.056</v>
      </c>
      <c r="D16" s="4" t="n">
        <f aca="false">B16*5</f>
        <v>0.14</v>
      </c>
    </row>
    <row r="17" customFormat="false" ht="12.75" hidden="false" customHeight="false" outlineLevel="0" collapsed="false">
      <c r="A17" s="2" t="n">
        <f aca="false">A16+1</f>
        <v>15</v>
      </c>
      <c r="B17" s="3" t="n">
        <f aca="false">MINA(0.06,+B16+0.002)</f>
        <v>0.03</v>
      </c>
      <c r="C17" s="4" t="n">
        <f aca="false">B17*2</f>
        <v>0.06</v>
      </c>
      <c r="D17" s="4" t="n">
        <f aca="false">B17*5</f>
        <v>0.15</v>
      </c>
    </row>
    <row r="18" customFormat="false" ht="12.75" hidden="false" customHeight="false" outlineLevel="0" collapsed="false">
      <c r="A18" s="2" t="n">
        <f aca="false">A17+1</f>
        <v>16</v>
      </c>
      <c r="B18" s="3" t="n">
        <f aca="false">MINA(0.06,+B17+0.002)</f>
        <v>0.032</v>
      </c>
      <c r="C18" s="4" t="n">
        <f aca="false">B18*2</f>
        <v>0.064</v>
      </c>
      <c r="D18" s="4" t="n">
        <f aca="false">B18*5</f>
        <v>0.16</v>
      </c>
    </row>
    <row r="19" customFormat="false" ht="12.75" hidden="false" customHeight="false" outlineLevel="0" collapsed="false">
      <c r="A19" s="2" t="n">
        <f aca="false">A18+1</f>
        <v>17</v>
      </c>
      <c r="B19" s="3" t="n">
        <f aca="false">MINA(0.06,+B18+0.002)</f>
        <v>0.034</v>
      </c>
      <c r="C19" s="4" t="n">
        <f aca="false">B19*2</f>
        <v>0.068</v>
      </c>
      <c r="D19" s="4" t="n">
        <f aca="false">B19*5</f>
        <v>0.17</v>
      </c>
    </row>
    <row r="20" customFormat="false" ht="12.75" hidden="false" customHeight="false" outlineLevel="0" collapsed="false">
      <c r="A20" s="2" t="n">
        <f aca="false">A19+1</f>
        <v>18</v>
      </c>
      <c r="B20" s="3" t="n">
        <f aca="false">MINA(0.06,+B19+0.002)</f>
        <v>0.036</v>
      </c>
      <c r="C20" s="4" t="n">
        <f aca="false">B20*2</f>
        <v>0.072</v>
      </c>
      <c r="D20" s="4" t="n">
        <f aca="false">B20*5</f>
        <v>0.18</v>
      </c>
    </row>
    <row r="21" customFormat="false" ht="12.75" hidden="false" customHeight="false" outlineLevel="0" collapsed="false">
      <c r="A21" s="2" t="n">
        <f aca="false">A20+1</f>
        <v>19</v>
      </c>
      <c r="B21" s="3" t="n">
        <f aca="false">MINA(0.06,+B20+0.002)</f>
        <v>0.038</v>
      </c>
      <c r="C21" s="4" t="n">
        <f aca="false">B21*2</f>
        <v>0.076</v>
      </c>
      <c r="D21" s="4" t="n">
        <f aca="false">B21*5</f>
        <v>0.19</v>
      </c>
    </row>
    <row r="22" customFormat="false" ht="12.75" hidden="false" customHeight="false" outlineLevel="0" collapsed="false">
      <c r="A22" s="2" t="n">
        <f aca="false">A21+1</f>
        <v>20</v>
      </c>
      <c r="B22" s="3" t="n">
        <f aca="false">MINA(0.06,+B21+0.002)</f>
        <v>0.04</v>
      </c>
      <c r="C22" s="4" t="n">
        <f aca="false">B22*2</f>
        <v>0.08</v>
      </c>
      <c r="D22" s="4" t="n">
        <f aca="false">B22*5</f>
        <v>0.2</v>
      </c>
    </row>
    <row r="23" customFormat="false" ht="12.75" hidden="false" customHeight="false" outlineLevel="0" collapsed="false">
      <c r="A23" s="2" t="n">
        <f aca="false">A22+1</f>
        <v>21</v>
      </c>
      <c r="B23" s="3" t="n">
        <f aca="false">MINA(0.06,+B22+0.002)</f>
        <v>0.042</v>
      </c>
      <c r="C23" s="4" t="n">
        <f aca="false">B23*2</f>
        <v>0.0840000000000001</v>
      </c>
      <c r="D23" s="4" t="n">
        <f aca="false">B23*5</f>
        <v>0.21</v>
      </c>
    </row>
    <row r="24" customFormat="false" ht="12.75" hidden="false" customHeight="false" outlineLevel="0" collapsed="false">
      <c r="A24" s="2" t="n">
        <f aca="false">A23+1</f>
        <v>22</v>
      </c>
      <c r="B24" s="3" t="n">
        <f aca="false">MINA(0.06,+B23+0.002)</f>
        <v>0.044</v>
      </c>
      <c r="C24" s="4" t="n">
        <f aca="false">B24*2</f>
        <v>0.0880000000000001</v>
      </c>
      <c r="D24" s="4" t="n">
        <f aca="false">B24*5</f>
        <v>0.22</v>
      </c>
    </row>
    <row r="25" customFormat="false" ht="12.75" hidden="false" customHeight="false" outlineLevel="0" collapsed="false">
      <c r="A25" s="2" t="n">
        <f aca="false">A24+1</f>
        <v>23</v>
      </c>
      <c r="B25" s="3" t="n">
        <f aca="false">MINA(0.06,+B24+0.002)</f>
        <v>0.046</v>
      </c>
      <c r="C25" s="4" t="n">
        <f aca="false">B25*2</f>
        <v>0.0920000000000001</v>
      </c>
      <c r="D25" s="4" t="n">
        <f aca="false">B25*5</f>
        <v>0.23</v>
      </c>
    </row>
    <row r="26" customFormat="false" ht="12.75" hidden="false" customHeight="false" outlineLevel="0" collapsed="false">
      <c r="A26" s="2" t="n">
        <f aca="false">A25+1</f>
        <v>24</v>
      </c>
      <c r="B26" s="3" t="n">
        <f aca="false">MINA(0.06,+B25+0.002)</f>
        <v>0.048</v>
      </c>
      <c r="C26" s="4" t="n">
        <f aca="false">B26*2</f>
        <v>0.0960000000000001</v>
      </c>
      <c r="D26" s="4" t="n">
        <f aca="false">B26*5</f>
        <v>0.24</v>
      </c>
    </row>
    <row r="27" customFormat="false" ht="12.75" hidden="false" customHeight="false" outlineLevel="0" collapsed="false">
      <c r="A27" s="2" t="n">
        <f aca="false">A26+1</f>
        <v>25</v>
      </c>
      <c r="B27" s="3" t="n">
        <f aca="false">MINA(0.06,+B26+0.002)</f>
        <v>0.05</v>
      </c>
      <c r="C27" s="4" t="n">
        <f aca="false">B27*2</f>
        <v>0.1</v>
      </c>
      <c r="D27" s="4" t="n">
        <f aca="false">B27*5</f>
        <v>0.25</v>
      </c>
    </row>
    <row r="28" customFormat="false" ht="12.75" hidden="false" customHeight="false" outlineLevel="0" collapsed="false">
      <c r="A28" s="2" t="n">
        <f aca="false">A27+1</f>
        <v>26</v>
      </c>
      <c r="B28" s="3" t="n">
        <f aca="false">MINA(0.06,+B27+0.002)</f>
        <v>0.052</v>
      </c>
      <c r="C28" s="4" t="n">
        <f aca="false">B28*2</f>
        <v>0.104</v>
      </c>
      <c r="D28" s="4" t="n">
        <f aca="false">B28*5</f>
        <v>0.26</v>
      </c>
    </row>
    <row r="29" customFormat="false" ht="12.75" hidden="false" customHeight="false" outlineLevel="0" collapsed="false">
      <c r="A29" s="2" t="n">
        <f aca="false">A28+1</f>
        <v>27</v>
      </c>
      <c r="B29" s="3" t="n">
        <f aca="false">MINA(0.06,+B28+0.002)</f>
        <v>0.054</v>
      </c>
      <c r="C29" s="4" t="n">
        <f aca="false">B29*2</f>
        <v>0.108</v>
      </c>
      <c r="D29" s="4" t="n">
        <f aca="false">B29*5</f>
        <v>0.27</v>
      </c>
    </row>
    <row r="30" customFormat="false" ht="12.75" hidden="false" customHeight="false" outlineLevel="0" collapsed="false">
      <c r="A30" s="2" t="n">
        <f aca="false">A29+1</f>
        <v>28</v>
      </c>
      <c r="B30" s="3" t="n">
        <f aca="false">MINA(0.06,+B29+0.002)</f>
        <v>0.056</v>
      </c>
      <c r="C30" s="4" t="n">
        <f aca="false">B30*2</f>
        <v>0.112</v>
      </c>
      <c r="D30" s="4" t="n">
        <f aca="false">B30*5</f>
        <v>0.28</v>
      </c>
    </row>
    <row r="31" customFormat="false" ht="12.75" hidden="false" customHeight="false" outlineLevel="0" collapsed="false">
      <c r="A31" s="2" t="n">
        <f aca="false">A30+1</f>
        <v>29</v>
      </c>
      <c r="B31" s="3" t="n">
        <f aca="false">MINA(0.06,+B30+0.002)</f>
        <v>0.058</v>
      </c>
      <c r="C31" s="4" t="n">
        <f aca="false">B31*2</f>
        <v>0.116</v>
      </c>
      <c r="D31" s="4" t="n">
        <f aca="false">B31*5</f>
        <v>0.29</v>
      </c>
    </row>
    <row r="32" customFormat="false" ht="12.75" hidden="false" customHeight="false" outlineLevel="0" collapsed="false">
      <c r="A32" s="2" t="n">
        <f aca="false">A31+1</f>
        <v>30</v>
      </c>
      <c r="B32" s="3" t="n">
        <f aca="false">MINA(0.06,+B31+0.002)</f>
        <v>0.06</v>
      </c>
      <c r="C32" s="4" t="n">
        <f aca="false">B32*2</f>
        <v>0.12</v>
      </c>
      <c r="D32" s="4" t="n">
        <f aca="false">B32*5</f>
        <v>0.3</v>
      </c>
    </row>
    <row r="33" customFormat="false" ht="12.75" hidden="false" customHeight="false" outlineLevel="0" collapsed="false">
      <c r="A33" s="2" t="n">
        <f aca="false">A32+1</f>
        <v>31</v>
      </c>
      <c r="B33" s="3" t="n">
        <f aca="false">MINA(0.06,+B32+0.002)</f>
        <v>0.06</v>
      </c>
      <c r="C33" s="4" t="n">
        <f aca="false">B33*2</f>
        <v>0.12</v>
      </c>
      <c r="D33" s="4" t="n">
        <f aca="false">B33*5</f>
        <v>0.3</v>
      </c>
    </row>
    <row r="34" customFormat="false" ht="12.75" hidden="false" customHeight="false" outlineLevel="0" collapsed="false">
      <c r="A34" s="2" t="n">
        <f aca="false">A33+1</f>
        <v>32</v>
      </c>
      <c r="B34" s="3" t="n">
        <f aca="false">MINA(0.06,+B33+0.002)</f>
        <v>0.06</v>
      </c>
      <c r="C34" s="4" t="n">
        <f aca="false">B34*2</f>
        <v>0.12</v>
      </c>
      <c r="D34" s="4" t="n">
        <f aca="false">B34*5</f>
        <v>0.3</v>
      </c>
    </row>
    <row r="35" customFormat="false" ht="12.75" hidden="false" customHeight="false" outlineLevel="0" collapsed="false">
      <c r="A35" s="2" t="n">
        <f aca="false">A34+1</f>
        <v>33</v>
      </c>
      <c r="B35" s="3" t="n">
        <f aca="false">MINA(0.06,+B34+0.002)</f>
        <v>0.06</v>
      </c>
      <c r="C35" s="4" t="n">
        <f aca="false">B35*2</f>
        <v>0.12</v>
      </c>
      <c r="D35" s="4" t="n">
        <f aca="false">B35*5</f>
        <v>0.3</v>
      </c>
    </row>
    <row r="36" customFormat="false" ht="12.75" hidden="false" customHeight="false" outlineLevel="0" collapsed="false">
      <c r="A36" s="2" t="n">
        <f aca="false">A35+1</f>
        <v>34</v>
      </c>
      <c r="B36" s="3" t="n">
        <f aca="false">MINA(0.06,+B35+0.002)</f>
        <v>0.06</v>
      </c>
      <c r="C36" s="4" t="n">
        <f aca="false">B36*2</f>
        <v>0.12</v>
      </c>
      <c r="D36" s="4" t="n">
        <f aca="false">B36*5</f>
        <v>0.3</v>
      </c>
    </row>
    <row r="37" customFormat="false" ht="12.75" hidden="false" customHeight="false" outlineLevel="0" collapsed="false">
      <c r="A37" s="2" t="n">
        <f aca="false">A36+1</f>
        <v>35</v>
      </c>
      <c r="B37" s="3" t="n">
        <f aca="false">MINA(0.06,+B36+0.002)</f>
        <v>0.06</v>
      </c>
      <c r="C37" s="4" t="n">
        <f aca="false">B37*2</f>
        <v>0.12</v>
      </c>
      <c r="D37" s="4" t="n">
        <f aca="false">B37*5</f>
        <v>0.3</v>
      </c>
    </row>
    <row r="38" customFormat="false" ht="12.75" hidden="false" customHeight="false" outlineLevel="0" collapsed="false">
      <c r="A38" s="2" t="n">
        <f aca="false">A37+1</f>
        <v>36</v>
      </c>
      <c r="B38" s="3" t="n">
        <f aca="false">MINA(0.06,+B37+0.002)</f>
        <v>0.06</v>
      </c>
      <c r="C38" s="4" t="n">
        <f aca="false">B38*2</f>
        <v>0.12</v>
      </c>
      <c r="D38" s="4" t="n">
        <f aca="false">B38*5</f>
        <v>0.3</v>
      </c>
    </row>
    <row r="39" customFormat="false" ht="12.75" hidden="false" customHeight="false" outlineLevel="0" collapsed="false">
      <c r="A39" s="2" t="n">
        <f aca="false">A38+1</f>
        <v>37</v>
      </c>
      <c r="B39" s="3" t="n">
        <f aca="false">MINA(0.06,+B38+0.002)</f>
        <v>0.06</v>
      </c>
      <c r="C39" s="4" t="n">
        <f aca="false">B39*2</f>
        <v>0.12</v>
      </c>
      <c r="D39" s="4" t="n">
        <f aca="false">B39*5</f>
        <v>0.3</v>
      </c>
    </row>
    <row r="40" customFormat="false" ht="12.75" hidden="false" customHeight="false" outlineLevel="0" collapsed="false">
      <c r="A40" s="2" t="n">
        <f aca="false">A39+1</f>
        <v>38</v>
      </c>
      <c r="B40" s="3" t="n">
        <f aca="false">MINA(0.06,+B39+0.002)</f>
        <v>0.06</v>
      </c>
      <c r="C40" s="4" t="n">
        <f aca="false">B40*2</f>
        <v>0.12</v>
      </c>
      <c r="D40" s="4" t="n">
        <f aca="false">B40*5</f>
        <v>0.3</v>
      </c>
    </row>
    <row r="41" customFormat="false" ht="12.75" hidden="false" customHeight="false" outlineLevel="0" collapsed="false">
      <c r="A41" s="2" t="n">
        <f aca="false">A40+1</f>
        <v>39</v>
      </c>
      <c r="B41" s="3" t="n">
        <f aca="false">MINA(0.06,+B40+0.002)</f>
        <v>0.06</v>
      </c>
      <c r="C41" s="4" t="n">
        <f aca="false">B41*2</f>
        <v>0.12</v>
      </c>
      <c r="D41" s="4" t="n">
        <f aca="false">B41*5</f>
        <v>0.3</v>
      </c>
    </row>
    <row r="42" customFormat="false" ht="12.75" hidden="false" customHeight="false" outlineLevel="0" collapsed="false">
      <c r="A42" s="2" t="n">
        <f aca="false">A41+1</f>
        <v>40</v>
      </c>
      <c r="B42" s="3" t="n">
        <f aca="false">MINA(0.06,+B41+0.002)</f>
        <v>0.06</v>
      </c>
      <c r="C42" s="4" t="n">
        <f aca="false">B42*2</f>
        <v>0.12</v>
      </c>
      <c r="D42" s="4" t="n">
        <f aca="false">B42*5</f>
        <v>0.3</v>
      </c>
    </row>
    <row r="43" customFormat="false" ht="12.75" hidden="false" customHeight="false" outlineLevel="0" collapsed="false">
      <c r="A43" s="2" t="n">
        <f aca="false">A42+1</f>
        <v>41</v>
      </c>
      <c r="B43" s="3" t="n">
        <f aca="false">MINA(0.06,+B42+0.002)</f>
        <v>0.06</v>
      </c>
      <c r="C43" s="4" t="n">
        <f aca="false">B43*2</f>
        <v>0.12</v>
      </c>
      <c r="D43" s="4" t="n">
        <f aca="false">B43*5</f>
        <v>0.3</v>
      </c>
    </row>
    <row r="44" customFormat="false" ht="12.75" hidden="false" customHeight="false" outlineLevel="0" collapsed="false">
      <c r="A44" s="2" t="n">
        <f aca="false">A43+1</f>
        <v>42</v>
      </c>
      <c r="B44" s="3" t="n">
        <f aca="false">MINA(0.06,+B43+0.002)</f>
        <v>0.06</v>
      </c>
      <c r="C44" s="4" t="n">
        <f aca="false">B44*2</f>
        <v>0.12</v>
      </c>
      <c r="D44" s="4" t="n">
        <f aca="false">B44*5</f>
        <v>0.3</v>
      </c>
    </row>
    <row r="45" customFormat="false" ht="12.75" hidden="false" customHeight="false" outlineLevel="0" collapsed="false">
      <c r="A45" s="2" t="n">
        <f aca="false">A44+1</f>
        <v>43</v>
      </c>
      <c r="B45" s="3" t="n">
        <f aca="false">MINA(0.06,+B44+0.002)</f>
        <v>0.06</v>
      </c>
      <c r="C45" s="4" t="n">
        <f aca="false">B45*2</f>
        <v>0.12</v>
      </c>
      <c r="D45" s="4" t="n">
        <f aca="false">B45*5</f>
        <v>0.3</v>
      </c>
    </row>
    <row r="46" customFormat="false" ht="12.75" hidden="false" customHeight="false" outlineLevel="0" collapsed="false">
      <c r="A46" s="2" t="n">
        <f aca="false">A45+1</f>
        <v>44</v>
      </c>
      <c r="B46" s="3" t="n">
        <f aca="false">MINA(0.06,+B45+0.002)</f>
        <v>0.06</v>
      </c>
      <c r="C46" s="4" t="n">
        <f aca="false">B46*2</f>
        <v>0.12</v>
      </c>
      <c r="D46" s="4" t="n">
        <f aca="false">B46*5</f>
        <v>0.3</v>
      </c>
    </row>
    <row r="47" customFormat="false" ht="12.75" hidden="false" customHeight="false" outlineLevel="0" collapsed="false">
      <c r="A47" s="2" t="n">
        <f aca="false">A46+1</f>
        <v>45</v>
      </c>
      <c r="B47" s="3" t="n">
        <f aca="false">MINA(0.06,+B46+0.002)</f>
        <v>0.06</v>
      </c>
      <c r="C47" s="4" t="n">
        <f aca="false">B47*2</f>
        <v>0.12</v>
      </c>
      <c r="D47" s="4" t="n">
        <f aca="false">B47*5</f>
        <v>0.3</v>
      </c>
    </row>
    <row r="48" customFormat="false" ht="12.75" hidden="false" customHeight="false" outlineLevel="0" collapsed="false">
      <c r="A48" s="2" t="n">
        <f aca="false">A47+1</f>
        <v>46</v>
      </c>
      <c r="B48" s="3" t="n">
        <f aca="false">MINA(0.06,+B47+0.002)</f>
        <v>0.06</v>
      </c>
      <c r="C48" s="4" t="n">
        <f aca="false">B48*2</f>
        <v>0.12</v>
      </c>
      <c r="D48" s="4" t="n">
        <f aca="false">B48*5</f>
        <v>0.3</v>
      </c>
    </row>
    <row r="49" customFormat="false" ht="12.75" hidden="false" customHeight="false" outlineLevel="0" collapsed="false">
      <c r="A49" s="2" t="n">
        <f aca="false">A48+1</f>
        <v>47</v>
      </c>
      <c r="B49" s="3" t="n">
        <f aca="false">MINA(0.06,+B48+0.002)</f>
        <v>0.06</v>
      </c>
      <c r="C49" s="4" t="n">
        <f aca="false">B49*2</f>
        <v>0.12</v>
      </c>
      <c r="D49" s="4" t="n">
        <f aca="false">B49*5</f>
        <v>0.3</v>
      </c>
    </row>
    <row r="50" customFormat="false" ht="12.75" hidden="false" customHeight="false" outlineLevel="0" collapsed="false">
      <c r="A50" s="2" t="n">
        <f aca="false">A49+1</f>
        <v>48</v>
      </c>
      <c r="B50" s="3" t="n">
        <f aca="false">MINA(0.06,+B49+0.002)</f>
        <v>0.06</v>
      </c>
      <c r="C50" s="4" t="n">
        <f aca="false">B50*2</f>
        <v>0.12</v>
      </c>
      <c r="D50" s="4" t="n">
        <f aca="false">B50*5</f>
        <v>0.3</v>
      </c>
    </row>
    <row r="51" customFormat="false" ht="12.75" hidden="false" customHeight="false" outlineLevel="0" collapsed="false">
      <c r="A51" s="2" t="n">
        <f aca="false">A50+1</f>
        <v>49</v>
      </c>
      <c r="B51" s="3" t="n">
        <f aca="false">MINA(0.06,+B50+0.002)</f>
        <v>0.06</v>
      </c>
      <c r="C51" s="4" t="n">
        <f aca="false">B51*2</f>
        <v>0.12</v>
      </c>
      <c r="D51" s="4" t="n">
        <f aca="false">B51*5</f>
        <v>0.3</v>
      </c>
    </row>
    <row r="52" customFormat="false" ht="12.75" hidden="false" customHeight="false" outlineLevel="0" collapsed="false">
      <c r="A52" s="2" t="n">
        <f aca="false">A51+1</f>
        <v>50</v>
      </c>
      <c r="B52" s="3" t="n">
        <f aca="false">MINA(0.06,+B51+0.002)</f>
        <v>0.06</v>
      </c>
      <c r="C52" s="4" t="n">
        <f aca="false">B52*2</f>
        <v>0.12</v>
      </c>
      <c r="D52" s="4" t="n">
        <f aca="false">B52*5</f>
        <v>0.3</v>
      </c>
    </row>
    <row r="53" customFormat="false" ht="12.75" hidden="false" customHeight="false" outlineLevel="0" collapsed="false">
      <c r="A53" s="2" t="n">
        <f aca="false">A52+1</f>
        <v>51</v>
      </c>
      <c r="B53" s="3" t="n">
        <f aca="false">MINA(0.06,+B52+0.002)</f>
        <v>0.06</v>
      </c>
      <c r="C53" s="4" t="n">
        <f aca="false">B53*2</f>
        <v>0.12</v>
      </c>
      <c r="D53" s="4" t="n">
        <f aca="false">B53*5</f>
        <v>0.3</v>
      </c>
    </row>
    <row r="54" customFormat="false" ht="12.75" hidden="false" customHeight="false" outlineLevel="0" collapsed="false">
      <c r="A54" s="2" t="n">
        <f aca="false">A53+1</f>
        <v>52</v>
      </c>
      <c r="B54" s="3" t="n">
        <f aca="false">MINA(0.06,+B53+0.002)</f>
        <v>0.06</v>
      </c>
      <c r="C54" s="4" t="n">
        <f aca="false">B54*2</f>
        <v>0.12</v>
      </c>
      <c r="D54" s="4" t="n">
        <f aca="false">B54*5</f>
        <v>0.3</v>
      </c>
    </row>
    <row r="55" customFormat="false" ht="12.75" hidden="false" customHeight="false" outlineLevel="0" collapsed="false">
      <c r="A55" s="2" t="n">
        <f aca="false">A54+1</f>
        <v>53</v>
      </c>
      <c r="B55" s="3" t="n">
        <f aca="false">MINA(0.06,+B54+0.002)</f>
        <v>0.06</v>
      </c>
      <c r="C55" s="4" t="n">
        <f aca="false">B55*2</f>
        <v>0.12</v>
      </c>
      <c r="D55" s="4" t="n">
        <f aca="false">B55*5</f>
        <v>0.3</v>
      </c>
    </row>
    <row r="56" customFormat="false" ht="12.75" hidden="false" customHeight="false" outlineLevel="0" collapsed="false">
      <c r="A56" s="2" t="n">
        <f aca="false">A55+1</f>
        <v>54</v>
      </c>
      <c r="B56" s="3" t="n">
        <f aca="false">MINA(0.06,+B55+0.002)</f>
        <v>0.06</v>
      </c>
      <c r="C56" s="4" t="n">
        <f aca="false">B56*2</f>
        <v>0.12</v>
      </c>
      <c r="D56" s="4" t="n">
        <f aca="false">B56*5</f>
        <v>0.3</v>
      </c>
    </row>
    <row r="57" customFormat="false" ht="12.75" hidden="false" customHeight="false" outlineLevel="0" collapsed="false">
      <c r="A57" s="2" t="n">
        <f aca="false">A56+1</f>
        <v>55</v>
      </c>
      <c r="B57" s="3" t="n">
        <f aca="false">MINA(0.06,+B56+0.002)</f>
        <v>0.06</v>
      </c>
      <c r="C57" s="4" t="n">
        <f aca="false">B57*2</f>
        <v>0.12</v>
      </c>
      <c r="D57" s="4" t="n">
        <f aca="false">B57*5</f>
        <v>0.3</v>
      </c>
    </row>
    <row r="58" customFormat="false" ht="12.75" hidden="false" customHeight="false" outlineLevel="0" collapsed="false">
      <c r="A58" s="2" t="n">
        <f aca="false">A57+1</f>
        <v>56</v>
      </c>
      <c r="B58" s="3" t="n">
        <f aca="false">MINA(0.06,+B57+0.002)</f>
        <v>0.06</v>
      </c>
      <c r="C58" s="4" t="n">
        <f aca="false">B58*2</f>
        <v>0.12</v>
      </c>
      <c r="D58" s="4" t="n">
        <f aca="false">B58*5</f>
        <v>0.3</v>
      </c>
    </row>
    <row r="59" customFormat="false" ht="12.75" hidden="false" customHeight="false" outlineLevel="0" collapsed="false">
      <c r="A59" s="2" t="n">
        <f aca="false">A58+1</f>
        <v>57</v>
      </c>
      <c r="B59" s="3" t="n">
        <f aca="false">MINA(0.06,+B58+0.002)</f>
        <v>0.06</v>
      </c>
      <c r="C59" s="4" t="n">
        <f aca="false">B59*2</f>
        <v>0.12</v>
      </c>
      <c r="D59" s="4" t="n">
        <f aca="false">B59*5</f>
        <v>0.3</v>
      </c>
    </row>
    <row r="60" customFormat="false" ht="12.75" hidden="false" customHeight="false" outlineLevel="0" collapsed="false">
      <c r="A60" s="2" t="n">
        <f aca="false">A59+1</f>
        <v>58</v>
      </c>
      <c r="B60" s="3" t="n">
        <f aca="false">MINA(0.06,+B59+0.002)</f>
        <v>0.06</v>
      </c>
      <c r="C60" s="4" t="n">
        <f aca="false">B60*2</f>
        <v>0.12</v>
      </c>
      <c r="D60" s="4" t="n">
        <f aca="false">B60*5</f>
        <v>0.3</v>
      </c>
    </row>
    <row r="61" customFormat="false" ht="12.75" hidden="false" customHeight="false" outlineLevel="0" collapsed="false">
      <c r="A61" s="2" t="n">
        <f aca="false">A60+1</f>
        <v>59</v>
      </c>
      <c r="B61" s="3" t="n">
        <f aca="false">MINA(0.06,+B60+0.002)</f>
        <v>0.06</v>
      </c>
      <c r="C61" s="4" t="n">
        <f aca="false">B61*2</f>
        <v>0.12</v>
      </c>
      <c r="D61" s="4" t="n">
        <f aca="false">B61*5</f>
        <v>0.3</v>
      </c>
    </row>
    <row r="62" customFormat="false" ht="12.75" hidden="false" customHeight="false" outlineLevel="0" collapsed="false">
      <c r="A62" s="2" t="n">
        <f aca="false">A61+1</f>
        <v>60</v>
      </c>
      <c r="B62" s="3" t="n">
        <f aca="false">MINA(0.06,+B61+0.002)</f>
        <v>0.06</v>
      </c>
      <c r="C62" s="4" t="n">
        <f aca="false">B62*2</f>
        <v>0.12</v>
      </c>
      <c r="D62" s="4" t="n">
        <f aca="false">B62*5</f>
        <v>0.3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F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1" width="11.13"/>
    <col collapsed="false" customWidth="true" hidden="false" outlineLevel="0" max="5" min="5" style="1" width="13.56"/>
    <col collapsed="false" customWidth="true" hidden="false" outlineLevel="0" max="6" min="6" style="1" width="10.13"/>
  </cols>
  <sheetData>
    <row r="4" customFormat="false" ht="12.75" hidden="false" customHeight="false" outlineLevel="0" collapsed="false">
      <c r="B4" s="1" t="s">
        <v>95</v>
      </c>
      <c r="C4" s="1" t="s">
        <v>96</v>
      </c>
      <c r="D4" s="1" t="s">
        <v>97</v>
      </c>
      <c r="E4" s="1" t="s">
        <v>98</v>
      </c>
      <c r="F4" s="1" t="s">
        <v>99</v>
      </c>
    </row>
    <row r="5" customFormat="false" ht="12.75" hidden="false" customHeight="false" outlineLevel="0" collapsed="false">
      <c r="A5" s="1" t="n">
        <v>1</v>
      </c>
      <c r="B5" s="8" t="n">
        <f aca="false">Tranches!R80</f>
        <v>30674632.215412</v>
      </c>
      <c r="C5" s="8" t="n">
        <f aca="false">Tranches!X80</f>
        <v>21925716.9312</v>
      </c>
      <c r="D5" s="8" t="n">
        <f aca="false">Tranches!AD80</f>
        <v>2125000</v>
      </c>
      <c r="E5" s="8" t="n">
        <f aca="false">Tranches!AM80</f>
        <v>0</v>
      </c>
      <c r="F5" s="8" t="n">
        <f aca="false">Tranches!AO80</f>
        <v>40014280.190824</v>
      </c>
    </row>
    <row r="6" customFormat="false" ht="12.75" hidden="false" customHeight="false" outlineLevel="0" collapsed="false">
      <c r="A6" s="1" t="n">
        <v>2</v>
      </c>
      <c r="B6" s="8" t="n">
        <f aca="false">Tranches!R81</f>
        <v>48084621.2505719</v>
      </c>
      <c r="C6" s="8" t="n">
        <f aca="false">Tranches!X81</f>
        <v>21925716.9312</v>
      </c>
      <c r="D6" s="8" t="n">
        <f aca="false">Tranches!AD81</f>
        <v>2125000</v>
      </c>
      <c r="E6" s="8" t="n">
        <f aca="false">Tranches!AM81</f>
        <v>0</v>
      </c>
      <c r="F6" s="8" t="n">
        <f aca="false">Tranches!AO81</f>
        <v>39548055.2312531</v>
      </c>
    </row>
    <row r="7" customFormat="false" ht="12.75" hidden="false" customHeight="false" outlineLevel="0" collapsed="false">
      <c r="A7" s="1" t="n">
        <v>3</v>
      </c>
      <c r="B7" s="8" t="n">
        <f aca="false">Tranches!R82</f>
        <v>60113025.4273313</v>
      </c>
      <c r="C7" s="8" t="n">
        <f aca="false">Tranches!X82</f>
        <v>21925716.9312</v>
      </c>
      <c r="D7" s="8" t="n">
        <f aca="false">Tranches!AD82</f>
        <v>2125000</v>
      </c>
      <c r="E7" s="8" t="n">
        <f aca="false">Tranches!AM82</f>
        <v>0</v>
      </c>
      <c r="F7" s="8" t="n">
        <f aca="false">Tranches!AO82</f>
        <v>38632541.1439757</v>
      </c>
    </row>
    <row r="8" customFormat="false" ht="12.75" hidden="false" customHeight="false" outlineLevel="0" collapsed="false">
      <c r="A8" s="1" t="n">
        <v>4</v>
      </c>
      <c r="B8" s="8" t="n">
        <f aca="false">Tranches!R83</f>
        <v>44430250.1421951</v>
      </c>
      <c r="C8" s="8" t="n">
        <f aca="false">Tranches!X83</f>
        <v>32620545.7412892</v>
      </c>
      <c r="D8" s="8" t="n">
        <f aca="false">Tranches!AD83</f>
        <v>2125000</v>
      </c>
      <c r="E8" s="8" t="n">
        <f aca="false">Tranches!AM83</f>
        <v>0</v>
      </c>
      <c r="F8" s="8" t="n">
        <f aca="false">Tranches!AO83</f>
        <v>37364483.1466924</v>
      </c>
    </row>
    <row r="9" customFormat="false" ht="12.75" hidden="false" customHeight="false" outlineLevel="0" collapsed="false">
      <c r="A9" s="1" t="n">
        <v>5</v>
      </c>
      <c r="B9" s="8" t="n">
        <f aca="false">Tranches!R84</f>
        <v>0</v>
      </c>
      <c r="C9" s="8" t="n">
        <f aca="false">Tranches!X84</f>
        <v>70367800.6732695</v>
      </c>
      <c r="D9" s="8" t="n">
        <f aca="false">Tranches!AD84</f>
        <v>2125000</v>
      </c>
      <c r="E9" s="8" t="n">
        <f aca="false">Tranches!AM84</f>
        <v>0</v>
      </c>
      <c r="F9" s="8" t="n">
        <f aca="false">Tranches!AO84</f>
        <v>36149648.7751894</v>
      </c>
    </row>
    <row r="10" customFormat="false" ht="12.75" hidden="false" customHeight="false" outlineLevel="0" collapsed="false">
      <c r="A10" s="1" t="n">
        <v>6</v>
      </c>
      <c r="B10" s="8" t="n">
        <f aca="false">Tranches!R85</f>
        <v>0</v>
      </c>
      <c r="C10" s="8" t="n">
        <f aca="false">Tranches!X85</f>
        <v>64027844.4943092</v>
      </c>
      <c r="D10" s="8" t="n">
        <f aca="false">Tranches!AD85</f>
        <v>2125000</v>
      </c>
      <c r="E10" s="8" t="n">
        <f aca="false">Tranches!AM85</f>
        <v>0</v>
      </c>
      <c r="F10" s="8" t="n">
        <f aca="false">Tranches!AO85</f>
        <v>35092442.2599329</v>
      </c>
    </row>
    <row r="11" customFormat="false" ht="12.75" hidden="false" customHeight="false" outlineLevel="0" collapsed="false">
      <c r="A11" s="1" t="n">
        <v>7</v>
      </c>
      <c r="B11" s="8" t="n">
        <f aca="false">Tranches!R86</f>
        <v>0</v>
      </c>
      <c r="C11" s="8" t="n">
        <f aca="false">Tranches!X86</f>
        <v>58095841.8555271</v>
      </c>
      <c r="D11" s="8" t="n">
        <f aca="false">Tranches!AD86</f>
        <v>2125000</v>
      </c>
      <c r="E11" s="8" t="n">
        <f aca="false">Tranches!AM86</f>
        <v>0</v>
      </c>
      <c r="F11" s="8" t="n">
        <f aca="false">Tranches!AO86</f>
        <v>34095256.4760026</v>
      </c>
    </row>
    <row r="12" customFormat="false" ht="12.75" hidden="false" customHeight="false" outlineLevel="0" collapsed="false">
      <c r="A12" s="1" t="n">
        <v>8</v>
      </c>
      <c r="B12" s="8" t="n">
        <f aca="false">Tranches!R87</f>
        <v>0</v>
      </c>
      <c r="C12" s="8" t="n">
        <f aca="false">Tranches!X87</f>
        <v>52545631.0896537</v>
      </c>
      <c r="D12" s="8" t="n">
        <f aca="false">Tranches!AD87</f>
        <v>2125000</v>
      </c>
      <c r="E12" s="8" t="n">
        <f aca="false">Tranches!AM87</f>
        <v>0</v>
      </c>
      <c r="F12" s="8" t="n">
        <f aca="false">Tranches!AO87</f>
        <v>33153666.6855329</v>
      </c>
    </row>
    <row r="13" customFormat="false" ht="12.75" hidden="false" customHeight="false" outlineLevel="0" collapsed="false">
      <c r="A13" s="1" t="n">
        <v>9</v>
      </c>
      <c r="B13" s="8" t="n">
        <f aca="false">Tranches!R88</f>
        <v>0</v>
      </c>
      <c r="C13" s="8" t="n">
        <f aca="false">Tranches!X88</f>
        <v>47352776.3786329</v>
      </c>
      <c r="D13" s="8" t="n">
        <f aca="false">Tranches!AD88</f>
        <v>2125000</v>
      </c>
      <c r="E13" s="8" t="n">
        <f aca="false">Tranches!AM88</f>
        <v>0</v>
      </c>
      <c r="F13" s="8" t="n">
        <f aca="false">Tranches!AO88</f>
        <v>32263491.8945219</v>
      </c>
    </row>
    <row r="14" customFormat="false" ht="12.75" hidden="false" customHeight="false" outlineLevel="0" collapsed="false">
      <c r="A14" s="1" t="n">
        <v>10</v>
      </c>
      <c r="B14" s="8" t="n">
        <f aca="false">Tranches!R89</f>
        <v>0</v>
      </c>
      <c r="C14" s="8" t="n">
        <f aca="false">Tranches!X89</f>
        <v>42494459.3502484</v>
      </c>
      <c r="D14" s="8" t="n">
        <f aca="false">Tranches!AD89</f>
        <v>2125000</v>
      </c>
      <c r="E14" s="8" t="n">
        <f aca="false">Tranches!AM89</f>
        <v>0</v>
      </c>
      <c r="F14" s="8" t="n">
        <f aca="false">Tranches!AO89</f>
        <v>31420775.4432057</v>
      </c>
    </row>
    <row r="15" customFormat="false" ht="12.75" hidden="false" customHeight="false" outlineLevel="0" collapsed="false">
      <c r="A15" s="1" t="n">
        <v>11</v>
      </c>
      <c r="B15" s="8" t="n">
        <f aca="false">Tranches!R90</f>
        <v>0</v>
      </c>
      <c r="C15" s="8" t="n">
        <f aca="false">Tranches!X90</f>
        <v>32096927.2409682</v>
      </c>
      <c r="D15" s="8" t="n">
        <f aca="false">Tranches!AD90</f>
        <v>7977450.72346418</v>
      </c>
      <c r="E15" s="8" t="n">
        <f aca="false">Tranches!AM90</f>
        <v>0</v>
      </c>
      <c r="F15" s="8" t="n">
        <f aca="false">Tranches!AO90</f>
        <v>30621766.5326495</v>
      </c>
    </row>
    <row r="16" customFormat="false" ht="12.75" hidden="false" customHeight="false" outlineLevel="0" collapsed="false">
      <c r="A16" s="1" t="n">
        <v>12</v>
      </c>
      <c r="B16" s="8" t="n">
        <f aca="false">Tranches!R91</f>
        <v>0</v>
      </c>
      <c r="C16" s="8" t="n">
        <f aca="false">Tranches!X91</f>
        <v>0</v>
      </c>
      <c r="D16" s="8" t="n">
        <f aca="false">Tranches!AD91</f>
        <v>20775090.9650414</v>
      </c>
      <c r="E16" s="8" t="n">
        <f aca="false">Tranches!AM91</f>
        <v>14979263.1676546</v>
      </c>
      <c r="F16" s="8" t="n">
        <f aca="false">Tranches!AO91</f>
        <v>29931200.6991173</v>
      </c>
    </row>
    <row r="17" customFormat="false" ht="12.75" hidden="false" customHeight="false" outlineLevel="0" collapsed="false">
      <c r="A17" s="1" t="n">
        <v>13</v>
      </c>
      <c r="B17" s="8" t="n">
        <f aca="false">Tranches!R92</f>
        <v>0</v>
      </c>
      <c r="C17" s="8" t="n">
        <f aca="false">Tranches!X92</f>
        <v>0</v>
      </c>
      <c r="D17" s="8" t="n">
        <f aca="false">Tranches!AD92</f>
        <v>0</v>
      </c>
      <c r="E17" s="8" t="n">
        <f aca="false">Tranches!AM92</f>
        <v>29659672.3294068</v>
      </c>
      <c r="F17" s="8" t="n">
        <f aca="false">Tranches!AO92</f>
        <v>31326856.4625661</v>
      </c>
    </row>
    <row r="18" customFormat="false" ht="12.75" hidden="false" customHeight="false" outlineLevel="0" collapsed="false">
      <c r="A18" s="1" t="n">
        <v>14</v>
      </c>
      <c r="B18" s="8" t="n">
        <f aca="false">Tranches!R93</f>
        <v>0</v>
      </c>
      <c r="C18" s="8" t="n">
        <f aca="false">Tranches!X93</f>
        <v>0</v>
      </c>
      <c r="D18" s="8" t="n">
        <f aca="false">Tranches!AD93</f>
        <v>0</v>
      </c>
      <c r="E18" s="8" t="n">
        <f aca="false">Tranches!AM93</f>
        <v>0</v>
      </c>
      <c r="F18" s="8" t="n">
        <f aca="false">Tranches!AO93</f>
        <v>56578536.8547989</v>
      </c>
    </row>
    <row r="19" customFormat="false" ht="12.75" hidden="false" customHeight="false" outlineLevel="0" collapsed="false">
      <c r="A19" s="1" t="n">
        <v>15</v>
      </c>
      <c r="B19" s="8" t="n">
        <f aca="false">Tranches!R94</f>
        <v>0</v>
      </c>
      <c r="C19" s="8" t="n">
        <f aca="false">Tranches!X94</f>
        <v>0</v>
      </c>
      <c r="D19" s="8" t="n">
        <f aca="false">Tranches!AD94</f>
        <v>0</v>
      </c>
      <c r="E19" s="8" t="n">
        <f aca="false">Tranches!AM94</f>
        <v>0</v>
      </c>
      <c r="F19" s="8" t="n">
        <f aca="false">Tranches!AO94</f>
        <v>52442365.1239013</v>
      </c>
    </row>
    <row r="20" customFormat="false" ht="12.75" hidden="false" customHeight="false" outlineLevel="0" collapsed="false">
      <c r="A20" s="1" t="n">
        <v>16</v>
      </c>
      <c r="B20" s="8" t="n">
        <f aca="false">Tranches!R95</f>
        <v>0</v>
      </c>
      <c r="C20" s="8" t="n">
        <f aca="false">Tranches!X95</f>
        <v>0</v>
      </c>
      <c r="D20" s="8" t="n">
        <f aca="false">Tranches!AD95</f>
        <v>0</v>
      </c>
      <c r="E20" s="8" t="n">
        <f aca="false">Tranches!AM95</f>
        <v>0</v>
      </c>
      <c r="F20" s="8" t="n">
        <f aca="false">Tranches!AO95</f>
        <v>48560029.2223803</v>
      </c>
    </row>
    <row r="21" customFormat="false" ht="12.75" hidden="false" customHeight="false" outlineLevel="0" collapsed="false">
      <c r="A21" s="1" t="n">
        <v>17</v>
      </c>
      <c r="B21" s="8" t="n">
        <f aca="false">Tranches!R96</f>
        <v>0</v>
      </c>
      <c r="C21" s="8" t="n">
        <f aca="false">Tranches!X96</f>
        <v>0</v>
      </c>
      <c r="D21" s="8" t="n">
        <f aca="false">Tranches!AD96</f>
        <v>0</v>
      </c>
      <c r="E21" s="8" t="n">
        <f aca="false">Tranches!AM96</f>
        <v>0</v>
      </c>
      <c r="F21" s="8" t="n">
        <f aca="false">Tranches!AO96</f>
        <v>44914693.4786331</v>
      </c>
    </row>
    <row r="22" customFormat="false" ht="12.75" hidden="false" customHeight="false" outlineLevel="0" collapsed="false">
      <c r="A22" s="1" t="n">
        <v>18</v>
      </c>
      <c r="B22" s="8" t="n">
        <f aca="false">Tranches!R97</f>
        <v>0</v>
      </c>
      <c r="C22" s="8" t="n">
        <f aca="false">Tranches!X97</f>
        <v>0</v>
      </c>
      <c r="D22" s="8" t="n">
        <f aca="false">Tranches!AD97</f>
        <v>0</v>
      </c>
      <c r="E22" s="8" t="n">
        <f aca="false">Tranches!AM97</f>
        <v>0</v>
      </c>
      <c r="F22" s="8" t="n">
        <f aca="false">Tranches!AO97</f>
        <v>41490594.9297929</v>
      </c>
    </row>
    <row r="23" customFormat="false" ht="12.75" hidden="false" customHeight="false" outlineLevel="0" collapsed="false">
      <c r="A23" s="1" t="n">
        <v>19</v>
      </c>
      <c r="B23" s="8" t="n">
        <f aca="false">Tranches!R98</f>
        <v>0</v>
      </c>
      <c r="C23" s="8" t="n">
        <f aca="false">Tranches!X98</f>
        <v>0</v>
      </c>
      <c r="D23" s="8" t="n">
        <f aca="false">Tranches!AD98</f>
        <v>0</v>
      </c>
      <c r="E23" s="8" t="n">
        <f aca="false">Tranches!AM98</f>
        <v>0</v>
      </c>
      <c r="F23" s="8" t="n">
        <f aca="false">Tranches!AO98</f>
        <v>38272971.6181057</v>
      </c>
    </row>
    <row r="24" customFormat="false" ht="12.75" hidden="false" customHeight="false" outlineLevel="0" collapsed="false">
      <c r="A24" s="1" t="n">
        <v>20</v>
      </c>
      <c r="B24" s="8" t="n">
        <f aca="false">Tranches!R99</f>
        <v>0</v>
      </c>
      <c r="C24" s="8" t="n">
        <f aca="false">Tranches!X99</f>
        <v>0</v>
      </c>
      <c r="D24" s="8" t="n">
        <f aca="false">Tranches!AD99</f>
        <v>0</v>
      </c>
      <c r="E24" s="8" t="n">
        <f aca="false">Tranches!AM99</f>
        <v>0</v>
      </c>
      <c r="F24" s="8" t="n">
        <f aca="false">Tranches!AO99</f>
        <v>35247994.5490242</v>
      </c>
    </row>
    <row r="25" customFormat="false" ht="12.75" hidden="false" customHeight="false" outlineLevel="0" collapsed="false">
      <c r="A25" s="1" t="n">
        <v>21</v>
      </c>
      <c r="B25" s="8" t="n">
        <f aca="false">Tranches!R100</f>
        <v>0</v>
      </c>
      <c r="C25" s="8" t="n">
        <f aca="false">Tranches!X100</f>
        <v>0</v>
      </c>
      <c r="D25" s="8" t="n">
        <f aca="false">Tranches!AD100</f>
        <v>0</v>
      </c>
      <c r="E25" s="8" t="n">
        <f aca="false">Tranches!AM100</f>
        <v>0</v>
      </c>
      <c r="F25" s="8" t="n">
        <f aca="false">Tranches!AO100</f>
        <v>32402702.4648697</v>
      </c>
    </row>
    <row r="26" customFormat="false" ht="12.75" hidden="false" customHeight="false" outlineLevel="0" collapsed="false">
      <c r="A26" s="1" t="n">
        <v>22</v>
      </c>
      <c r="B26" s="8" t="n">
        <f aca="false">Tranches!R101</f>
        <v>0</v>
      </c>
      <c r="C26" s="8" t="n">
        <f aca="false">Tranches!X101</f>
        <v>0</v>
      </c>
      <c r="D26" s="8" t="n">
        <f aca="false">Tranches!AD101</f>
        <v>0</v>
      </c>
      <c r="E26" s="8" t="n">
        <f aca="false">Tranches!AM101</f>
        <v>0</v>
      </c>
      <c r="F26" s="8" t="n">
        <f aca="false">Tranches!AO101</f>
        <v>29724938.1540875</v>
      </c>
    </row>
    <row r="27" customFormat="false" ht="12.75" hidden="false" customHeight="false" outlineLevel="0" collapsed="false">
      <c r="A27" s="1" t="n">
        <v>23</v>
      </c>
      <c r="B27" s="8" t="n">
        <f aca="false">Tranches!R102</f>
        <v>0</v>
      </c>
      <c r="C27" s="8" t="n">
        <f aca="false">Tranches!X102</f>
        <v>0</v>
      </c>
      <c r="D27" s="8" t="n">
        <f aca="false">Tranches!AD102</f>
        <v>0</v>
      </c>
      <c r="E27" s="8" t="n">
        <f aca="false">Tranches!AM102</f>
        <v>0</v>
      </c>
      <c r="F27" s="8" t="n">
        <f aca="false">Tranches!AO102</f>
        <v>27203284.1110409</v>
      </c>
    </row>
    <row r="28" customFormat="false" ht="12.75" hidden="false" customHeight="false" outlineLevel="0" collapsed="false">
      <c r="A28" s="1" t="n">
        <v>24</v>
      </c>
      <c r="B28" s="8" t="n">
        <f aca="false">Tranches!R103</f>
        <v>0</v>
      </c>
      <c r="C28" s="8" t="n">
        <f aca="false">Tranches!X103</f>
        <v>0</v>
      </c>
      <c r="D28" s="8" t="n">
        <f aca="false">Tranches!AD103</f>
        <v>0</v>
      </c>
      <c r="E28" s="8" t="n">
        <f aca="false">Tranches!AM103</f>
        <v>0</v>
      </c>
      <c r="F28" s="8" t="n">
        <f aca="false">Tranches!AO103</f>
        <v>24826993.3629893</v>
      </c>
    </row>
    <row r="29" customFormat="false" ht="12.75" hidden="false" customHeight="false" outlineLevel="0" collapsed="false">
      <c r="A29" s="1" t="n">
        <v>25</v>
      </c>
      <c r="B29" s="8" t="n">
        <f aca="false">Tranches!R104</f>
        <v>0</v>
      </c>
      <c r="C29" s="8" t="n">
        <f aca="false">Tranches!X104</f>
        <v>0</v>
      </c>
      <c r="D29" s="8" t="n">
        <f aca="false">Tranches!AD104</f>
        <v>0</v>
      </c>
      <c r="E29" s="8" t="n">
        <f aca="false">Tranches!AM104</f>
        <v>0</v>
      </c>
      <c r="F29" s="8" t="n">
        <f aca="false">Tranches!AO104</f>
        <v>22585906.5066169</v>
      </c>
    </row>
    <row r="30" customFormat="false" ht="12.75" hidden="false" customHeight="false" outlineLevel="0" collapsed="false">
      <c r="A30" s="1" t="n">
        <v>26</v>
      </c>
      <c r="B30" s="8" t="n">
        <f aca="false">Tranches!R105</f>
        <v>0</v>
      </c>
      <c r="C30" s="8" t="n">
        <f aca="false">Tranches!X105</f>
        <v>0</v>
      </c>
      <c r="D30" s="8" t="n">
        <f aca="false">Tranches!AD105</f>
        <v>0</v>
      </c>
      <c r="E30" s="8" t="n">
        <f aca="false">Tranches!AM105</f>
        <v>0</v>
      </c>
      <c r="F30" s="8" t="n">
        <f aca="false">Tranches!AO105</f>
        <v>20470333.3248929</v>
      </c>
    </row>
    <row r="31" customFormat="false" ht="12.75" hidden="false" customHeight="false" outlineLevel="0" collapsed="false">
      <c r="A31" s="1" t="n">
        <v>27</v>
      </c>
      <c r="B31" s="8" t="n">
        <f aca="false">Tranches!R106</f>
        <v>0</v>
      </c>
      <c r="C31" s="8" t="n">
        <f aca="false">Tranches!X106</f>
        <v>0</v>
      </c>
      <c r="D31" s="8" t="n">
        <f aca="false">Tranches!AD106</f>
        <v>0</v>
      </c>
      <c r="E31" s="8" t="n">
        <f aca="false">Tranches!AM106</f>
        <v>0</v>
      </c>
      <c r="F31" s="8" t="n">
        <f aca="false">Tranches!AO106</f>
        <v>18470838.6039331</v>
      </c>
    </row>
    <row r="32" customFormat="false" ht="12.75" hidden="false" customHeight="false" outlineLevel="0" collapsed="false">
      <c r="A32" s="1" t="n">
        <v>28</v>
      </c>
      <c r="B32" s="8" t="n">
        <f aca="false">Tranches!R107</f>
        <v>0</v>
      </c>
      <c r="C32" s="8" t="n">
        <f aca="false">Tranches!X107</f>
        <v>0</v>
      </c>
      <c r="D32" s="8" t="n">
        <f aca="false">Tranches!AD107</f>
        <v>0</v>
      </c>
      <c r="E32" s="8" t="n">
        <f aca="false">Tranches!AM107</f>
        <v>0</v>
      </c>
      <c r="F32" s="8" t="n">
        <f aca="false">Tranches!AO107</f>
        <v>16577727.0234967</v>
      </c>
    </row>
    <row r="33" customFormat="false" ht="12.75" hidden="false" customHeight="false" outlineLevel="0" collapsed="false">
      <c r="A33" s="1" t="n">
        <v>29</v>
      </c>
      <c r="B33" s="8" t="n">
        <f aca="false">Tranches!R108</f>
        <v>0</v>
      </c>
      <c r="C33" s="8" t="n">
        <f aca="false">Tranches!X108</f>
        <v>0</v>
      </c>
      <c r="D33" s="8" t="n">
        <f aca="false">Tranches!AD108</f>
        <v>0</v>
      </c>
      <c r="E33" s="8" t="n">
        <f aca="false">Tranches!AM108</f>
        <v>0</v>
      </c>
      <c r="F33" s="8" t="n">
        <f aca="false">Tranches!AO108</f>
        <v>14779284.947211</v>
      </c>
    </row>
    <row r="34" customFormat="false" ht="12.75" hidden="false" customHeight="false" outlineLevel="0" collapsed="false">
      <c r="A34" s="1" t="n">
        <v>30</v>
      </c>
      <c r="B34" s="8" t="n">
        <f aca="false">Tranches!R109</f>
        <v>0</v>
      </c>
      <c r="C34" s="8" t="n">
        <f aca="false">Tranches!X109</f>
        <v>0</v>
      </c>
      <c r="D34" s="8" t="n">
        <f aca="false">Tranches!AD109</f>
        <v>0</v>
      </c>
      <c r="E34" s="8" t="n">
        <f aca="false">Tranches!AM109</f>
        <v>0</v>
      </c>
      <c r="F34" s="8" t="n">
        <f aca="false">Tranches!AO109</f>
        <v>13051082.6109741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2" style="1" width="11.13"/>
  </cols>
  <sheetData>
    <row r="2" customFormat="false" ht="12.75" hidden="false" customHeight="false" outlineLevel="0" collapsed="false">
      <c r="B2" s="1" t="s">
        <v>95</v>
      </c>
      <c r="C2" s="1" t="s">
        <v>96</v>
      </c>
      <c r="D2" s="1" t="s">
        <v>97</v>
      </c>
      <c r="E2" s="1" t="s">
        <v>98</v>
      </c>
      <c r="F2" s="1" t="s">
        <v>99</v>
      </c>
    </row>
    <row r="3" customFormat="false" ht="12.75" hidden="false" customHeight="false" outlineLevel="0" collapsed="false">
      <c r="A3" s="1" t="n">
        <v>1</v>
      </c>
      <c r="B3" s="8" t="n">
        <f aca="false">Tranches!O80</f>
        <v>133449106.503518</v>
      </c>
      <c r="C3" s="8" t="n">
        <f aca="false">Tranches!U80</f>
        <v>299000640</v>
      </c>
      <c r="D3" s="8" t="n">
        <f aca="false">Tranches!AA80</f>
        <v>25000000</v>
      </c>
      <c r="E3" s="8" t="n">
        <f aca="false">Tranches!AG80</f>
        <v>16350000</v>
      </c>
    </row>
    <row r="4" customFormat="false" ht="12.75" hidden="false" customHeight="false" outlineLevel="0" collapsed="false">
      <c r="A4" s="1" t="n">
        <v>2</v>
      </c>
      <c r="B4" s="8" t="n">
        <f aca="false">Tranches!O81</f>
        <v>94851382.2342811</v>
      </c>
      <c r="C4" s="8" t="n">
        <f aca="false">Tranches!U81</f>
        <v>299000640</v>
      </c>
      <c r="D4" s="8" t="n">
        <f aca="false">Tranches!AA81</f>
        <v>25000000</v>
      </c>
      <c r="E4" s="8" t="n">
        <f aca="false">Tranches!AG81</f>
        <v>17821500</v>
      </c>
    </row>
    <row r="5" customFormat="false" ht="12.75" hidden="false" customHeight="false" outlineLevel="0" collapsed="false">
      <c r="A5" s="1" t="n">
        <v>3</v>
      </c>
      <c r="B5" s="8" t="n">
        <f aca="false">Tranches!O82</f>
        <v>41481341.5699849</v>
      </c>
      <c r="C5" s="8" t="n">
        <f aca="false">Tranches!U82</f>
        <v>299000640</v>
      </c>
      <c r="D5" s="8" t="n">
        <f aca="false">Tranches!AA82</f>
        <v>25000000</v>
      </c>
      <c r="E5" s="8" t="n">
        <f aca="false">Tranches!AG82</f>
        <v>19425435</v>
      </c>
    </row>
    <row r="6" customFormat="false" ht="12.75" hidden="false" customHeight="false" outlineLevel="0" collapsed="false">
      <c r="A6" s="1" t="n">
        <v>4</v>
      </c>
      <c r="B6" s="8" t="n">
        <f aca="false">Tranches!O83</f>
        <v>0</v>
      </c>
      <c r="C6" s="8" t="n">
        <f aca="false">Tranches!U83</f>
        <v>288305811.189911</v>
      </c>
      <c r="D6" s="8" t="n">
        <f aca="false">Tranches!AA83</f>
        <v>25000000</v>
      </c>
      <c r="E6" s="8" t="n">
        <f aca="false">Tranches!AG83</f>
        <v>21173724.15</v>
      </c>
    </row>
    <row r="7" customFormat="false" ht="12.75" hidden="false" customHeight="false" outlineLevel="0" collapsed="false">
      <c r="A7" s="1" t="n">
        <v>5</v>
      </c>
      <c r="B7" s="8" t="n">
        <f aca="false">Tranches!O84</f>
        <v>0</v>
      </c>
      <c r="C7" s="8" t="n">
        <f aca="false">Tranches!U84</f>
        <v>239079475.651197</v>
      </c>
      <c r="D7" s="8" t="n">
        <f aca="false">Tranches!AA84</f>
        <v>25000000</v>
      </c>
      <c r="E7" s="8" t="n">
        <f aca="false">Tranches!AG84</f>
        <v>23079359.3235</v>
      </c>
    </row>
    <row r="8" customFormat="false" ht="12.75" hidden="false" customHeight="false" outlineLevel="0" collapsed="false">
      <c r="A8" s="1" t="n">
        <v>6</v>
      </c>
      <c r="B8" s="8" t="n">
        <f aca="false">Tranches!O85</f>
        <v>0</v>
      </c>
      <c r="C8" s="8" t="n">
        <f aca="false">Tranches!U85</f>
        <v>192583329.10639</v>
      </c>
      <c r="D8" s="8" t="n">
        <f aca="false">Tranches!AA85</f>
        <v>25000000</v>
      </c>
      <c r="E8" s="8" t="n">
        <f aca="false">Tranches!AG85</f>
        <v>25156501.662615</v>
      </c>
    </row>
    <row r="9" customFormat="false" ht="12.75" hidden="false" customHeight="false" outlineLevel="0" collapsed="false">
      <c r="A9" s="1" t="n">
        <v>7</v>
      </c>
      <c r="B9" s="8" t="n">
        <f aca="false">Tranches!O86</f>
        <v>0</v>
      </c>
      <c r="C9" s="8" t="n">
        <f aca="false">Tranches!U86</f>
        <v>148609622.774235</v>
      </c>
      <c r="D9" s="8" t="n">
        <f aca="false">Tranches!AA86</f>
        <v>25000000</v>
      </c>
      <c r="E9" s="8" t="n">
        <f aca="false">Tranches!AG86</f>
        <v>27420586.8122504</v>
      </c>
    </row>
    <row r="10" customFormat="false" ht="12.75" hidden="false" customHeight="false" outlineLevel="0" collapsed="false">
      <c r="A10" s="1" t="n">
        <v>8</v>
      </c>
      <c r="B10" s="8" t="n">
        <f aca="false">Tranches!O87</f>
        <v>0</v>
      </c>
      <c r="C10" s="8" t="n">
        <f aca="false">Tranches!U87</f>
        <v>106961535.322616</v>
      </c>
      <c r="D10" s="8" t="n">
        <f aca="false">Tranches!AA87</f>
        <v>25000000</v>
      </c>
      <c r="E10" s="8" t="n">
        <f aca="false">Tranches!AG87</f>
        <v>29888439.6253529</v>
      </c>
    </row>
    <row r="11" customFormat="false" ht="12.75" hidden="false" customHeight="false" outlineLevel="0" collapsed="false">
      <c r="A11" s="1" t="n">
        <v>9</v>
      </c>
      <c r="B11" s="8" t="n">
        <f aca="false">Tranches!O88</f>
        <v>0</v>
      </c>
      <c r="C11" s="8" t="n">
        <f aca="false">Tranches!U88</f>
        <v>67452248.3291906</v>
      </c>
      <c r="D11" s="8" t="n">
        <f aca="false">Tranches!AA88</f>
        <v>25000000</v>
      </c>
      <c r="E11" s="8" t="n">
        <f aca="false">Tranches!AG88</f>
        <v>32578399.1916346</v>
      </c>
    </row>
    <row r="12" customFormat="false" ht="12.75" hidden="false" customHeight="false" outlineLevel="0" collapsed="false">
      <c r="A12" s="1" t="n">
        <v>10</v>
      </c>
      <c r="B12" s="8" t="n">
        <f aca="false">Tranches!O89</f>
        <v>0</v>
      </c>
      <c r="C12" s="8" t="n">
        <f aca="false">Tranches!U89</f>
        <v>29904062.3489217</v>
      </c>
      <c r="D12" s="8" t="n">
        <f aca="false">Tranches!AA89</f>
        <v>25000000</v>
      </c>
      <c r="E12" s="8" t="n">
        <f aca="false">Tranches!AG89</f>
        <v>35510455.1188818</v>
      </c>
    </row>
    <row r="13" customFormat="false" ht="12.75" hidden="false" customHeight="false" outlineLevel="0" collapsed="false">
      <c r="A13" s="1" t="n">
        <v>11</v>
      </c>
      <c r="B13" s="8" t="n">
        <f aca="false">Tranches!O90</f>
        <v>0</v>
      </c>
      <c r="C13" s="8" t="n">
        <f aca="false">Tranches!U90</f>
        <v>0</v>
      </c>
      <c r="D13" s="8" t="n">
        <f aca="false">Tranches!AA90</f>
        <v>19147549.2765358</v>
      </c>
      <c r="E13" s="8" t="n">
        <f aca="false">Tranches!AG90</f>
        <v>38706396.0795811</v>
      </c>
    </row>
    <row r="14" customFormat="false" ht="12.75" hidden="false" customHeight="false" outlineLevel="0" collapsed="false">
      <c r="A14" s="1" t="n">
        <v>12</v>
      </c>
      <c r="B14" s="8" t="n">
        <f aca="false">Tranches!O91</f>
        <v>0</v>
      </c>
      <c r="C14" s="8" t="n">
        <f aca="false">Tranches!U91</f>
        <v>0</v>
      </c>
      <c r="D14" s="8" t="n">
        <f aca="false">Tranches!AA91</f>
        <v>0</v>
      </c>
      <c r="E14" s="8" t="n">
        <f aca="false">Tranches!AG91</f>
        <v>27210708.5590888</v>
      </c>
    </row>
    <row r="15" customFormat="false" ht="12.75" hidden="false" customHeight="false" outlineLevel="0" collapsed="false">
      <c r="A15" s="1" t="n">
        <v>13</v>
      </c>
      <c r="B15" s="8" t="n">
        <f aca="false">Tranches!O92</f>
        <v>0</v>
      </c>
      <c r="C15" s="8" t="n">
        <f aca="false">Tranches!U92</f>
        <v>0</v>
      </c>
      <c r="D15" s="8" t="n">
        <f aca="false">Tranches!AA92</f>
        <v>0</v>
      </c>
      <c r="E15" s="8" t="n">
        <f aca="false">Tranches!AG92</f>
        <v>0</v>
      </c>
    </row>
    <row r="16" customFormat="false" ht="12.75" hidden="false" customHeight="false" outlineLevel="0" collapsed="false">
      <c r="A16" s="1" t="n">
        <v>14</v>
      </c>
      <c r="B16" s="8" t="n">
        <f aca="false">Tranches!O93</f>
        <v>0</v>
      </c>
      <c r="C16" s="8" t="n">
        <f aca="false">Tranches!U93</f>
        <v>0</v>
      </c>
      <c r="D16" s="8" t="n">
        <f aca="false">Tranches!AA93</f>
        <v>0</v>
      </c>
      <c r="E16" s="8" t="n">
        <f aca="false">Tranches!AG93</f>
        <v>0</v>
      </c>
    </row>
    <row r="17" customFormat="false" ht="12.75" hidden="false" customHeight="false" outlineLevel="0" collapsed="false">
      <c r="A17" s="1" t="n">
        <v>15</v>
      </c>
      <c r="B17" s="8" t="n">
        <f aca="false">Tranches!O94</f>
        <v>0</v>
      </c>
      <c r="C17" s="8" t="n">
        <f aca="false">Tranches!U94</f>
        <v>0</v>
      </c>
      <c r="D17" s="8" t="n">
        <f aca="false">Tranches!AA94</f>
        <v>0</v>
      </c>
      <c r="E17" s="8" t="n">
        <f aca="false">Tranches!AG94</f>
        <v>0</v>
      </c>
    </row>
    <row r="18" customFormat="false" ht="12.75" hidden="false" customHeight="false" outlineLevel="0" collapsed="false">
      <c r="A18" s="1" t="n">
        <v>16</v>
      </c>
      <c r="B18" s="8" t="n">
        <f aca="false">Tranches!O95</f>
        <v>0</v>
      </c>
      <c r="C18" s="8" t="n">
        <f aca="false">Tranches!U95</f>
        <v>0</v>
      </c>
      <c r="D18" s="8" t="n">
        <f aca="false">Tranches!AA95</f>
        <v>0</v>
      </c>
      <c r="E18" s="8" t="n">
        <f aca="false">Tranches!AG95</f>
        <v>0</v>
      </c>
    </row>
    <row r="19" customFormat="false" ht="12.75" hidden="false" customHeight="false" outlineLevel="0" collapsed="false">
      <c r="A19" s="1" t="n">
        <v>17</v>
      </c>
      <c r="B19" s="8" t="n">
        <f aca="false">Tranches!O96</f>
        <v>0</v>
      </c>
      <c r="C19" s="8" t="n">
        <f aca="false">Tranches!U96</f>
        <v>0</v>
      </c>
      <c r="D19" s="8" t="n">
        <f aca="false">Tranches!AA96</f>
        <v>0</v>
      </c>
      <c r="E19" s="8" t="n">
        <f aca="false">Tranches!AG96</f>
        <v>0</v>
      </c>
    </row>
    <row r="20" customFormat="false" ht="12.75" hidden="false" customHeight="false" outlineLevel="0" collapsed="false">
      <c r="A20" s="1" t="n">
        <v>18</v>
      </c>
      <c r="B20" s="8" t="n">
        <f aca="false">Tranches!O97</f>
        <v>0</v>
      </c>
      <c r="C20" s="8" t="n">
        <f aca="false">Tranches!U97</f>
        <v>0</v>
      </c>
      <c r="D20" s="8" t="n">
        <f aca="false">Tranches!AA97</f>
        <v>0</v>
      </c>
      <c r="E20" s="8" t="n">
        <f aca="false">Tranches!AG97</f>
        <v>0</v>
      </c>
    </row>
    <row r="21" customFormat="false" ht="12.75" hidden="false" customHeight="false" outlineLevel="0" collapsed="false">
      <c r="A21" s="1" t="n">
        <v>19</v>
      </c>
      <c r="B21" s="8" t="n">
        <f aca="false">Tranches!O98</f>
        <v>0</v>
      </c>
      <c r="C21" s="8" t="n">
        <f aca="false">Tranches!U98</f>
        <v>0</v>
      </c>
      <c r="D21" s="8" t="n">
        <f aca="false">Tranches!AA98</f>
        <v>0</v>
      </c>
      <c r="E21" s="8" t="n">
        <f aca="false">Tranches!AG98</f>
        <v>0</v>
      </c>
    </row>
    <row r="22" customFormat="false" ht="12.75" hidden="false" customHeight="false" outlineLevel="0" collapsed="false">
      <c r="A22" s="1" t="n">
        <v>20</v>
      </c>
      <c r="B22" s="8" t="n">
        <f aca="false">Tranches!O99</f>
        <v>0</v>
      </c>
      <c r="C22" s="8" t="n">
        <f aca="false">Tranches!U99</f>
        <v>0</v>
      </c>
      <c r="D22" s="8" t="n">
        <f aca="false">Tranches!AA99</f>
        <v>0</v>
      </c>
      <c r="E22" s="8" t="n">
        <f aca="false">Tranches!AG99</f>
        <v>0</v>
      </c>
    </row>
    <row r="23" customFormat="false" ht="12.75" hidden="false" customHeight="false" outlineLevel="0" collapsed="false">
      <c r="A23" s="1" t="n">
        <v>21</v>
      </c>
      <c r="B23" s="8" t="n">
        <f aca="false">Tranches!O100</f>
        <v>0</v>
      </c>
      <c r="C23" s="8" t="n">
        <f aca="false">Tranches!U100</f>
        <v>0</v>
      </c>
      <c r="D23" s="8" t="n">
        <f aca="false">Tranches!AA100</f>
        <v>0</v>
      </c>
      <c r="E23" s="8" t="n">
        <f aca="false">Tranches!AG100</f>
        <v>0</v>
      </c>
    </row>
    <row r="24" customFormat="false" ht="12.75" hidden="false" customHeight="false" outlineLevel="0" collapsed="false">
      <c r="A24" s="1" t="n">
        <v>22</v>
      </c>
      <c r="B24" s="8" t="n">
        <f aca="false">Tranches!O101</f>
        <v>0</v>
      </c>
      <c r="C24" s="8" t="n">
        <f aca="false">Tranches!U101</f>
        <v>0</v>
      </c>
      <c r="D24" s="8" t="n">
        <f aca="false">Tranches!AA101</f>
        <v>0</v>
      </c>
      <c r="E24" s="8" t="n">
        <f aca="false">Tranches!AG101</f>
        <v>0</v>
      </c>
    </row>
    <row r="25" customFormat="false" ht="12.75" hidden="false" customHeight="false" outlineLevel="0" collapsed="false">
      <c r="A25" s="1" t="n">
        <v>23</v>
      </c>
      <c r="B25" s="8" t="n">
        <f aca="false">Tranches!O102</f>
        <v>0</v>
      </c>
      <c r="C25" s="8" t="n">
        <f aca="false">Tranches!U102</f>
        <v>0</v>
      </c>
      <c r="D25" s="8" t="n">
        <f aca="false">Tranches!AA102</f>
        <v>0</v>
      </c>
      <c r="E25" s="8" t="n">
        <f aca="false">Tranches!AG102</f>
        <v>0</v>
      </c>
    </row>
    <row r="26" customFormat="false" ht="12.75" hidden="false" customHeight="false" outlineLevel="0" collapsed="false">
      <c r="A26" s="1" t="n">
        <v>24</v>
      </c>
      <c r="B26" s="8" t="n">
        <f aca="false">Tranches!O103</f>
        <v>0</v>
      </c>
      <c r="C26" s="8" t="n">
        <f aca="false">Tranches!U103</f>
        <v>0</v>
      </c>
      <c r="D26" s="8" t="n">
        <f aca="false">Tranches!AA103</f>
        <v>0</v>
      </c>
      <c r="E26" s="8" t="n">
        <f aca="false">Tranches!AG103</f>
        <v>0</v>
      </c>
    </row>
    <row r="27" customFormat="false" ht="12.75" hidden="false" customHeight="false" outlineLevel="0" collapsed="false">
      <c r="A27" s="1" t="n">
        <v>25</v>
      </c>
      <c r="B27" s="8" t="n">
        <f aca="false">Tranches!O104</f>
        <v>0</v>
      </c>
      <c r="C27" s="8" t="n">
        <f aca="false">Tranches!U104</f>
        <v>0</v>
      </c>
      <c r="D27" s="8" t="n">
        <f aca="false">Tranches!AA104</f>
        <v>0</v>
      </c>
      <c r="E27" s="8" t="n">
        <f aca="false">Tranches!AG104</f>
        <v>0</v>
      </c>
    </row>
    <row r="28" customFormat="false" ht="12.75" hidden="false" customHeight="false" outlineLevel="0" collapsed="false">
      <c r="A28" s="1" t="n">
        <v>26</v>
      </c>
      <c r="B28" s="8" t="n">
        <f aca="false">Tranches!O105</f>
        <v>0</v>
      </c>
      <c r="C28" s="8" t="n">
        <f aca="false">Tranches!U105</f>
        <v>0</v>
      </c>
      <c r="D28" s="8" t="n">
        <f aca="false">Tranches!AA105</f>
        <v>0</v>
      </c>
      <c r="E28" s="8" t="n">
        <f aca="false">Tranches!AG105</f>
        <v>0</v>
      </c>
    </row>
    <row r="29" customFormat="false" ht="12.75" hidden="false" customHeight="false" outlineLevel="0" collapsed="false">
      <c r="A29" s="1" t="n">
        <v>27</v>
      </c>
      <c r="B29" s="8" t="n">
        <f aca="false">Tranches!O106</f>
        <v>0</v>
      </c>
      <c r="C29" s="8" t="n">
        <f aca="false">Tranches!U106</f>
        <v>0</v>
      </c>
      <c r="D29" s="8" t="n">
        <f aca="false">Tranches!AA106</f>
        <v>0</v>
      </c>
      <c r="E29" s="8" t="n">
        <f aca="false">Tranches!AG106</f>
        <v>0</v>
      </c>
    </row>
    <row r="30" customFormat="false" ht="12.75" hidden="false" customHeight="false" outlineLevel="0" collapsed="false">
      <c r="A30" s="1" t="n">
        <v>28</v>
      </c>
      <c r="B30" s="8" t="n">
        <f aca="false">Tranches!O107</f>
        <v>0</v>
      </c>
      <c r="C30" s="8" t="n">
        <f aca="false">Tranches!U107</f>
        <v>0</v>
      </c>
      <c r="D30" s="8" t="n">
        <f aca="false">Tranches!AA107</f>
        <v>0</v>
      </c>
      <c r="E30" s="8" t="n">
        <f aca="false">Tranches!AG107</f>
        <v>0</v>
      </c>
    </row>
    <row r="31" customFormat="false" ht="12.75" hidden="false" customHeight="false" outlineLevel="0" collapsed="false">
      <c r="A31" s="1" t="n">
        <v>29</v>
      </c>
      <c r="B31" s="8" t="n">
        <f aca="false">Tranches!O108</f>
        <v>0</v>
      </c>
      <c r="C31" s="8" t="n">
        <f aca="false">Tranches!U108</f>
        <v>0</v>
      </c>
      <c r="D31" s="8" t="n">
        <f aca="false">Tranches!AA108</f>
        <v>0</v>
      </c>
      <c r="E31" s="8" t="n">
        <f aca="false">Tranches!AG108</f>
        <v>0</v>
      </c>
    </row>
    <row r="32" customFormat="false" ht="12.75" hidden="false" customHeight="false" outlineLevel="0" collapsed="false">
      <c r="A32" s="1" t="n">
        <v>30</v>
      </c>
      <c r="B32" s="8" t="n">
        <f aca="false">Tranches!O109</f>
        <v>0</v>
      </c>
      <c r="C32" s="8" t="n">
        <f aca="false">Tranches!U109</f>
        <v>0</v>
      </c>
      <c r="D32" s="8" t="n">
        <f aca="false">Tranches!AA109</f>
        <v>0</v>
      </c>
      <c r="E32" s="8" t="n">
        <f aca="false">Tranches!AG109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3" min="2" style="1" width="12.42"/>
    <col collapsed="false" customWidth="true" hidden="false" outlineLevel="0" max="4" min="4" style="1" width="9.56"/>
    <col collapsed="false" customWidth="true" hidden="false" outlineLevel="0" max="5" min="5" style="1" width="12.42"/>
    <col collapsed="false" customWidth="true" hidden="false" outlineLevel="0" max="6" min="6" style="1" width="9.56"/>
  </cols>
  <sheetData>
    <row r="2" customFormat="false" ht="12.75" hidden="false" customHeight="false" outlineLevel="0" collapsed="false">
      <c r="B2" s="5"/>
      <c r="C2" s="5"/>
      <c r="D2" s="5"/>
      <c r="E2" s="5"/>
      <c r="F2" s="5"/>
    </row>
    <row r="3" customFormat="false" ht="12.75" hidden="false" customHeight="false" outlineLevel="0" collapsed="false">
      <c r="C3" s="5"/>
      <c r="D3" s="5"/>
      <c r="E3" s="5"/>
      <c r="F3" s="5"/>
    </row>
    <row r="4" customFormat="false" ht="15.75" hidden="false" customHeight="false" outlineLevel="0" collapsed="false">
      <c r="A4" s="23"/>
      <c r="B4" s="24"/>
      <c r="C4" s="24"/>
      <c r="D4" s="24"/>
      <c r="E4" s="24"/>
      <c r="F4" s="24"/>
    </row>
    <row r="5" customFormat="false" ht="15.75" hidden="false" customHeight="false" outlineLevel="0" collapsed="false">
      <c r="A5" s="23"/>
      <c r="B5" s="24"/>
      <c r="C5" s="24"/>
      <c r="D5" s="24"/>
      <c r="E5" s="24"/>
      <c r="F5" s="24"/>
    </row>
    <row r="6" customFormat="false" ht="15.75" hidden="false" customHeight="false" outlineLevel="0" collapsed="false">
      <c r="A6" s="23"/>
      <c r="B6" s="24"/>
      <c r="C6" s="24"/>
      <c r="D6" s="24"/>
      <c r="E6" s="24"/>
      <c r="F6" s="24"/>
    </row>
    <row r="7" customFormat="false" ht="15.75" hidden="false" customHeight="false" outlineLevel="0" collapsed="false">
      <c r="A7" s="23"/>
      <c r="B7" s="24"/>
      <c r="C7" s="24"/>
      <c r="D7" s="24"/>
      <c r="E7" s="24"/>
      <c r="F7" s="24"/>
    </row>
    <row r="8" customFormat="false" ht="15.75" hidden="false" customHeight="false" outlineLevel="0" collapsed="false">
      <c r="A8" s="23"/>
      <c r="B8" s="24"/>
      <c r="C8" s="24"/>
      <c r="D8" s="24"/>
      <c r="E8" s="24"/>
      <c r="F8" s="24"/>
    </row>
    <row r="9" customFormat="false" ht="15.75" hidden="false" customHeight="false" outlineLevel="0" collapsed="false">
      <c r="A9" s="23"/>
      <c r="B9" s="24"/>
      <c r="C9" s="24"/>
      <c r="D9" s="24"/>
      <c r="E9" s="24"/>
      <c r="F9" s="24"/>
    </row>
    <row r="10" customFormat="false" ht="15.75" hidden="false" customHeight="false" outlineLevel="0" collapsed="false">
      <c r="A10" s="23"/>
      <c r="B10" s="24"/>
      <c r="C10" s="24"/>
      <c r="D10" s="24"/>
      <c r="E10" s="24"/>
      <c r="F10" s="24"/>
    </row>
    <row r="11" customFormat="false" ht="15.75" hidden="false" customHeight="false" outlineLevel="0" collapsed="false">
      <c r="A11" s="23"/>
      <c r="B11" s="24"/>
      <c r="C11" s="24"/>
      <c r="D11" s="24"/>
      <c r="E11" s="24"/>
      <c r="F11" s="24"/>
    </row>
    <row r="12" customFormat="false" ht="15.75" hidden="false" customHeight="false" outlineLevel="0" collapsed="false">
      <c r="A12" s="23"/>
      <c r="B12" s="24"/>
      <c r="C12" s="24"/>
      <c r="D12" s="24"/>
      <c r="E12" s="24"/>
      <c r="F12" s="24"/>
    </row>
    <row r="13" customFormat="false" ht="15.75" hidden="false" customHeight="false" outlineLevel="0" collapsed="false">
      <c r="A13" s="23"/>
      <c r="B13" s="24"/>
      <c r="C13" s="24"/>
      <c r="D13" s="24"/>
      <c r="E13" s="24"/>
      <c r="F13" s="24"/>
    </row>
    <row r="14" customFormat="false" ht="15.75" hidden="false" customHeight="false" outlineLevel="0" collapsed="false">
      <c r="A14" s="23"/>
      <c r="B14" s="24"/>
      <c r="C14" s="24"/>
      <c r="D14" s="24"/>
      <c r="E14" s="24"/>
      <c r="F14" s="24"/>
    </row>
    <row r="15" customFormat="false" ht="15.75" hidden="false" customHeight="false" outlineLevel="0" collapsed="false">
      <c r="A15" s="23"/>
      <c r="B15" s="24"/>
      <c r="C15" s="24"/>
      <c r="D15" s="24"/>
      <c r="E15" s="24"/>
      <c r="F15" s="24"/>
    </row>
    <row r="16" customFormat="false" ht="15.75" hidden="false" customHeight="false" outlineLevel="0" collapsed="false">
      <c r="A16" s="23"/>
      <c r="B16" s="24"/>
      <c r="C16" s="24"/>
      <c r="D16" s="24"/>
      <c r="E16" s="24"/>
      <c r="F16" s="24"/>
    </row>
    <row r="17" customFormat="false" ht="15.75" hidden="false" customHeight="false" outlineLevel="0" collapsed="false">
      <c r="A17" s="23"/>
      <c r="B17" s="24"/>
      <c r="C17" s="24"/>
      <c r="D17" s="24"/>
      <c r="E17" s="24"/>
      <c r="F17" s="24"/>
    </row>
    <row r="18" customFormat="false" ht="15.75" hidden="false" customHeight="false" outlineLevel="0" collapsed="false">
      <c r="A18" s="23"/>
      <c r="B18" s="24"/>
      <c r="C18" s="24"/>
      <c r="D18" s="24"/>
      <c r="E18" s="24"/>
      <c r="F18" s="24"/>
    </row>
    <row r="19" customFormat="false" ht="15.75" hidden="false" customHeight="false" outlineLevel="0" collapsed="false">
      <c r="A19" s="23"/>
      <c r="B19" s="24"/>
      <c r="C19" s="24"/>
      <c r="D19" s="24"/>
      <c r="E19" s="24"/>
      <c r="F19" s="24"/>
    </row>
    <row r="20" customFormat="false" ht="15.75" hidden="false" customHeight="false" outlineLevel="0" collapsed="false">
      <c r="A20" s="23"/>
      <c r="B20" s="24"/>
      <c r="C20" s="24"/>
      <c r="D20" s="24"/>
      <c r="E20" s="24"/>
      <c r="F20" s="24"/>
    </row>
    <row r="21" customFormat="false" ht="15.75" hidden="false" customHeight="false" outlineLevel="0" collapsed="false">
      <c r="A21" s="23"/>
      <c r="B21" s="24"/>
      <c r="C21" s="24"/>
      <c r="D21" s="24"/>
      <c r="E21" s="24"/>
      <c r="F21" s="24"/>
    </row>
    <row r="22" customFormat="false" ht="15.75" hidden="false" customHeight="false" outlineLevel="0" collapsed="false">
      <c r="A22" s="23"/>
      <c r="B22" s="24"/>
      <c r="C22" s="24"/>
      <c r="D22" s="24"/>
      <c r="E22" s="24"/>
      <c r="F22" s="24"/>
    </row>
    <row r="23" customFormat="false" ht="15.75" hidden="false" customHeight="false" outlineLevel="0" collapsed="false">
      <c r="A23" s="23"/>
      <c r="B23" s="24"/>
      <c r="C23" s="24"/>
      <c r="D23" s="24"/>
      <c r="E23" s="24"/>
      <c r="F23" s="24"/>
    </row>
    <row r="24" customFormat="false" ht="15.75" hidden="false" customHeight="false" outlineLevel="0" collapsed="false">
      <c r="A24" s="23"/>
      <c r="B24" s="24"/>
      <c r="C24" s="24"/>
      <c r="D24" s="24"/>
      <c r="E24" s="24"/>
      <c r="F24" s="24"/>
    </row>
    <row r="25" customFormat="false" ht="15.75" hidden="false" customHeight="false" outlineLevel="0" collapsed="false">
      <c r="A25" s="23"/>
      <c r="B25" s="24"/>
      <c r="C25" s="24"/>
      <c r="D25" s="24"/>
      <c r="E25" s="24"/>
      <c r="F25" s="24"/>
    </row>
    <row r="26" customFormat="false" ht="15.75" hidden="false" customHeight="false" outlineLevel="0" collapsed="false">
      <c r="A26" s="23"/>
      <c r="B26" s="24"/>
      <c r="C26" s="24"/>
      <c r="D26" s="24"/>
      <c r="E26" s="24"/>
      <c r="F26" s="24"/>
    </row>
    <row r="27" customFormat="false" ht="15.75" hidden="false" customHeight="false" outlineLevel="0" collapsed="false">
      <c r="A27" s="23"/>
      <c r="B27" s="24"/>
      <c r="C27" s="24"/>
      <c r="D27" s="24"/>
      <c r="E27" s="24"/>
      <c r="F27" s="24"/>
    </row>
    <row r="28" customFormat="false" ht="15.75" hidden="false" customHeight="false" outlineLevel="0" collapsed="false">
      <c r="A28" s="23"/>
      <c r="B28" s="24"/>
      <c r="C28" s="24"/>
      <c r="D28" s="24"/>
      <c r="E28" s="24"/>
      <c r="F28" s="24"/>
    </row>
    <row r="29" customFormat="false" ht="15.75" hidden="false" customHeight="false" outlineLevel="0" collapsed="false">
      <c r="A29" s="23"/>
      <c r="B29" s="24"/>
      <c r="C29" s="24"/>
      <c r="D29" s="24"/>
      <c r="E29" s="24"/>
      <c r="F29" s="24"/>
    </row>
    <row r="30" customFormat="false" ht="15.75" hidden="false" customHeight="false" outlineLevel="0" collapsed="false">
      <c r="A30" s="23"/>
      <c r="B30" s="24"/>
      <c r="C30" s="24"/>
      <c r="D30" s="24"/>
      <c r="E30" s="24"/>
      <c r="F30" s="24"/>
    </row>
    <row r="31" customFormat="false" ht="15.75" hidden="false" customHeight="false" outlineLevel="0" collapsed="false">
      <c r="A31" s="23"/>
      <c r="B31" s="24"/>
      <c r="C31" s="24"/>
      <c r="D31" s="24"/>
      <c r="E31" s="24"/>
      <c r="F31" s="24"/>
    </row>
    <row r="32" customFormat="false" ht="15.75" hidden="false" customHeight="false" outlineLevel="0" collapsed="false">
      <c r="A32" s="23"/>
      <c r="B32" s="24"/>
      <c r="C32" s="24"/>
      <c r="D32" s="24"/>
      <c r="E32" s="24"/>
      <c r="F32" s="24"/>
    </row>
    <row r="33" customFormat="false" ht="15.75" hidden="false" customHeight="false" outlineLevel="0" collapsed="false">
      <c r="A33" s="23"/>
      <c r="B33" s="24"/>
      <c r="C33" s="24"/>
      <c r="D33" s="24"/>
      <c r="E33" s="24"/>
      <c r="F33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M25"/>
  <sheetViews>
    <sheetView showFormulas="false" showGridLines="true" showRowColHeaders="true" showZeros="true" rightToLeft="false" tabSelected="false" showOutlineSymbols="true" defaultGridColor="true" view="normal" topLeftCell="AC3" colorId="64" zoomScale="100" zoomScaleNormal="100" zoomScalePageLayoutView="100" workbookViewId="0">
      <selection pane="topLeft" activeCell="D6" activeCellId="0" sqref="D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5.41"/>
    <col collapsed="false" customWidth="true" hidden="false" outlineLevel="0" max="3" min="3" style="1" width="11.85"/>
    <col collapsed="false" customWidth="true" hidden="false" outlineLevel="0" max="5" min="4" style="1" width="11.28"/>
  </cols>
  <sheetData>
    <row r="2" customFormat="false" ht="12.75" hidden="false" customHeight="false" outlineLevel="0" collapsed="false">
      <c r="A2" s="1" t="s">
        <v>4</v>
      </c>
      <c r="B2" s="1" t="n">
        <v>0.1</v>
      </c>
    </row>
    <row r="3" customFormat="false" ht="12.75" hidden="false" customHeight="false" outlineLevel="0" collapsed="false">
      <c r="A3" s="1" t="s">
        <v>5</v>
      </c>
      <c r="B3" s="1" t="n">
        <v>100000</v>
      </c>
    </row>
    <row r="4" customFormat="false" ht="12.75" hidden="false" customHeight="false" outlineLevel="0" collapsed="false">
      <c r="A4" s="1" t="s">
        <v>6</v>
      </c>
      <c r="B4" s="1" t="n">
        <f aca="false">B2*B3</f>
        <v>10000</v>
      </c>
    </row>
    <row r="5" customFormat="false" ht="12.75" hidden="false" customHeight="false" outlineLevel="0" collapsed="false">
      <c r="B5" s="5" t="s">
        <v>7</v>
      </c>
      <c r="C5" s="5" t="s">
        <v>8</v>
      </c>
      <c r="D5" s="5" t="s">
        <v>9</v>
      </c>
      <c r="E5" s="5" t="s">
        <v>10</v>
      </c>
      <c r="F5" s="1" t="n">
        <f aca="false">-0.8*100000</f>
        <v>-80000</v>
      </c>
      <c r="G5" s="1" t="n">
        <v>1</v>
      </c>
      <c r="H5" s="1" t="n">
        <v>2</v>
      </c>
      <c r="I5" s="1" t="n">
        <v>3</v>
      </c>
      <c r="J5" s="1" t="n">
        <v>4</v>
      </c>
      <c r="K5" s="1" t="n">
        <v>5</v>
      </c>
      <c r="L5" s="1" t="n">
        <v>6</v>
      </c>
      <c r="M5" s="1" t="n">
        <v>7</v>
      </c>
      <c r="N5" s="1" t="n">
        <v>8</v>
      </c>
      <c r="O5" s="1" t="n">
        <v>9</v>
      </c>
      <c r="P5" s="1" t="n">
        <v>10</v>
      </c>
      <c r="Q5" s="1" t="n">
        <v>11</v>
      </c>
      <c r="R5" s="1" t="n">
        <v>12</v>
      </c>
      <c r="S5" s="1" t="n">
        <v>13</v>
      </c>
      <c r="T5" s="1" t="n">
        <v>14</v>
      </c>
      <c r="U5" s="1" t="n">
        <v>15</v>
      </c>
      <c r="V5" s="1" t="n">
        <v>16</v>
      </c>
      <c r="W5" s="1" t="n">
        <v>17</v>
      </c>
      <c r="X5" s="1" t="n">
        <v>18</v>
      </c>
      <c r="Y5" s="1" t="n">
        <v>19</v>
      </c>
      <c r="Z5" s="1" t="n">
        <v>20</v>
      </c>
      <c r="AM5" s="1" t="s">
        <v>11</v>
      </c>
    </row>
    <row r="6" customFormat="false" ht="12.75" hidden="false" customHeight="false" outlineLevel="0" collapsed="false">
      <c r="A6" s="1" t="n">
        <v>1</v>
      </c>
      <c r="B6" s="6" t="n">
        <f aca="false">IRR(F6:G6,0.1)</f>
        <v>0.375</v>
      </c>
      <c r="C6" s="6" t="n">
        <v>-0.0833333333333315</v>
      </c>
      <c r="D6" s="6" t="n">
        <v>0.374999999999997</v>
      </c>
      <c r="E6" s="6" t="n">
        <v>0.1</v>
      </c>
      <c r="F6" s="1" t="n">
        <f aca="false">$F$5</f>
        <v>-80000</v>
      </c>
      <c r="G6" s="1" t="n">
        <f aca="false">B3+B4</f>
        <v>110000</v>
      </c>
    </row>
    <row r="7" customFormat="false" ht="12.75" hidden="false" customHeight="false" outlineLevel="0" collapsed="false">
      <c r="A7" s="1" t="n">
        <v>2</v>
      </c>
      <c r="B7" s="6" t="n">
        <f aca="false">IRR(F7:H7,0.1)</f>
        <v>0.236768389253496</v>
      </c>
      <c r="C7" s="6" t="n">
        <v>-3.43707532172253E-017</v>
      </c>
      <c r="D7" s="6" t="n">
        <v>0.236768389253496</v>
      </c>
      <c r="E7" s="6" t="n">
        <v>0.1</v>
      </c>
      <c r="F7" s="1" t="n">
        <f aca="false">$F$5</f>
        <v>-80000</v>
      </c>
      <c r="G7" s="1" t="n">
        <f aca="false">$B$4</f>
        <v>10000</v>
      </c>
      <c r="H7" s="1" t="n">
        <f aca="false">$B$4+$B$3</f>
        <v>110000</v>
      </c>
    </row>
    <row r="8" customFormat="false" ht="12.75" hidden="false" customHeight="false" outlineLevel="0" collapsed="false">
      <c r="A8" s="1" t="n">
        <v>3</v>
      </c>
      <c r="B8" s="6" t="n">
        <f aca="false">IRR(F8:I8,0.1)</f>
        <v>0.194063606556439</v>
      </c>
      <c r="C8" s="6" t="n">
        <v>0.0293784103140557</v>
      </c>
      <c r="D8" s="6" t="n">
        <v>0.194063606556439</v>
      </c>
      <c r="E8" s="6" t="n">
        <v>0.1</v>
      </c>
      <c r="F8" s="1" t="n">
        <f aca="false">$F$5</f>
        <v>-80000</v>
      </c>
      <c r="G8" s="1" t="n">
        <f aca="false">$B$4</f>
        <v>10000</v>
      </c>
      <c r="H8" s="1" t="n">
        <f aca="false">$B$4</f>
        <v>10000</v>
      </c>
      <c r="I8" s="1" t="n">
        <f aca="false">H7</f>
        <v>110000</v>
      </c>
    </row>
    <row r="9" customFormat="false" ht="12.75" hidden="false" customHeight="false" outlineLevel="0" collapsed="false">
      <c r="A9" s="1" t="n">
        <v>4</v>
      </c>
      <c r="B9" s="6" t="n">
        <f aca="false">IRR($F9:J9,0.1)</f>
        <v>0.173394792923602</v>
      </c>
      <c r="C9" s="6" t="n">
        <v>0.0443376406587214</v>
      </c>
      <c r="D9" s="6" t="n">
        <v>0.173394792923619</v>
      </c>
      <c r="E9" s="6" t="n">
        <v>0.1</v>
      </c>
      <c r="F9" s="1" t="n">
        <f aca="false">$F$5</f>
        <v>-80000</v>
      </c>
      <c r="G9" s="1" t="n">
        <f aca="false">$B$4</f>
        <v>10000</v>
      </c>
      <c r="H9" s="1" t="n">
        <f aca="false">$B$4</f>
        <v>10000</v>
      </c>
      <c r="I9" s="1" t="n">
        <f aca="false">$B$4</f>
        <v>10000</v>
      </c>
      <c r="J9" s="1" t="n">
        <f aca="false">I8</f>
        <v>110000</v>
      </c>
    </row>
    <row r="10" customFormat="false" ht="12.75" hidden="false" customHeight="false" outlineLevel="0" collapsed="false">
      <c r="A10" s="1" t="n">
        <v>5</v>
      </c>
      <c r="B10" s="6" t="n">
        <f aca="false">IRR($F10:K10,0.1)</f>
        <v>0.161261756739074</v>
      </c>
      <c r="C10" s="6" t="n">
        <v>0.0533734246972753</v>
      </c>
      <c r="D10" s="6" t="n">
        <v>0.161261756739086</v>
      </c>
      <c r="E10" s="6" t="n">
        <v>0.1</v>
      </c>
      <c r="F10" s="1" t="n">
        <f aca="false">$F$5</f>
        <v>-80000</v>
      </c>
      <c r="G10" s="1" t="n">
        <f aca="false">$B$4</f>
        <v>10000</v>
      </c>
      <c r="H10" s="1" t="n">
        <f aca="false">$B$4</f>
        <v>10000</v>
      </c>
      <c r="I10" s="1" t="n">
        <f aca="false">$B$4</f>
        <v>10000</v>
      </c>
      <c r="J10" s="1" t="n">
        <f aca="false">$B$4</f>
        <v>10000</v>
      </c>
      <c r="K10" s="1" t="n">
        <f aca="false">J9</f>
        <v>110000</v>
      </c>
    </row>
    <row r="11" customFormat="false" ht="12.75" hidden="false" customHeight="false" outlineLevel="0" collapsed="false">
      <c r="A11" s="1" t="n">
        <v>6</v>
      </c>
      <c r="B11" s="6" t="n">
        <f aca="false">IRR($F11:L11,0.1)</f>
        <v>0.15332084290467</v>
      </c>
      <c r="C11" s="6" t="n">
        <v>0.0594036497659444</v>
      </c>
      <c r="D11" s="6" t="n">
        <v>0.153320842904681</v>
      </c>
      <c r="E11" s="6" t="n">
        <v>0.1</v>
      </c>
      <c r="F11" s="1" t="n">
        <f aca="false">$F$5</f>
        <v>-80000</v>
      </c>
      <c r="G11" s="1" t="n">
        <f aca="false">$B$4</f>
        <v>10000</v>
      </c>
      <c r="H11" s="1" t="n">
        <f aca="false">$B$4</f>
        <v>10000</v>
      </c>
      <c r="I11" s="1" t="n">
        <f aca="false">$B$4</f>
        <v>10000</v>
      </c>
      <c r="J11" s="1" t="n">
        <f aca="false">$B$4</f>
        <v>10000</v>
      </c>
      <c r="K11" s="1" t="n">
        <f aca="false">$B$4</f>
        <v>10000</v>
      </c>
      <c r="L11" s="1" t="n">
        <f aca="false">K10</f>
        <v>110000</v>
      </c>
    </row>
    <row r="12" customFormat="false" ht="12.75" hidden="false" customHeight="false" outlineLevel="0" collapsed="false">
      <c r="A12" s="1" t="n">
        <v>7</v>
      </c>
      <c r="B12" s="6" t="n">
        <f aca="false">IRR($F12:M12,0.1)</f>
        <v>0.147747696791622</v>
      </c>
      <c r="C12" s="6" t="n">
        <v>0.0637003803269131</v>
      </c>
      <c r="D12" s="6" t="n">
        <v>0.147747696791633</v>
      </c>
      <c r="E12" s="6" t="n">
        <v>0.1</v>
      </c>
      <c r="F12" s="1" t="n">
        <f aca="false">$F$5</f>
        <v>-80000</v>
      </c>
      <c r="G12" s="1" t="n">
        <f aca="false">$B$4</f>
        <v>10000</v>
      </c>
      <c r="H12" s="1" t="n">
        <f aca="false">$B$4</f>
        <v>10000</v>
      </c>
      <c r="I12" s="1" t="n">
        <f aca="false">$B$4</f>
        <v>10000</v>
      </c>
      <c r="J12" s="1" t="n">
        <f aca="false">$B$4</f>
        <v>10000</v>
      </c>
      <c r="K12" s="1" t="n">
        <f aca="false">$B$4</f>
        <v>10000</v>
      </c>
      <c r="L12" s="1" t="n">
        <f aca="false">$B$4</f>
        <v>10000</v>
      </c>
      <c r="M12" s="1" t="n">
        <f aca="false">L11</f>
        <v>110000</v>
      </c>
    </row>
    <row r="13" customFormat="false" ht="12.75" hidden="false" customHeight="false" outlineLevel="0" collapsed="false">
      <c r="A13" s="1" t="n">
        <v>8</v>
      </c>
      <c r="B13" s="7" t="n">
        <f aca="false">IRR($F13:N13,0.1)</f>
        <v>0.143642084449467</v>
      </c>
      <c r="C13" s="6" t="n">
        <v>0.0669068264939176</v>
      </c>
      <c r="D13" s="6" t="n">
        <v>0.143642084449478</v>
      </c>
      <c r="E13" s="6" t="n">
        <v>0.1</v>
      </c>
      <c r="F13" s="1" t="n">
        <f aca="false">$F$5</f>
        <v>-80000</v>
      </c>
      <c r="G13" s="1" t="n">
        <f aca="false">$B$4</f>
        <v>10000</v>
      </c>
      <c r="H13" s="1" t="n">
        <f aca="false">$B$4</f>
        <v>10000</v>
      </c>
      <c r="I13" s="1" t="n">
        <f aca="false">$B$4</f>
        <v>10000</v>
      </c>
      <c r="J13" s="1" t="n">
        <f aca="false">$B$4</f>
        <v>10000</v>
      </c>
      <c r="K13" s="1" t="n">
        <f aca="false">$B$4</f>
        <v>10000</v>
      </c>
      <c r="L13" s="1" t="n">
        <f aca="false">$B$4</f>
        <v>10000</v>
      </c>
      <c r="M13" s="1" t="n">
        <f aca="false">$B$4</f>
        <v>10000</v>
      </c>
      <c r="N13" s="1" t="n">
        <f aca="false">M12</f>
        <v>110000</v>
      </c>
    </row>
    <row r="14" customFormat="false" ht="12.75" hidden="false" customHeight="false" outlineLevel="0" collapsed="false">
      <c r="A14" s="1" t="n">
        <v>9</v>
      </c>
      <c r="B14" s="7" t="n">
        <f aca="false">IRR($F14:O14,0.1)</f>
        <v>0.140508482782328</v>
      </c>
      <c r="C14" s="6" t="n">
        <v>0.0693832015695749</v>
      </c>
      <c r="D14" s="6" t="n">
        <v>0.140508482782341</v>
      </c>
      <c r="E14" s="6" t="n">
        <v>0.1</v>
      </c>
      <c r="F14" s="1" t="n">
        <f aca="false">$F$5</f>
        <v>-80000</v>
      </c>
      <c r="G14" s="1" t="n">
        <f aca="false">$B$4</f>
        <v>10000</v>
      </c>
      <c r="H14" s="1" t="n">
        <f aca="false">$B$4</f>
        <v>10000</v>
      </c>
      <c r="I14" s="1" t="n">
        <f aca="false">$B$4</f>
        <v>10000</v>
      </c>
      <c r="J14" s="1" t="n">
        <f aca="false">$B$4</f>
        <v>10000</v>
      </c>
      <c r="K14" s="1" t="n">
        <f aca="false">$B$4</f>
        <v>10000</v>
      </c>
      <c r="L14" s="1" t="n">
        <f aca="false">$B$4</f>
        <v>10000</v>
      </c>
      <c r="M14" s="1" t="n">
        <f aca="false">$B$4</f>
        <v>10000</v>
      </c>
      <c r="N14" s="1" t="n">
        <f aca="false">$B$4</f>
        <v>10000</v>
      </c>
      <c r="O14" s="1" t="n">
        <f aca="false">N13</f>
        <v>110000</v>
      </c>
    </row>
    <row r="15" customFormat="false" ht="12.75" hidden="false" customHeight="false" outlineLevel="0" collapsed="false">
      <c r="A15" s="1" t="n">
        <v>10</v>
      </c>
      <c r="B15" s="7" t="n">
        <f aca="false">IRR($F15:P15,0.1)</f>
        <v>0.138051586118202</v>
      </c>
      <c r="C15" s="6" t="n">
        <v>0.0713469456928974</v>
      </c>
      <c r="D15" s="6" t="n">
        <v>0.138051586118217</v>
      </c>
      <c r="E15" s="6" t="n">
        <v>0.1</v>
      </c>
      <c r="F15" s="1" t="n">
        <f aca="false">$F$5</f>
        <v>-80000</v>
      </c>
      <c r="G15" s="1" t="n">
        <f aca="false">$B$4</f>
        <v>10000</v>
      </c>
      <c r="H15" s="1" t="n">
        <f aca="false">$B$4</f>
        <v>10000</v>
      </c>
      <c r="I15" s="1" t="n">
        <f aca="false">$B$4</f>
        <v>10000</v>
      </c>
      <c r="J15" s="1" t="n">
        <f aca="false">$B$4</f>
        <v>10000</v>
      </c>
      <c r="K15" s="1" t="n">
        <f aca="false">$B$4</f>
        <v>10000</v>
      </c>
      <c r="L15" s="1" t="n">
        <f aca="false">$B$4</f>
        <v>10000</v>
      </c>
      <c r="M15" s="1" t="n">
        <f aca="false">$B$4</f>
        <v>10000</v>
      </c>
      <c r="N15" s="1" t="n">
        <f aca="false">$B$4</f>
        <v>10000</v>
      </c>
      <c r="O15" s="1" t="n">
        <f aca="false">$B$4</f>
        <v>10000</v>
      </c>
      <c r="P15" s="1" t="n">
        <f aca="false">O14</f>
        <v>110000</v>
      </c>
    </row>
    <row r="16" customFormat="false" ht="12.75" hidden="false" customHeight="false" outlineLevel="0" collapsed="false">
      <c r="A16" s="1" t="n">
        <v>11</v>
      </c>
      <c r="B16" s="7" t="n">
        <f aca="false">IRR($F16:Q16,0.1)</f>
        <v>0.136084423957919</v>
      </c>
      <c r="C16" s="6" t="n">
        <v>0.072937091533089</v>
      </c>
      <c r="D16" s="6" t="n">
        <v>0.136084423957936</v>
      </c>
      <c r="E16" s="6" t="n">
        <v>0.1</v>
      </c>
      <c r="F16" s="1" t="n">
        <f aca="false">$F$5</f>
        <v>-80000</v>
      </c>
      <c r="G16" s="1" t="n">
        <f aca="false">$B$4</f>
        <v>10000</v>
      </c>
      <c r="H16" s="1" t="n">
        <f aca="false">$B$4</f>
        <v>10000</v>
      </c>
      <c r="I16" s="1" t="n">
        <f aca="false">$B$4</f>
        <v>10000</v>
      </c>
      <c r="J16" s="1" t="n">
        <f aca="false">$B$4</f>
        <v>10000</v>
      </c>
      <c r="K16" s="1" t="n">
        <f aca="false">$B$4</f>
        <v>10000</v>
      </c>
      <c r="L16" s="1" t="n">
        <f aca="false">$B$4</f>
        <v>10000</v>
      </c>
      <c r="M16" s="1" t="n">
        <f aca="false">$B$4</f>
        <v>10000</v>
      </c>
      <c r="N16" s="1" t="n">
        <f aca="false">$B$4</f>
        <v>10000</v>
      </c>
      <c r="O16" s="1" t="n">
        <f aca="false">$B$4</f>
        <v>10000</v>
      </c>
      <c r="P16" s="1" t="n">
        <f aca="false">$B$4</f>
        <v>10000</v>
      </c>
      <c r="Q16" s="1" t="n">
        <f aca="false">P15</f>
        <v>110000</v>
      </c>
    </row>
    <row r="17" customFormat="false" ht="12.75" hidden="false" customHeight="false" outlineLevel="0" collapsed="false">
      <c r="A17" s="1" t="n">
        <v>12</v>
      </c>
      <c r="B17" s="7" t="n">
        <f aca="false">IRR($F17:R17,0.1)</f>
        <v>0.134482825253986</v>
      </c>
      <c r="C17" s="6" t="n">
        <v>0.0742466885574453</v>
      </c>
      <c r="D17" s="6" t="n">
        <v>0.134482825254007</v>
      </c>
      <c r="E17" s="6" t="n">
        <v>0.1</v>
      </c>
      <c r="F17" s="1" t="n">
        <f aca="false">$F$5</f>
        <v>-80000</v>
      </c>
      <c r="G17" s="1" t="n">
        <f aca="false">$B$4</f>
        <v>10000</v>
      </c>
      <c r="H17" s="1" t="n">
        <f aca="false">$B$4</f>
        <v>10000</v>
      </c>
      <c r="I17" s="1" t="n">
        <f aca="false">$B$4</f>
        <v>10000</v>
      </c>
      <c r="J17" s="1" t="n">
        <f aca="false">$B$4</f>
        <v>10000</v>
      </c>
      <c r="K17" s="1" t="n">
        <f aca="false">$B$4</f>
        <v>10000</v>
      </c>
      <c r="L17" s="1" t="n">
        <f aca="false">$B$4</f>
        <v>10000</v>
      </c>
      <c r="M17" s="1" t="n">
        <f aca="false">$B$4</f>
        <v>10000</v>
      </c>
      <c r="N17" s="1" t="n">
        <f aca="false">$B$4</f>
        <v>10000</v>
      </c>
      <c r="O17" s="1" t="n">
        <f aca="false">$B$4</f>
        <v>10000</v>
      </c>
      <c r="P17" s="1" t="n">
        <f aca="false">$B$4</f>
        <v>10000</v>
      </c>
      <c r="Q17" s="1" t="n">
        <f aca="false">$B$4</f>
        <v>10000</v>
      </c>
      <c r="R17" s="1" t="n">
        <f aca="false">Q16</f>
        <v>110000</v>
      </c>
    </row>
    <row r="18" customFormat="false" ht="12.75" hidden="false" customHeight="false" outlineLevel="0" collapsed="false">
      <c r="A18" s="1" t="n">
        <v>13</v>
      </c>
      <c r="B18" s="7" t="n">
        <f aca="false">IRR($F18:S18,0.1)</f>
        <v>0.133161071103214</v>
      </c>
      <c r="C18" s="6" t="n">
        <v>0.0753403656654802</v>
      </c>
      <c r="D18" s="6" t="n">
        <v>0.133161071103239</v>
      </c>
      <c r="E18" s="6" t="n">
        <v>0.1</v>
      </c>
      <c r="F18" s="1" t="n">
        <f aca="false">$F$5</f>
        <v>-80000</v>
      </c>
      <c r="G18" s="1" t="n">
        <f aca="false">$B$4</f>
        <v>10000</v>
      </c>
      <c r="H18" s="1" t="n">
        <f aca="false">$B$4</f>
        <v>10000</v>
      </c>
      <c r="I18" s="1" t="n">
        <f aca="false">$B$4</f>
        <v>10000</v>
      </c>
      <c r="J18" s="1" t="n">
        <f aca="false">$B$4</f>
        <v>10000</v>
      </c>
      <c r="K18" s="1" t="n">
        <f aca="false">$B$4</f>
        <v>10000</v>
      </c>
      <c r="L18" s="1" t="n">
        <f aca="false">$B$4</f>
        <v>10000</v>
      </c>
      <c r="M18" s="1" t="n">
        <f aca="false">$B$4</f>
        <v>10000</v>
      </c>
      <c r="N18" s="1" t="n">
        <f aca="false">$B$4</f>
        <v>10000</v>
      </c>
      <c r="O18" s="1" t="n">
        <f aca="false">$B$4</f>
        <v>10000</v>
      </c>
      <c r="P18" s="1" t="n">
        <f aca="false">$B$4</f>
        <v>10000</v>
      </c>
      <c r="Q18" s="1" t="n">
        <f aca="false">$B$4</f>
        <v>10000</v>
      </c>
      <c r="R18" s="1" t="n">
        <f aca="false">$B$4</f>
        <v>10000</v>
      </c>
      <c r="S18" s="1" t="n">
        <f aca="false">R17</f>
        <v>110000</v>
      </c>
    </row>
    <row r="19" customFormat="false" ht="12.75" hidden="false" customHeight="false" outlineLevel="0" collapsed="false">
      <c r="A19" s="1" t="n">
        <v>14</v>
      </c>
      <c r="B19" s="7" t="n">
        <f aca="false">IRR($F19:T19,0.1)</f>
        <v>0.132058061659303</v>
      </c>
      <c r="C19" s="6" t="n">
        <v>0.0762644152068725</v>
      </c>
      <c r="D19" s="6" t="n">
        <v>0.132058061659332</v>
      </c>
      <c r="E19" s="6" t="n">
        <v>0.1</v>
      </c>
      <c r="F19" s="1" t="n">
        <f aca="false">$F$5</f>
        <v>-80000</v>
      </c>
      <c r="G19" s="1" t="n">
        <f aca="false">$B$4</f>
        <v>10000</v>
      </c>
      <c r="H19" s="1" t="n">
        <f aca="false">$B$4</f>
        <v>10000</v>
      </c>
      <c r="I19" s="1" t="n">
        <f aca="false">$B$4</f>
        <v>10000</v>
      </c>
      <c r="J19" s="1" t="n">
        <f aca="false">$B$4</f>
        <v>10000</v>
      </c>
      <c r="K19" s="1" t="n">
        <f aca="false">$B$4</f>
        <v>10000</v>
      </c>
      <c r="L19" s="1" t="n">
        <f aca="false">$B$4</f>
        <v>10000</v>
      </c>
      <c r="M19" s="1" t="n">
        <f aca="false">$B$4</f>
        <v>10000</v>
      </c>
      <c r="N19" s="1" t="n">
        <f aca="false">$B$4</f>
        <v>10000</v>
      </c>
      <c r="O19" s="1" t="n">
        <f aca="false">$B$4</f>
        <v>10000</v>
      </c>
      <c r="P19" s="1" t="n">
        <f aca="false">$B$4</f>
        <v>10000</v>
      </c>
      <c r="Q19" s="1" t="n">
        <f aca="false">$B$4</f>
        <v>10000</v>
      </c>
      <c r="R19" s="1" t="n">
        <f aca="false">$B$4</f>
        <v>10000</v>
      </c>
      <c r="S19" s="1" t="n">
        <f aca="false">$B$4</f>
        <v>10000</v>
      </c>
      <c r="T19" s="1" t="n">
        <f aca="false">S18</f>
        <v>110000</v>
      </c>
    </row>
    <row r="20" customFormat="false" ht="12.75" hidden="false" customHeight="false" outlineLevel="0" collapsed="false">
      <c r="A20" s="1" t="n">
        <v>15</v>
      </c>
      <c r="B20" s="7" t="n">
        <f aca="false">IRR($F20:U20,0.1)</f>
        <v>0.131129055945287</v>
      </c>
      <c r="C20" s="6" t="n">
        <v>0.0770528674934849</v>
      </c>
      <c r="D20" s="6" t="n">
        <v>0.131129055945322</v>
      </c>
      <c r="E20" s="6" t="n">
        <v>0.1</v>
      </c>
      <c r="F20" s="1" t="n">
        <f aca="false">$F$5</f>
        <v>-80000</v>
      </c>
      <c r="G20" s="1" t="n">
        <f aca="false">$B$4</f>
        <v>10000</v>
      </c>
      <c r="H20" s="1" t="n">
        <f aca="false">$B$4</f>
        <v>10000</v>
      </c>
      <c r="I20" s="1" t="n">
        <f aca="false">$B$4</f>
        <v>10000</v>
      </c>
      <c r="J20" s="1" t="n">
        <f aca="false">$B$4</f>
        <v>10000</v>
      </c>
      <c r="K20" s="1" t="n">
        <f aca="false">$B$4</f>
        <v>10000</v>
      </c>
      <c r="L20" s="1" t="n">
        <f aca="false">$B$4</f>
        <v>10000</v>
      </c>
      <c r="M20" s="1" t="n">
        <f aca="false">$B$4</f>
        <v>10000</v>
      </c>
      <c r="N20" s="1" t="n">
        <f aca="false">$B$4</f>
        <v>10000</v>
      </c>
      <c r="O20" s="1" t="n">
        <f aca="false">$B$4</f>
        <v>10000</v>
      </c>
      <c r="P20" s="1" t="n">
        <f aca="false">$B$4</f>
        <v>10000</v>
      </c>
      <c r="Q20" s="1" t="n">
        <f aca="false">$B$4</f>
        <v>10000</v>
      </c>
      <c r="R20" s="1" t="n">
        <f aca="false">$B$4</f>
        <v>10000</v>
      </c>
      <c r="S20" s="1" t="n">
        <f aca="false">$B$4</f>
        <v>10000</v>
      </c>
      <c r="T20" s="1" t="n">
        <f aca="false">$B$4</f>
        <v>10000</v>
      </c>
      <c r="U20" s="1" t="n">
        <f aca="false">T19</f>
        <v>110000</v>
      </c>
    </row>
    <row r="21" customFormat="false" ht="12.75" hidden="false" customHeight="false" outlineLevel="0" collapsed="false">
      <c r="A21" s="1" t="n">
        <v>16</v>
      </c>
      <c r="B21" s="7" t="n">
        <f aca="false">IRR($F21:V21,0.1)</f>
        <v>0.130340530200916</v>
      </c>
      <c r="C21" s="6" t="n">
        <v>0.0777313001289232</v>
      </c>
      <c r="D21" s="6" t="n">
        <v>0.130340530200957</v>
      </c>
      <c r="E21" s="6" t="n">
        <v>0.1</v>
      </c>
      <c r="F21" s="1" t="n">
        <f aca="false">$F$5</f>
        <v>-80000</v>
      </c>
      <c r="G21" s="1" t="n">
        <f aca="false">$B$4</f>
        <v>10000</v>
      </c>
      <c r="H21" s="1" t="n">
        <f aca="false">$B$4</f>
        <v>10000</v>
      </c>
      <c r="I21" s="1" t="n">
        <f aca="false">$B$4</f>
        <v>10000</v>
      </c>
      <c r="J21" s="1" t="n">
        <f aca="false">$B$4</f>
        <v>10000</v>
      </c>
      <c r="K21" s="1" t="n">
        <f aca="false">$B$4</f>
        <v>10000</v>
      </c>
      <c r="L21" s="1" t="n">
        <f aca="false">$B$4</f>
        <v>10000</v>
      </c>
      <c r="M21" s="1" t="n">
        <f aca="false">$B$4</f>
        <v>10000</v>
      </c>
      <c r="N21" s="1" t="n">
        <f aca="false">$B$4</f>
        <v>10000</v>
      </c>
      <c r="O21" s="1" t="n">
        <f aca="false">$B$4</f>
        <v>10000</v>
      </c>
      <c r="P21" s="1" t="n">
        <f aca="false">$B$4</f>
        <v>10000</v>
      </c>
      <c r="Q21" s="1" t="n">
        <f aca="false">$B$4</f>
        <v>10000</v>
      </c>
      <c r="R21" s="1" t="n">
        <f aca="false">$B$4</f>
        <v>10000</v>
      </c>
      <c r="S21" s="1" t="n">
        <f aca="false">$B$4</f>
        <v>10000</v>
      </c>
      <c r="T21" s="1" t="n">
        <f aca="false">$B$4</f>
        <v>10000</v>
      </c>
      <c r="U21" s="1" t="n">
        <f aca="false">$B$4</f>
        <v>10000</v>
      </c>
      <c r="V21" s="1" t="n">
        <f aca="false">U20</f>
        <v>110000</v>
      </c>
    </row>
    <row r="22" customFormat="false" ht="12.75" hidden="false" customHeight="false" outlineLevel="0" collapsed="false">
      <c r="A22" s="1" t="n">
        <v>17</v>
      </c>
      <c r="B22" s="7" t="n">
        <f aca="false">IRR($F22:W22,0.1)</f>
        <v>0.12966686257575</v>
      </c>
      <c r="C22" s="6" t="n">
        <v>0.0783193099643799</v>
      </c>
      <c r="D22" s="6" t="n">
        <v>0.1296668625758</v>
      </c>
      <c r="E22" s="6" t="n">
        <v>0.1</v>
      </c>
      <c r="F22" s="1" t="n">
        <f aca="false">$F$5</f>
        <v>-80000</v>
      </c>
      <c r="G22" s="1" t="n">
        <f aca="false">$B$4</f>
        <v>10000</v>
      </c>
      <c r="H22" s="1" t="n">
        <f aca="false">$B$4</f>
        <v>10000</v>
      </c>
      <c r="I22" s="1" t="n">
        <f aca="false">$B$4</f>
        <v>10000</v>
      </c>
      <c r="J22" s="1" t="n">
        <f aca="false">$B$4</f>
        <v>10000</v>
      </c>
      <c r="K22" s="1" t="n">
        <f aca="false">$B$4</f>
        <v>10000</v>
      </c>
      <c r="L22" s="1" t="n">
        <f aca="false">$B$4</f>
        <v>10000</v>
      </c>
      <c r="M22" s="1" t="n">
        <f aca="false">$B$4</f>
        <v>10000</v>
      </c>
      <c r="N22" s="1" t="n">
        <f aca="false">$B$4</f>
        <v>10000</v>
      </c>
      <c r="O22" s="1" t="n">
        <f aca="false">$B$4</f>
        <v>10000</v>
      </c>
      <c r="P22" s="1" t="n">
        <f aca="false">$B$4</f>
        <v>10000</v>
      </c>
      <c r="Q22" s="1" t="n">
        <f aca="false">$B$4</f>
        <v>10000</v>
      </c>
      <c r="R22" s="1" t="n">
        <f aca="false">$B$4</f>
        <v>10000</v>
      </c>
      <c r="S22" s="1" t="n">
        <f aca="false">$B$4</f>
        <v>10000</v>
      </c>
      <c r="T22" s="1" t="n">
        <f aca="false">$B$4</f>
        <v>10000</v>
      </c>
      <c r="U22" s="1" t="n">
        <f aca="false">$B$4</f>
        <v>10000</v>
      </c>
      <c r="V22" s="1" t="n">
        <f aca="false">$B$4</f>
        <v>10000</v>
      </c>
      <c r="W22" s="1" t="n">
        <f aca="false">V21</f>
        <v>110000</v>
      </c>
    </row>
    <row r="23" customFormat="false" ht="12.75" hidden="false" customHeight="false" outlineLevel="0" collapsed="false">
      <c r="A23" s="1" t="n">
        <v>18</v>
      </c>
      <c r="B23" s="7" t="n">
        <f aca="false">IRR($F23:X23,0.1)</f>
        <v>0.129088129661203</v>
      </c>
      <c r="C23" s="6" t="n">
        <v>0.0788321651876263</v>
      </c>
      <c r="D23" s="6" t="n">
        <v>0.129088129661262</v>
      </c>
      <c r="E23" s="6" t="n">
        <v>0.1</v>
      </c>
      <c r="F23" s="1" t="n">
        <f aca="false">$F$5</f>
        <v>-80000</v>
      </c>
      <c r="G23" s="1" t="n">
        <f aca="false">$B$4</f>
        <v>10000</v>
      </c>
      <c r="H23" s="1" t="n">
        <f aca="false">$B$4</f>
        <v>10000</v>
      </c>
      <c r="I23" s="1" t="n">
        <f aca="false">$B$4</f>
        <v>10000</v>
      </c>
      <c r="J23" s="1" t="n">
        <f aca="false">$B$4</f>
        <v>10000</v>
      </c>
      <c r="K23" s="1" t="n">
        <f aca="false">$B$4</f>
        <v>10000</v>
      </c>
      <c r="L23" s="1" t="n">
        <f aca="false">$B$4</f>
        <v>10000</v>
      </c>
      <c r="M23" s="1" t="n">
        <f aca="false">$B$4</f>
        <v>10000</v>
      </c>
      <c r="N23" s="1" t="n">
        <f aca="false">$B$4</f>
        <v>10000</v>
      </c>
      <c r="O23" s="1" t="n">
        <f aca="false">$B$4</f>
        <v>10000</v>
      </c>
      <c r="P23" s="1" t="n">
        <f aca="false">$B$4</f>
        <v>10000</v>
      </c>
      <c r="Q23" s="1" t="n">
        <f aca="false">$B$4</f>
        <v>10000</v>
      </c>
      <c r="R23" s="1" t="n">
        <f aca="false">$B$4</f>
        <v>10000</v>
      </c>
      <c r="S23" s="1" t="n">
        <f aca="false">$B$4</f>
        <v>10000</v>
      </c>
      <c r="T23" s="1" t="n">
        <f aca="false">$B$4</f>
        <v>10000</v>
      </c>
      <c r="U23" s="1" t="n">
        <f aca="false">$B$4</f>
        <v>10000</v>
      </c>
      <c r="V23" s="1" t="n">
        <f aca="false">$B$4</f>
        <v>10000</v>
      </c>
      <c r="W23" s="1" t="n">
        <f aca="false">$B$4</f>
        <v>10000</v>
      </c>
      <c r="X23" s="1" t="n">
        <f aca="false">W22</f>
        <v>110000</v>
      </c>
    </row>
    <row r="24" customFormat="false" ht="12.75" hidden="false" customHeight="false" outlineLevel="0" collapsed="false">
      <c r="A24" s="1" t="n">
        <v>19</v>
      </c>
      <c r="B24" s="7" t="n">
        <f aca="false">IRR($F24:Y24,0.1)</f>
        <v>0.128588602877511</v>
      </c>
      <c r="C24" s="6" t="n">
        <v>0.0792819381829496</v>
      </c>
      <c r="D24" s="6" t="n">
        <v>0.128588602877511</v>
      </c>
      <c r="E24" s="6" t="n">
        <v>0.1</v>
      </c>
      <c r="F24" s="1" t="n">
        <f aca="false">$F$5</f>
        <v>-80000</v>
      </c>
      <c r="G24" s="1" t="n">
        <f aca="false">$B$4</f>
        <v>10000</v>
      </c>
      <c r="H24" s="1" t="n">
        <f aca="false">$B$4</f>
        <v>10000</v>
      </c>
      <c r="I24" s="1" t="n">
        <f aca="false">$B$4</f>
        <v>10000</v>
      </c>
      <c r="J24" s="1" t="n">
        <f aca="false">$B$4</f>
        <v>10000</v>
      </c>
      <c r="K24" s="1" t="n">
        <f aca="false">$B$4</f>
        <v>10000</v>
      </c>
      <c r="L24" s="1" t="n">
        <f aca="false">$B$4</f>
        <v>10000</v>
      </c>
      <c r="M24" s="1" t="n">
        <f aca="false">$B$4</f>
        <v>10000</v>
      </c>
      <c r="N24" s="1" t="n">
        <f aca="false">$B$4</f>
        <v>10000</v>
      </c>
      <c r="O24" s="1" t="n">
        <f aca="false">$B$4</f>
        <v>10000</v>
      </c>
      <c r="P24" s="1" t="n">
        <f aca="false">$B$4</f>
        <v>10000</v>
      </c>
      <c r="Q24" s="1" t="n">
        <f aca="false">$B$4</f>
        <v>10000</v>
      </c>
      <c r="R24" s="1" t="n">
        <f aca="false">$B$4</f>
        <v>10000</v>
      </c>
      <c r="S24" s="1" t="n">
        <f aca="false">$B$4</f>
        <v>10000</v>
      </c>
      <c r="T24" s="1" t="n">
        <f aca="false">$B$4</f>
        <v>10000</v>
      </c>
      <c r="U24" s="1" t="n">
        <f aca="false">$B$4</f>
        <v>10000</v>
      </c>
      <c r="V24" s="1" t="n">
        <f aca="false">$B$4</f>
        <v>10000</v>
      </c>
      <c r="W24" s="1" t="n">
        <f aca="false">$B$4</f>
        <v>10000</v>
      </c>
      <c r="X24" s="1" t="n">
        <f aca="false">$B$4</f>
        <v>10000</v>
      </c>
      <c r="Y24" s="1" t="n">
        <f aca="false">X23</f>
        <v>110000</v>
      </c>
    </row>
    <row r="25" customFormat="false" ht="12.75" hidden="false" customHeight="false" outlineLevel="0" collapsed="false">
      <c r="A25" s="1" t="n">
        <v>20</v>
      </c>
      <c r="B25" s="7" t="n">
        <f aca="false">IRR($F25:Z25,0.1)</f>
        <v>0.128155698399673</v>
      </c>
      <c r="C25" s="6" t="n">
        <v>0.0796783000831832</v>
      </c>
      <c r="D25" s="6" t="n">
        <v>0.128155698399673</v>
      </c>
      <c r="E25" s="6" t="n">
        <v>0.1</v>
      </c>
      <c r="F25" s="1" t="n">
        <f aca="false">$F$5</f>
        <v>-80000</v>
      </c>
      <c r="G25" s="1" t="n">
        <f aca="false">$B$4</f>
        <v>10000</v>
      </c>
      <c r="H25" s="1" t="n">
        <f aca="false">$B$4</f>
        <v>10000</v>
      </c>
      <c r="I25" s="1" t="n">
        <f aca="false">$B$4</f>
        <v>10000</v>
      </c>
      <c r="J25" s="1" t="n">
        <f aca="false">$B$4</f>
        <v>10000</v>
      </c>
      <c r="K25" s="1" t="n">
        <f aca="false">$B$4</f>
        <v>10000</v>
      </c>
      <c r="L25" s="1" t="n">
        <f aca="false">$B$4</f>
        <v>10000</v>
      </c>
      <c r="M25" s="1" t="n">
        <f aca="false">$B$4</f>
        <v>10000</v>
      </c>
      <c r="N25" s="1" t="n">
        <f aca="false">$B$4</f>
        <v>10000</v>
      </c>
      <c r="O25" s="1" t="n">
        <f aca="false">$B$4</f>
        <v>10000</v>
      </c>
      <c r="P25" s="1" t="n">
        <f aca="false">$B$4</f>
        <v>10000</v>
      </c>
      <c r="Q25" s="1" t="n">
        <f aca="false">$B$4</f>
        <v>10000</v>
      </c>
      <c r="R25" s="1" t="n">
        <f aca="false">$B$4</f>
        <v>10000</v>
      </c>
      <c r="S25" s="1" t="n">
        <f aca="false">$B$4</f>
        <v>10000</v>
      </c>
      <c r="T25" s="1" t="n">
        <f aca="false">$B$4</f>
        <v>10000</v>
      </c>
      <c r="U25" s="1" t="n">
        <f aca="false">$B$4</f>
        <v>10000</v>
      </c>
      <c r="V25" s="1" t="n">
        <f aca="false">$B$4</f>
        <v>10000</v>
      </c>
      <c r="W25" s="1" t="n">
        <f aca="false">$B$4</f>
        <v>10000</v>
      </c>
      <c r="X25" s="1" t="n">
        <f aca="false">$B$4</f>
        <v>10000</v>
      </c>
      <c r="Y25" s="1" t="n">
        <f aca="false">$B$4</f>
        <v>10000</v>
      </c>
      <c r="Z25" s="1" t="n">
        <f aca="false">Y24</f>
        <v>110000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2"/>
  <sheetViews>
    <sheetView showFormulas="false" showGridLines="true" showRowColHeaders="true" showZeros="true" rightToLeft="false" tabSelected="false" showOutlineSymbols="true" defaultGridColor="true" view="normal" topLeftCell="Q24" colorId="64" zoomScale="100" zoomScaleNormal="100" zoomScalePageLayoutView="100" workbookViewId="0">
      <selection pane="topLeft" activeCell="D3" activeCellId="0" sqref="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1.7"/>
    <col collapsed="false" customWidth="true" hidden="false" outlineLevel="0" max="3" min="3" style="1" width="19.41"/>
    <col collapsed="false" customWidth="true" hidden="false" outlineLevel="0" max="4" min="4" style="1" width="11.13"/>
    <col collapsed="false" customWidth="true" hidden="false" outlineLevel="0" max="5" min="5" style="1" width="8.99"/>
  </cols>
  <sheetData>
    <row r="1" customFormat="false" ht="12.75" hidden="false" customHeight="false" outlineLevel="0" collapsed="false">
      <c r="A1" s="1" t="str">
        <f aca="false">GNMA!A24</f>
        <v>Year</v>
      </c>
      <c r="B1" s="1" t="n">
        <f aca="false">GNMA!G24</f>
        <v>0</v>
      </c>
      <c r="C1" s="1" t="n">
        <f aca="false">GNMA!H24</f>
        <v>0</v>
      </c>
      <c r="D1" s="1" t="n">
        <f aca="false">GNMA!I24-GNMA!J24</f>
        <v>0</v>
      </c>
      <c r="E1" s="1" t="n">
        <f aca="false">GNMA!J24</f>
        <v>0</v>
      </c>
    </row>
    <row r="2" customFormat="false" ht="12.75" hidden="false" customHeight="false" outlineLevel="0" collapsed="false">
      <c r="A2" s="1" t="str">
        <f aca="false">GNMA!A25</f>
        <v>EOY</v>
      </c>
      <c r="B2" s="1" t="str">
        <f aca="false">GNMA!G25</f>
        <v>Unscheduled Prepayment</v>
      </c>
      <c r="C2" s="1" t="str">
        <f aca="false">GNMA!H25</f>
        <v>Scheduled Payment</v>
      </c>
      <c r="D2" s="1" t="s">
        <v>12</v>
      </c>
      <c r="E2" s="1" t="str">
        <f aca="false">GNMA!J25</f>
        <v>Servicing</v>
      </c>
    </row>
    <row r="3" customFormat="false" ht="12.75" hidden="false" customHeight="false" outlineLevel="0" collapsed="false">
      <c r="A3" s="1" t="n">
        <f aca="false">GNMA!A27</f>
        <v>1</v>
      </c>
      <c r="B3" s="8" t="n">
        <f aca="false">GNMA!G27</f>
        <v>1240413.09818071</v>
      </c>
      <c r="C3" s="8" t="n">
        <f aca="false">GNMA!H27</f>
        <v>632241.818273926</v>
      </c>
      <c r="D3" s="8" t="n">
        <f aca="false">GNMA!I27</f>
        <v>10400000</v>
      </c>
      <c r="E3" s="8" t="n">
        <f aca="false">GNMA!J27</f>
        <v>520000</v>
      </c>
    </row>
    <row r="4" customFormat="false" ht="12.75" hidden="false" customHeight="false" outlineLevel="0" collapsed="false">
      <c r="A4" s="1" t="n">
        <f aca="false">GNMA!A28</f>
        <v>2</v>
      </c>
      <c r="B4" s="8" t="n">
        <f aca="false">GNMA!G28</f>
        <v>3651848.08831603</v>
      </c>
      <c r="C4" s="8" t="n">
        <f aca="false">GNMA!H28</f>
        <v>687120.408100102</v>
      </c>
      <c r="D4" s="8" t="n">
        <f aca="false">GNMA!I28</f>
        <v>10212734.5083545</v>
      </c>
      <c r="E4" s="8" t="n">
        <f aca="false">GNMA!J28</f>
        <v>510636.725417727</v>
      </c>
    </row>
    <row r="5" customFormat="false" ht="12.75" hidden="false" customHeight="false" outlineLevel="0" collapsed="false">
      <c r="A5" s="1" t="n">
        <f aca="false">GNMA!A29</f>
        <v>3</v>
      </c>
      <c r="B5" s="8" t="n">
        <f aca="false">GNMA!G29</f>
        <v>5580935.86111684</v>
      </c>
      <c r="C5" s="8" t="n">
        <f aca="false">GNMA!H29</f>
        <v>728622.48074935</v>
      </c>
      <c r="D5" s="8" t="n">
        <f aca="false">GNMA!I29</f>
        <v>9778837.65871292</v>
      </c>
      <c r="E5" s="8" t="n">
        <f aca="false">GNMA!J29</f>
        <v>488941.882935646</v>
      </c>
    </row>
    <row r="6" customFormat="false" ht="12.75" hidden="false" customHeight="false" outlineLevel="0" collapsed="false">
      <c r="A6" s="1" t="n">
        <f aca="false">GNMA!A30</f>
        <v>4</v>
      </c>
      <c r="B6" s="8" t="n">
        <f aca="false">GNMA!G30</f>
        <v>5443405.13330077</v>
      </c>
      <c r="C6" s="8" t="n">
        <f aca="false">GNMA!H30</f>
        <v>755399.356916888</v>
      </c>
      <c r="D6" s="8" t="n">
        <f aca="false">GNMA!I30</f>
        <v>9147881.8245263</v>
      </c>
      <c r="E6" s="8" t="n">
        <f aca="false">GNMA!J30</f>
        <v>457394.091226315</v>
      </c>
    </row>
    <row r="7" customFormat="false" ht="12.75" hidden="false" customHeight="false" outlineLevel="0" collapsed="false">
      <c r="A7" s="1" t="n">
        <f aca="false">GNMA!A31</f>
        <v>5</v>
      </c>
      <c r="B7" s="8" t="n">
        <f aca="false">GNMA!G31</f>
        <v>5069935.8491996</v>
      </c>
      <c r="C7" s="8" t="n">
        <f aca="false">GNMA!H31</f>
        <v>781082.935052063</v>
      </c>
      <c r="D7" s="8" t="n">
        <f aca="false">GNMA!I31</f>
        <v>8528001.37550454</v>
      </c>
      <c r="E7" s="8" t="n">
        <f aca="false">GNMA!J31</f>
        <v>426400.068775227</v>
      </c>
    </row>
    <row r="8" customFormat="false" ht="12.75" hidden="false" customHeight="false" outlineLevel="0" collapsed="false">
      <c r="A8" s="1" t="n">
        <f aca="false">GNMA!A32</f>
        <v>6</v>
      </c>
      <c r="B8" s="8" t="n">
        <f aca="false">GNMA!G32</f>
        <v>4717281.31295699</v>
      </c>
      <c r="C8" s="8" t="n">
        <f aca="false">GNMA!H32</f>
        <v>807639.754843833</v>
      </c>
      <c r="D8" s="8" t="n">
        <f aca="false">GNMA!I32</f>
        <v>7942899.49707937</v>
      </c>
      <c r="E8" s="8" t="n">
        <f aca="false">GNMA!J32</f>
        <v>397144.974853969</v>
      </c>
    </row>
    <row r="9" customFormat="false" ht="12.75" hidden="false" customHeight="false" outlineLevel="0" collapsed="false">
      <c r="A9" s="1" t="n">
        <f aca="false">GNMA!A33</f>
        <v>7</v>
      </c>
      <c r="B9" s="8" t="n">
        <f aca="false">GNMA!G33</f>
        <v>4384138.46378906</v>
      </c>
      <c r="C9" s="8" t="n">
        <f aca="false">GNMA!H33</f>
        <v>835099.506508522</v>
      </c>
      <c r="D9" s="8" t="n">
        <f aca="false">GNMA!I33</f>
        <v>7390407.39029929</v>
      </c>
      <c r="E9" s="8" t="n">
        <f aca="false">GNMA!J33</f>
        <v>369520.369514965</v>
      </c>
    </row>
    <row r="10" customFormat="false" ht="12.75" hidden="false" customHeight="false" outlineLevel="0" collapsed="false">
      <c r="A10" s="1" t="n">
        <f aca="false">GNMA!A34</f>
        <v>8</v>
      </c>
      <c r="B10" s="8" t="n">
        <f aca="false">GNMA!G34</f>
        <v>4069280.58257793</v>
      </c>
      <c r="C10" s="8" t="n">
        <f aca="false">GNMA!H34</f>
        <v>863492.889729812</v>
      </c>
      <c r="D10" s="8" t="n">
        <f aca="false">GNMA!I34</f>
        <v>6868483.59326953</v>
      </c>
      <c r="E10" s="8" t="n">
        <f aca="false">GNMA!J34</f>
        <v>343424.179663477</v>
      </c>
    </row>
    <row r="11" customFormat="false" ht="12.75" hidden="false" customHeight="false" outlineLevel="0" collapsed="false">
      <c r="A11" s="1" t="n">
        <f aca="false">GNMA!A35</f>
        <v>9</v>
      </c>
      <c r="B11" s="8" t="n">
        <f aca="false">GNMA!G35</f>
        <v>3771552.64874442</v>
      </c>
      <c r="C11" s="8" t="n">
        <f aca="false">GNMA!H35</f>
        <v>892851.647980627</v>
      </c>
      <c r="D11" s="8" t="n">
        <f aca="false">GNMA!I35</f>
        <v>6375206.24603876</v>
      </c>
      <c r="E11" s="8" t="n">
        <f aca="false">GNMA!J35</f>
        <v>318760.312301938</v>
      </c>
    </row>
    <row r="12" customFormat="false" ht="12.75" hidden="false" customHeight="false" outlineLevel="0" collapsed="false">
      <c r="A12" s="1" t="n">
        <f aca="false">GNMA!A36</f>
        <v>10</v>
      </c>
      <c r="B12" s="8" t="n">
        <f aca="false">GNMA!G36</f>
        <v>3489866.97357903</v>
      </c>
      <c r="C12" s="8" t="n">
        <f aca="false">GNMA!H36</f>
        <v>923208.604011968</v>
      </c>
      <c r="D12" s="8" t="n">
        <f aca="false">GNMA!I36</f>
        <v>5908765.81636625</v>
      </c>
      <c r="E12" s="8" t="n">
        <f aca="false">GNMA!J36</f>
        <v>295438.290818313</v>
      </c>
    </row>
    <row r="13" customFormat="false" ht="12.75" hidden="false" customHeight="false" outlineLevel="0" collapsed="false">
      <c r="A13" s="1" t="n">
        <f aca="false">GNMA!A37</f>
        <v>11</v>
      </c>
      <c r="B13" s="8" t="n">
        <f aca="false">GNMA!G37</f>
        <v>3223199.09337139</v>
      </c>
      <c r="C13" s="8" t="n">
        <f aca="false">GNMA!H37</f>
        <v>954597.696548373</v>
      </c>
      <c r="D13" s="8" t="n">
        <f aca="false">GNMA!I37</f>
        <v>5467458.25860715</v>
      </c>
      <c r="E13" s="8" t="n">
        <f aca="false">GNMA!J37</f>
        <v>273372.912930358</v>
      </c>
    </row>
    <row r="14" customFormat="false" ht="12.75" hidden="false" customHeight="false" outlineLevel="0" collapsed="false">
      <c r="A14" s="1" t="n">
        <f aca="false">GNMA!A38</f>
        <v>12</v>
      </c>
      <c r="B14" s="8" t="n">
        <f aca="false">GNMA!G38</f>
        <v>2970583.90667524</v>
      </c>
      <c r="C14" s="8" t="n">
        <f aca="false">GNMA!H38</f>
        <v>987054.018231018</v>
      </c>
      <c r="D14" s="8" t="n">
        <f aca="false">GNMA!I38</f>
        <v>5049678.57961518</v>
      </c>
      <c r="E14" s="8" t="n">
        <f aca="false">GNMA!J38</f>
        <v>252483.928980759</v>
      </c>
    </row>
    <row r="15" customFormat="false" ht="12.75" hidden="false" customHeight="false" outlineLevel="0" collapsed="false">
      <c r="A15" s="1" t="n">
        <f aca="false">GNMA!A39</f>
        <v>13</v>
      </c>
      <c r="B15" s="8" t="n">
        <f aca="false">GNMA!G39</f>
        <v>2731112.04098368</v>
      </c>
      <c r="C15" s="8" t="n">
        <f aca="false">GNMA!H39</f>
        <v>1020613.85485087</v>
      </c>
      <c r="D15" s="8" t="n">
        <f aca="false">GNMA!I39</f>
        <v>4653914.78712455</v>
      </c>
      <c r="E15" s="8" t="n">
        <f aca="false">GNMA!J39</f>
        <v>232695.739356227</v>
      </c>
    </row>
    <row r="16" customFormat="false" ht="12.75" hidden="false" customHeight="false" outlineLevel="0" collapsed="false">
      <c r="A16" s="1" t="n">
        <f aca="false">GNMA!A40</f>
        <v>14</v>
      </c>
      <c r="B16" s="8" t="n">
        <f aca="false">GNMA!G40</f>
        <v>2503926.43496971</v>
      </c>
      <c r="C16" s="8" t="n">
        <f aca="false">GNMA!H40</f>
        <v>1055314.7259158</v>
      </c>
      <c r="D16" s="8" t="n">
        <f aca="false">GNMA!I40</f>
        <v>4278742.19754109</v>
      </c>
      <c r="E16" s="8" t="n">
        <f aca="false">GNMA!J40</f>
        <v>213937.109877055</v>
      </c>
    </row>
    <row r="17" customFormat="false" ht="12.75" hidden="false" customHeight="false" outlineLevel="0" collapsed="false">
      <c r="A17" s="1" t="n">
        <f aca="false">GNMA!A41</f>
        <v>15</v>
      </c>
      <c r="B17" s="8" t="n">
        <f aca="false">GNMA!G41</f>
        <v>2288219.12327571</v>
      </c>
      <c r="C17" s="8" t="n">
        <f aca="false">GNMA!H41</f>
        <v>1091195.42659694</v>
      </c>
      <c r="D17" s="8" t="n">
        <f aca="false">GNMA!I41</f>
        <v>3922818.08145254</v>
      </c>
      <c r="E17" s="8" t="n">
        <f aca="false">GNMA!J41</f>
        <v>196140.904072627</v>
      </c>
    </row>
    <row r="18" customFormat="false" ht="12.75" hidden="false" customHeight="false" outlineLevel="0" collapsed="false">
      <c r="A18" s="1" t="n">
        <f aca="false">GNMA!A42</f>
        <v>16</v>
      </c>
      <c r="B18" s="8" t="n">
        <f aca="false">GNMA!G42</f>
        <v>2083228.21161309</v>
      </c>
      <c r="C18" s="8" t="n">
        <f aca="false">GNMA!H42</f>
        <v>1128296.07110124</v>
      </c>
      <c r="D18" s="8" t="n">
        <f aca="false">GNMA!I42</f>
        <v>3584876.62646528</v>
      </c>
      <c r="E18" s="8" t="n">
        <f aca="false">GNMA!J42</f>
        <v>179243.831323264</v>
      </c>
    </row>
    <row r="19" customFormat="false" ht="12.75" hidden="false" customHeight="false" outlineLevel="0" collapsed="false">
      <c r="A19" s="1" t="n">
        <f aca="false">GNMA!A43</f>
        <v>17</v>
      </c>
      <c r="B19" s="8" t="n">
        <f aca="false">GNMA!G43</f>
        <v>1888235.03066519</v>
      </c>
      <c r="C19" s="8" t="n">
        <f aca="false">GNMA!H43</f>
        <v>1166658.13751868</v>
      </c>
      <c r="D19" s="8" t="n">
        <f aca="false">GNMA!I43</f>
        <v>3263724.19819385</v>
      </c>
      <c r="E19" s="8" t="n">
        <f aca="false">GNMA!J43</f>
        <v>163186.209909692</v>
      </c>
    </row>
    <row r="20" customFormat="false" ht="12.75" hidden="false" customHeight="false" outlineLevel="0" collapsed="false">
      <c r="A20" s="1" t="n">
        <f aca="false">GNMA!A44</f>
        <v>18</v>
      </c>
      <c r="B20" s="8" t="n">
        <f aca="false">GNMA!G44</f>
        <v>1702561.45797362</v>
      </c>
      <c r="C20" s="8" t="n">
        <f aca="false">GNMA!H44</f>
        <v>1206324.51419431</v>
      </c>
      <c r="D20" s="8" t="n">
        <f aca="false">GNMA!I44</f>
        <v>2958234.88137546</v>
      </c>
      <c r="E20" s="8" t="n">
        <f aca="false">GNMA!J44</f>
        <v>147911.744068773</v>
      </c>
    </row>
    <row r="21" customFormat="false" ht="12.75" hidden="false" customHeight="false" outlineLevel="0" collapsed="false">
      <c r="A21" s="1" t="n">
        <f aca="false">GNMA!A45</f>
        <v>19</v>
      </c>
      <c r="B21" s="8" t="n">
        <f aca="false">GNMA!G45</f>
        <v>1525567.39763458</v>
      </c>
      <c r="C21" s="8" t="n">
        <f aca="false">GNMA!H45</f>
        <v>1247339.54767692</v>
      </c>
      <c r="D21" s="8" t="n">
        <f aca="false">GNMA!I45</f>
        <v>2667346.28415867</v>
      </c>
      <c r="E21" s="8" t="n">
        <f aca="false">GNMA!J45</f>
        <v>133367.314207933</v>
      </c>
    </row>
    <row r="22" customFormat="false" ht="12.75" hidden="false" customHeight="false" outlineLevel="0" collapsed="false">
      <c r="A22" s="1" t="n">
        <f aca="false">GNMA!A46</f>
        <v>20</v>
      </c>
      <c r="B22" s="8" t="n">
        <f aca="false">GNMA!G46</f>
        <v>1356648.40823863</v>
      </c>
      <c r="C22" s="8" t="n">
        <f aca="false">GNMA!H46</f>
        <v>1289749.09229794</v>
      </c>
      <c r="D22" s="8" t="n">
        <f aca="false">GNMA!I46</f>
        <v>2390055.58962752</v>
      </c>
      <c r="E22" s="8" t="n">
        <f aca="false">GNMA!J46</f>
        <v>119502.779481376</v>
      </c>
    </row>
    <row r="23" customFormat="false" ht="12.75" hidden="false" customHeight="false" outlineLevel="0" collapsed="false">
      <c r="A23" s="1" t="n">
        <f aca="false">GNMA!A47</f>
        <v>21</v>
      </c>
      <c r="B23" s="8" t="n">
        <f aca="false">GNMA!G47</f>
        <v>1195233.47005815</v>
      </c>
      <c r="C23" s="8" t="n">
        <f aca="false">GNMA!H47</f>
        <v>1333600.56143607</v>
      </c>
      <c r="D23" s="8" t="n">
        <f aca="false">GNMA!I47</f>
        <v>2125415.83957386</v>
      </c>
      <c r="E23" s="8" t="n">
        <f aca="false">GNMA!J47</f>
        <v>106270.791978693</v>
      </c>
    </row>
    <row r="24" customFormat="false" ht="12.75" hidden="false" customHeight="false" outlineLevel="0" collapsed="false">
      <c r="A24" s="1" t="n">
        <f aca="false">GNMA!A48</f>
        <v>22</v>
      </c>
      <c r="B24" s="8" t="n">
        <f aca="false">GNMA!G48</f>
        <v>1040782.88302317</v>
      </c>
      <c r="C24" s="8" t="n">
        <f aca="false">GNMA!H48</f>
        <v>1378942.98052489</v>
      </c>
      <c r="D24" s="8" t="n">
        <f aca="false">GNMA!I48</f>
        <v>1872532.43642444</v>
      </c>
      <c r="E24" s="8" t="n">
        <f aca="false">GNMA!J48</f>
        <v>93626.6218212218</v>
      </c>
    </row>
    <row r="25" customFormat="false" ht="12.75" hidden="false" customHeight="false" outlineLevel="0" collapsed="false">
      <c r="A25" s="1" t="n">
        <f aca="false">GNMA!A49</f>
        <v>23</v>
      </c>
      <c r="B25" s="8" t="n">
        <f aca="false">GNMA!G49</f>
        <v>892786.287530014</v>
      </c>
      <c r="C25" s="8" t="n">
        <f aca="false">GNMA!H49</f>
        <v>1425827.04186274</v>
      </c>
      <c r="D25" s="8" t="n">
        <f aca="false">GNMA!I49</f>
        <v>1630559.85006963</v>
      </c>
      <c r="E25" s="8" t="n">
        <f aca="false">GNMA!J49</f>
        <v>81527.9925034815</v>
      </c>
    </row>
    <row r="26" customFormat="false" ht="12.75" hidden="false" customHeight="false" outlineLevel="0" collapsed="false">
      <c r="A26" s="1" t="n">
        <f aca="false">GNMA!A50</f>
        <v>24</v>
      </c>
      <c r="B26" s="8" t="n">
        <f aca="false">GNMA!G50</f>
        <v>750760.800601049</v>
      </c>
      <c r="C26" s="8" t="n">
        <f aca="false">GNMA!H50</f>
        <v>1474305.16128607</v>
      </c>
      <c r="D26" s="8" t="n">
        <f aca="false">GNMA!I50</f>
        <v>1398698.51713036</v>
      </c>
      <c r="E26" s="8" t="n">
        <f aca="false">GNMA!J50</f>
        <v>69934.9258565177</v>
      </c>
    </row>
    <row r="27" customFormat="false" ht="12.75" hidden="false" customHeight="false" outlineLevel="0" collapsed="false">
      <c r="A27" s="1" t="n">
        <f aca="false">GNMA!A51</f>
        <v>25</v>
      </c>
      <c r="B27" s="8" t="n">
        <f aca="false">GNMA!G51</f>
        <v>614249.260358798</v>
      </c>
      <c r="C27" s="8" t="n">
        <f aca="false">GNMA!H51</f>
        <v>1524431.5367698</v>
      </c>
      <c r="D27" s="8" t="n">
        <f aca="false">GNMA!I51</f>
        <v>1176191.92094164</v>
      </c>
      <c r="E27" s="8" t="n">
        <f aca="false">GNMA!J51</f>
        <v>58809.5960470821</v>
      </c>
    </row>
    <row r="28" customFormat="false" ht="12.75" hidden="false" customHeight="false" outlineLevel="0" collapsed="false">
      <c r="A28" s="1" t="n">
        <f aca="false">GNMA!A52</f>
        <v>26</v>
      </c>
      <c r="B28" s="8" t="n">
        <f aca="false">GNMA!G52</f>
        <v>482818.572196072</v>
      </c>
      <c r="C28" s="8" t="n">
        <f aca="false">GNMA!H52</f>
        <v>1576262.20901997</v>
      </c>
      <c r="D28" s="8" t="n">
        <f aca="false">GNMA!I52</f>
        <v>962323.841228783</v>
      </c>
      <c r="E28" s="8" t="n">
        <f aca="false">GNMA!J52</f>
        <v>48116.1920614392</v>
      </c>
    </row>
    <row r="29" customFormat="false" ht="12.75" hidden="false" customHeight="false" outlineLevel="0" collapsed="false">
      <c r="A29" s="1" t="n">
        <f aca="false">GNMA!A53</f>
        <v>27</v>
      </c>
      <c r="B29" s="8" t="n">
        <f aca="false">GNMA!G53</f>
        <v>356058.150416708</v>
      </c>
      <c r="C29" s="8" t="n">
        <f aca="false">GNMA!H53</f>
        <v>1629855.12412665</v>
      </c>
      <c r="D29" s="8" t="n">
        <f aca="false">GNMA!I53</f>
        <v>756415.763107179</v>
      </c>
      <c r="E29" s="8" t="n">
        <f aca="false">GNMA!J53</f>
        <v>37820.788155359</v>
      </c>
    </row>
    <row r="30" customFormat="false" ht="12.75" hidden="false" customHeight="false" outlineLevel="0" collapsed="false">
      <c r="A30" s="1" t="n">
        <f aca="false">GNMA!A54</f>
        <v>28</v>
      </c>
      <c r="B30" s="8" t="n">
        <f aca="false">GNMA!G54</f>
        <v>233578.449490888</v>
      </c>
      <c r="C30" s="8" t="n">
        <f aca="false">GNMA!H54</f>
        <v>1685270.19834696</v>
      </c>
      <c r="D30" s="8" t="n">
        <f aca="false">GNMA!I54</f>
        <v>557824.435652843</v>
      </c>
      <c r="E30" s="8" t="n">
        <f aca="false">GNMA!J54</f>
        <v>27891.2217826422</v>
      </c>
    </row>
    <row r="31" customFormat="false" ht="12.75" hidden="false" customHeight="false" outlineLevel="0" collapsed="false">
      <c r="A31" s="1" t="n">
        <f aca="false">GNMA!A55</f>
        <v>29</v>
      </c>
      <c r="B31" s="8" t="n">
        <f aca="false">GNMA!G55</f>
        <v>115009.57941599</v>
      </c>
      <c r="C31" s="8" t="n">
        <f aca="false">GNMA!H55</f>
        <v>1742569.38509075</v>
      </c>
      <c r="D31" s="8" t="n">
        <f aca="false">GNMA!I55</f>
        <v>365939.570869059</v>
      </c>
      <c r="E31" s="8" t="n">
        <f aca="false">GNMA!J55</f>
        <v>18296.9785434529</v>
      </c>
    </row>
    <row r="32" customFormat="false" ht="12.75" hidden="false" customHeight="false" outlineLevel="0" collapsed="false">
      <c r="A32" s="1" t="n">
        <f aca="false">GNMA!A56</f>
        <v>30</v>
      </c>
      <c r="B32" s="8" t="n">
        <f aca="false">GNMA!G56</f>
        <v>0</v>
      </c>
      <c r="C32" s="8" t="n">
        <f aca="false">GNMA!H56</f>
        <v>1801816.74418384</v>
      </c>
      <c r="D32" s="8" t="n">
        <f aca="false">GNMA!I56</f>
        <v>180181.674418384</v>
      </c>
      <c r="E32" s="8" t="n">
        <f aca="false">GNMA!J56</f>
        <v>9009.08372091921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6"/>
  <sheetViews>
    <sheetView showFormulas="false" showGridLines="true" showRowColHeaders="true" showZeros="true" rightToLeft="false" tabSelected="false" showOutlineSymbols="true" defaultGridColor="true" view="normal" topLeftCell="A47" colorId="64" zoomScale="100" zoomScaleNormal="100" zoomScalePageLayoutView="100" workbookViewId="0">
      <selection pane="topLeft" activeCell="A69" activeCellId="0" sqref="A6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1" width="13.28"/>
    <col collapsed="false" customWidth="true" hidden="false" outlineLevel="0" max="3" min="3" style="1" width="17.7"/>
    <col collapsed="false" customWidth="true" hidden="false" outlineLevel="0" max="5" min="5" style="1" width="16.42"/>
    <col collapsed="false" customWidth="true" hidden="false" outlineLevel="0" max="6" min="6" style="1" width="18.99"/>
    <col collapsed="false" customWidth="true" hidden="false" outlineLevel="0" max="7" min="7" style="1" width="14.14"/>
    <col collapsed="false" customWidth="true" hidden="false" outlineLevel="0" max="8" min="8" style="1" width="18.14"/>
    <col collapsed="false" customWidth="true" hidden="false" outlineLevel="0" max="10" min="9" style="1" width="17.85"/>
    <col collapsed="false" customWidth="true" hidden="false" outlineLevel="0" max="11" min="11" style="1" width="16.28"/>
  </cols>
  <sheetData>
    <row r="1" customFormat="false" ht="12.75" hidden="false" customHeight="false" outlineLevel="0" collapsed="false">
      <c r="A1" s="9" t="s">
        <v>13</v>
      </c>
    </row>
    <row r="3" customFormat="false" ht="12.75" hidden="false" customHeight="false" outlineLevel="0" collapsed="false">
      <c r="A3" s="9" t="s">
        <v>14</v>
      </c>
      <c r="C3" s="3" t="n">
        <v>0.1</v>
      </c>
    </row>
    <row r="4" customFormat="false" ht="12.75" hidden="false" customHeight="false" outlineLevel="0" collapsed="false">
      <c r="A4" s="9" t="s">
        <v>15</v>
      </c>
      <c r="C4" s="10" t="n">
        <v>1</v>
      </c>
    </row>
    <row r="5" customFormat="false" ht="12.75" hidden="false" customHeight="false" outlineLevel="0" collapsed="false">
      <c r="A5" s="9" t="s">
        <v>16</v>
      </c>
      <c r="C5" s="11" t="n">
        <v>100000000</v>
      </c>
    </row>
    <row r="6" customFormat="false" ht="12.75" hidden="false" customHeight="false" outlineLevel="0" collapsed="false">
      <c r="A6" s="9" t="s">
        <v>17</v>
      </c>
      <c r="C6" s="11" t="n">
        <v>4000000</v>
      </c>
    </row>
    <row r="7" customFormat="false" ht="12.75" hidden="false" customHeight="false" outlineLevel="0" collapsed="false">
      <c r="A7" s="1" t="s">
        <v>18</v>
      </c>
      <c r="C7" s="3" t="n">
        <v>0.005</v>
      </c>
    </row>
    <row r="8" customFormat="false" ht="12.75" hidden="false" customHeight="false" outlineLevel="0" collapsed="false">
      <c r="C8" s="11"/>
    </row>
    <row r="9" customFormat="false" ht="12.75" hidden="false" customHeight="false" outlineLevel="0" collapsed="false">
      <c r="A9" s="9" t="s">
        <v>19</v>
      </c>
      <c r="C9" s="11" t="n">
        <v>30000000</v>
      </c>
    </row>
    <row r="10" customFormat="false" ht="12.75" hidden="false" customHeight="false" outlineLevel="0" collapsed="false">
      <c r="A10" s="9" t="s">
        <v>20</v>
      </c>
      <c r="C10" s="3" t="n">
        <v>0.09</v>
      </c>
    </row>
    <row r="11" customFormat="false" ht="12.75" hidden="false" customHeight="false" outlineLevel="0" collapsed="false">
      <c r="E11" s="9" t="s">
        <v>21</v>
      </c>
    </row>
    <row r="12" customFormat="false" ht="12.75" hidden="false" customHeight="false" outlineLevel="0" collapsed="false">
      <c r="A12" s="9" t="s">
        <v>22</v>
      </c>
      <c r="C12" s="11" t="n">
        <v>30000000</v>
      </c>
    </row>
    <row r="13" customFormat="false" ht="12.75" hidden="false" customHeight="false" outlineLevel="0" collapsed="false">
      <c r="A13" s="9" t="s">
        <v>23</v>
      </c>
      <c r="C13" s="3" t="n">
        <v>0.0925</v>
      </c>
    </row>
    <row r="15" customFormat="false" ht="12.75" hidden="false" customHeight="false" outlineLevel="0" collapsed="false">
      <c r="A15" s="9" t="s">
        <v>24</v>
      </c>
      <c r="C15" s="11" t="n">
        <v>25000000</v>
      </c>
    </row>
    <row r="16" customFormat="false" ht="12.75" hidden="false" customHeight="false" outlineLevel="0" collapsed="false">
      <c r="A16" s="9" t="s">
        <v>25</v>
      </c>
      <c r="C16" s="3" t="n">
        <v>0.0975</v>
      </c>
    </row>
    <row r="18" customFormat="false" ht="12.75" hidden="false" customHeight="false" outlineLevel="0" collapsed="false">
      <c r="A18" s="9" t="s">
        <v>26</v>
      </c>
      <c r="C18" s="11" t="n">
        <v>15000000</v>
      </c>
    </row>
    <row r="19" customFormat="false" ht="12.75" hidden="false" customHeight="false" outlineLevel="0" collapsed="false">
      <c r="A19" s="9" t="s">
        <v>27</v>
      </c>
      <c r="C19" s="3" t="n">
        <v>0.105</v>
      </c>
    </row>
    <row r="22" customFormat="false" ht="12.75" hidden="false" customHeight="false" outlineLevel="0" collapsed="false">
      <c r="B22" s="9" t="s">
        <v>28</v>
      </c>
    </row>
    <row r="23" customFormat="false" ht="12.75" hidden="false" customHeight="false" outlineLevel="0" collapsed="false">
      <c r="H23" s="12"/>
      <c r="K23" s="9" t="s">
        <v>29</v>
      </c>
    </row>
    <row r="24" customFormat="false" ht="12.75" hidden="false" customHeight="false" outlineLevel="0" collapsed="false">
      <c r="A24" s="12" t="s">
        <v>30</v>
      </c>
      <c r="B24" s="12" t="s">
        <v>31</v>
      </c>
      <c r="C24" s="12" t="s">
        <v>32</v>
      </c>
      <c r="D24" s="12" t="s">
        <v>33</v>
      </c>
      <c r="E24" s="12"/>
      <c r="F24" s="12"/>
      <c r="G24" s="12"/>
      <c r="H24" s="12"/>
      <c r="I24" s="12"/>
      <c r="J24" s="12"/>
      <c r="K24" s="9" t="s">
        <v>34</v>
      </c>
    </row>
    <row r="25" customFormat="false" ht="12.75" hidden="false" customHeight="false" outlineLevel="0" collapsed="false">
      <c r="A25" s="5" t="s">
        <v>35</v>
      </c>
      <c r="E25" s="5" t="s">
        <v>36</v>
      </c>
      <c r="F25" s="5" t="s">
        <v>37</v>
      </c>
      <c r="G25" s="5" t="s">
        <v>38</v>
      </c>
      <c r="H25" s="5" t="s">
        <v>39</v>
      </c>
      <c r="I25" s="5" t="s">
        <v>40</v>
      </c>
      <c r="J25" s="5" t="s">
        <v>18</v>
      </c>
    </row>
    <row r="26" customFormat="false" ht="12.75" hidden="false" customHeight="false" outlineLevel="0" collapsed="false">
      <c r="A26" s="13" t="n">
        <v>0</v>
      </c>
      <c r="B26" s="14" t="n">
        <f aca="false">1/(1+$C$3)*B27</f>
        <v>0.057308553301168</v>
      </c>
      <c r="C26" s="14" t="n">
        <f aca="false">1/$C$3*(1-B26)</f>
        <v>9.42691446698832</v>
      </c>
      <c r="D26" s="15" t="n">
        <f aca="false">0*$C$4</f>
        <v>0</v>
      </c>
      <c r="E26" s="16" t="n">
        <f aca="false">C5+C6</f>
        <v>104000000</v>
      </c>
      <c r="F26" s="16"/>
      <c r="G26" s="16"/>
      <c r="H26" s="16"/>
      <c r="I26" s="16"/>
      <c r="J26" s="16"/>
      <c r="K26" s="16" t="n">
        <f aca="false">MAXA(0,+E26-$C$6)</f>
        <v>100000000</v>
      </c>
    </row>
    <row r="27" customFormat="false" ht="12.75" hidden="false" customHeight="false" outlineLevel="0" collapsed="false">
      <c r="A27" s="13" t="n">
        <f aca="false">A26+1</f>
        <v>1</v>
      </c>
      <c r="B27" s="14" t="n">
        <f aca="false">1/(1+$C$3)*B28</f>
        <v>0.0630394086312848</v>
      </c>
      <c r="C27" s="14" t="n">
        <f aca="false">1/$C$3*(1-B27)</f>
        <v>9.36960591368715</v>
      </c>
      <c r="D27" s="15" t="n">
        <f aca="false">0.012*$C$4</f>
        <v>0.012</v>
      </c>
      <c r="E27" s="16" t="n">
        <f aca="false">E26-H27-G27</f>
        <v>102127345.083545</v>
      </c>
      <c r="F27" s="16" t="n">
        <f aca="false">E26/C26</f>
        <v>11032241.8182739</v>
      </c>
      <c r="G27" s="16" t="n">
        <f aca="false">(E26-H27)*D27</f>
        <v>1240413.09818071</v>
      </c>
      <c r="H27" s="16" t="n">
        <f aca="false">F27-I27</f>
        <v>632241.818273926</v>
      </c>
      <c r="I27" s="16" t="n">
        <f aca="false">E26*C$3</f>
        <v>10400000</v>
      </c>
      <c r="J27" s="16" t="n">
        <f aca="false">$C$7*E26</f>
        <v>520000</v>
      </c>
      <c r="K27" s="16" t="n">
        <f aca="false">MAXA(0,+E27-$C$6)</f>
        <v>98127345.0835454</v>
      </c>
    </row>
    <row r="28" customFormat="false" ht="12.75" hidden="false" customHeight="false" outlineLevel="0" collapsed="false">
      <c r="A28" s="13" t="n">
        <f aca="false">A27+1</f>
        <v>2</v>
      </c>
      <c r="B28" s="14" t="n">
        <f aca="false">1/(1+$C$3)*B29</f>
        <v>0.0693433494944133</v>
      </c>
      <c r="C28" s="14" t="n">
        <f aca="false">1/$C$3*(1-B28)</f>
        <v>9.30656650505587</v>
      </c>
      <c r="D28" s="15" t="n">
        <f aca="false">0.036*$C$4</f>
        <v>0.036</v>
      </c>
      <c r="E28" s="16" t="n">
        <f aca="false">E27-H28-G28</f>
        <v>97788376.5871292</v>
      </c>
      <c r="F28" s="16" t="n">
        <f aca="false">E27/C27</f>
        <v>10899854.9164546</v>
      </c>
      <c r="G28" s="16" t="n">
        <f aca="false">(E27-H28)*D28</f>
        <v>3651848.08831603</v>
      </c>
      <c r="H28" s="16" t="n">
        <f aca="false">F28-I28</f>
        <v>687120.408100102</v>
      </c>
      <c r="I28" s="16" t="n">
        <f aca="false">E27*C$3</f>
        <v>10212734.5083545</v>
      </c>
      <c r="J28" s="16" t="n">
        <f aca="false">$C$7*E27</f>
        <v>510636.725417727</v>
      </c>
      <c r="K28" s="16" t="n">
        <f aca="false">MAXA(0,+E28-$C$6)</f>
        <v>93788376.5871292</v>
      </c>
    </row>
    <row r="29" customFormat="false" ht="12.75" hidden="false" customHeight="false" outlineLevel="0" collapsed="false">
      <c r="A29" s="13" t="n">
        <f aca="false">A28+1</f>
        <v>3</v>
      </c>
      <c r="B29" s="14" t="n">
        <f aca="false">1/(1+$C$3)*B30</f>
        <v>0.0762776844438547</v>
      </c>
      <c r="C29" s="14" t="n">
        <f aca="false">1/$C$3*(1-B29)</f>
        <v>9.23722315556145</v>
      </c>
      <c r="D29" s="15" t="n">
        <f aca="false">0.0575*C4</f>
        <v>0.0575</v>
      </c>
      <c r="E29" s="16" t="n">
        <f aca="false">E28-H29-G29</f>
        <v>91478818.245263</v>
      </c>
      <c r="F29" s="16" t="n">
        <f aca="false">E28/C28</f>
        <v>10507460.1394623</v>
      </c>
      <c r="G29" s="16" t="n">
        <f aca="false">(E28-H29)*D29</f>
        <v>5580935.86111684</v>
      </c>
      <c r="H29" s="16" t="n">
        <f aca="false">F29-I29</f>
        <v>728622.48074935</v>
      </c>
      <c r="I29" s="16" t="n">
        <f aca="false">E28*C$3</f>
        <v>9778837.65871292</v>
      </c>
      <c r="J29" s="16" t="n">
        <f aca="false">$C$7*E28</f>
        <v>488941.882935646</v>
      </c>
      <c r="K29" s="16" t="n">
        <f aca="false">MAXA(0,+E29-$C$6)</f>
        <v>87478818.245263</v>
      </c>
    </row>
    <row r="30" customFormat="false" ht="12.75" hidden="false" customHeight="false" outlineLevel="0" collapsed="false">
      <c r="A30" s="13" t="n">
        <f aca="false">A29+1</f>
        <v>4</v>
      </c>
      <c r="B30" s="14" t="n">
        <f aca="false">1/(1+$C$3)*B31</f>
        <v>0.0839054528882401</v>
      </c>
      <c r="C30" s="14" t="n">
        <f aca="false">1/$C$3*(1-B30)</f>
        <v>9.1609454711176</v>
      </c>
      <c r="D30" s="15" t="n">
        <f aca="false">0.06*$C$4</f>
        <v>0.06</v>
      </c>
      <c r="E30" s="16" t="n">
        <f aca="false">E29-H30-G30</f>
        <v>85280013.7550454</v>
      </c>
      <c r="F30" s="16" t="n">
        <f aca="false">E29/C29</f>
        <v>9903281.18144319</v>
      </c>
      <c r="G30" s="16" t="n">
        <f aca="false">(E29-H30)*D30</f>
        <v>5443405.13330077</v>
      </c>
      <c r="H30" s="16" t="n">
        <f aca="false">F30-I30</f>
        <v>755399.356916888</v>
      </c>
      <c r="I30" s="16" t="n">
        <f aca="false">E29*C$3</f>
        <v>9147881.8245263</v>
      </c>
      <c r="J30" s="16" t="n">
        <f aca="false">$C$7*E29</f>
        <v>457394.091226315</v>
      </c>
      <c r="K30" s="16" t="n">
        <f aca="false">MAXA(0,+E30-$C$6)</f>
        <v>81280013.7550454</v>
      </c>
    </row>
    <row r="31" customFormat="false" ht="12.75" hidden="false" customHeight="false" outlineLevel="0" collapsed="false">
      <c r="A31" s="13" t="n">
        <f aca="false">A30+1</f>
        <v>5</v>
      </c>
      <c r="B31" s="14" t="n">
        <f aca="false">1/(1+$C$3)*B32</f>
        <v>0.0922959981770641</v>
      </c>
      <c r="C31" s="14" t="n">
        <f aca="false">1/$C$3*(1-B31)</f>
        <v>9.07704001822936</v>
      </c>
      <c r="D31" s="15" t="n">
        <f aca="false">0.06*$C$4</f>
        <v>0.06</v>
      </c>
      <c r="E31" s="16" t="n">
        <f aca="false">E30-H31-G31</f>
        <v>79428994.9707937</v>
      </c>
      <c r="F31" s="16" t="n">
        <f aca="false">E30/C30</f>
        <v>9309084.3105566</v>
      </c>
      <c r="G31" s="16" t="n">
        <f aca="false">(E30-H31)*D31</f>
        <v>5069935.8491996</v>
      </c>
      <c r="H31" s="16" t="n">
        <f aca="false">F31-I31</f>
        <v>781082.935052063</v>
      </c>
      <c r="I31" s="16" t="n">
        <f aca="false">E30*C$3</f>
        <v>8528001.37550454</v>
      </c>
      <c r="J31" s="16" t="n">
        <f aca="false">$C$7*E30</f>
        <v>426400.068775227</v>
      </c>
      <c r="K31" s="16" t="n">
        <f aca="false">MAXA(0,+E31-$C$6)</f>
        <v>75428994.9707937</v>
      </c>
    </row>
    <row r="32" customFormat="false" ht="12.75" hidden="false" customHeight="false" outlineLevel="0" collapsed="false">
      <c r="A32" s="13" t="n">
        <f aca="false">A31+1</f>
        <v>6</v>
      </c>
      <c r="B32" s="14" t="n">
        <f aca="false">1/(1+$C$3)*B33</f>
        <v>0.101525597994771</v>
      </c>
      <c r="C32" s="14" t="n">
        <f aca="false">1/$C$3*(1-B32)</f>
        <v>8.9847440200523</v>
      </c>
      <c r="D32" s="15" t="n">
        <f aca="false">0.06*$C$4</f>
        <v>0.06</v>
      </c>
      <c r="E32" s="16" t="n">
        <f aca="false">E31-H32-G32</f>
        <v>73904073.9029929</v>
      </c>
      <c r="F32" s="16" t="n">
        <f aca="false">E31/C31</f>
        <v>8750539.25192321</v>
      </c>
      <c r="G32" s="16" t="n">
        <f aca="false">(E31-H32)*D32</f>
        <v>4717281.31295699</v>
      </c>
      <c r="H32" s="16" t="n">
        <f aca="false">F32-I32</f>
        <v>807639.754843833</v>
      </c>
      <c r="I32" s="16" t="n">
        <f aca="false">E31*C$3</f>
        <v>7942899.49707937</v>
      </c>
      <c r="J32" s="16" t="n">
        <f aca="false">$C$7*E31</f>
        <v>397144.974853969</v>
      </c>
      <c r="K32" s="16" t="n">
        <f aca="false">MAXA(0,+E32-$C$6)</f>
        <v>69904073.9029929</v>
      </c>
    </row>
    <row r="33" customFormat="false" ht="12.75" hidden="false" customHeight="false" outlineLevel="0" collapsed="false">
      <c r="A33" s="13" t="n">
        <f aca="false">A32+1</f>
        <v>7</v>
      </c>
      <c r="B33" s="14" t="n">
        <f aca="false">1/(1+$C$3)*B34</f>
        <v>0.111678157794248</v>
      </c>
      <c r="C33" s="14" t="n">
        <f aca="false">1/$C$3*(1-B33)</f>
        <v>8.88321842205752</v>
      </c>
      <c r="D33" s="15" t="n">
        <f aca="false">0.06*$C$4</f>
        <v>0.06</v>
      </c>
      <c r="E33" s="16" t="n">
        <f aca="false">E32-H33-G33</f>
        <v>68684835.9326953</v>
      </c>
      <c r="F33" s="16" t="n">
        <f aca="false">E32/C32</f>
        <v>8225506.89680781</v>
      </c>
      <c r="G33" s="16" t="n">
        <f aca="false">(E32-H33)*D33</f>
        <v>4384138.46378906</v>
      </c>
      <c r="H33" s="16" t="n">
        <f aca="false">F33-I33</f>
        <v>835099.506508522</v>
      </c>
      <c r="I33" s="16" t="n">
        <f aca="false">E32*C$3</f>
        <v>7390407.39029929</v>
      </c>
      <c r="J33" s="16" t="n">
        <f aca="false">$C$7*E32</f>
        <v>369520.369514965</v>
      </c>
      <c r="K33" s="16" t="n">
        <f aca="false">MAXA(0,+E33-$C$6)</f>
        <v>64684835.9326953</v>
      </c>
    </row>
    <row r="34" customFormat="false" ht="12.75" hidden="false" customHeight="false" outlineLevel="0" collapsed="false">
      <c r="A34" s="13" t="n">
        <f aca="false">A33+1</f>
        <v>8</v>
      </c>
      <c r="B34" s="14" t="n">
        <f aca="false">1/(1+$C$3)*B35</f>
        <v>0.122845973573672</v>
      </c>
      <c r="C34" s="14" t="n">
        <f aca="false">1/$C$3*(1-B34)</f>
        <v>8.77154026426328</v>
      </c>
      <c r="D34" s="15" t="n">
        <f aca="false">0.06*$C$4</f>
        <v>0.06</v>
      </c>
      <c r="E34" s="16" t="n">
        <f aca="false">E33-H34-G34</f>
        <v>63752062.4603876</v>
      </c>
      <c r="F34" s="16" t="n">
        <f aca="false">E33/C33</f>
        <v>7731976.48299934</v>
      </c>
      <c r="G34" s="16" t="n">
        <f aca="false">(E33-H34)*D34</f>
        <v>4069280.58257793</v>
      </c>
      <c r="H34" s="16" t="n">
        <f aca="false">F34-I34</f>
        <v>863492.889729812</v>
      </c>
      <c r="I34" s="16" t="n">
        <f aca="false">E33*C$3</f>
        <v>6868483.59326953</v>
      </c>
      <c r="J34" s="16" t="n">
        <f aca="false">$C$7*E33</f>
        <v>343424.179663477</v>
      </c>
      <c r="K34" s="16" t="n">
        <f aca="false">MAXA(0,+E34-$C$6)</f>
        <v>59752062.4603876</v>
      </c>
    </row>
    <row r="35" customFormat="false" ht="12.75" hidden="false" customHeight="false" outlineLevel="0" collapsed="false">
      <c r="A35" s="13" t="n">
        <f aca="false">A34+1</f>
        <v>9</v>
      </c>
      <c r="B35" s="14" t="n">
        <f aca="false">1/(1+$C$3)*B36</f>
        <v>0.13513057093104</v>
      </c>
      <c r="C35" s="14" t="n">
        <f aca="false">1/$C$3*(1-B35)</f>
        <v>8.6486942906896</v>
      </c>
      <c r="D35" s="15" t="n">
        <f aca="false">0.06*$C$4</f>
        <v>0.06</v>
      </c>
      <c r="E35" s="16" t="n">
        <f aca="false">E34-H35-G35</f>
        <v>59087658.1636625</v>
      </c>
      <c r="F35" s="16" t="n">
        <f aca="false">E34/C34</f>
        <v>7268057.89401938</v>
      </c>
      <c r="G35" s="16" t="n">
        <f aca="false">(E34-H35)*D35</f>
        <v>3771552.64874442</v>
      </c>
      <c r="H35" s="16" t="n">
        <f aca="false">F35-I35</f>
        <v>892851.647980627</v>
      </c>
      <c r="I35" s="16" t="n">
        <f aca="false">E34*C$3</f>
        <v>6375206.24603876</v>
      </c>
      <c r="J35" s="16" t="n">
        <f aca="false">$C$7*E34</f>
        <v>318760.312301938</v>
      </c>
      <c r="K35" s="16" t="n">
        <f aca="false">MAXA(0,+E35-$C$6)</f>
        <v>55087658.1636625</v>
      </c>
    </row>
    <row r="36" customFormat="false" ht="12.75" hidden="false" customHeight="false" outlineLevel="0" collapsed="false">
      <c r="A36" s="13" t="n">
        <f aca="false">A35+1</f>
        <v>10</v>
      </c>
      <c r="B36" s="14" t="n">
        <f aca="false">1/(1+$C$3)*B37</f>
        <v>0.148643628024144</v>
      </c>
      <c r="C36" s="14" t="n">
        <f aca="false">1/$C$3*(1-B36)</f>
        <v>8.51356371975857</v>
      </c>
      <c r="D36" s="15" t="n">
        <f aca="false">0.06*$C$4</f>
        <v>0.06</v>
      </c>
      <c r="E36" s="16" t="n">
        <f aca="false">E35-H36-G36</f>
        <v>54674582.5860715</v>
      </c>
      <c r="F36" s="16" t="n">
        <f aca="false">E35/C35</f>
        <v>6831974.42037822</v>
      </c>
      <c r="G36" s="16" t="n">
        <f aca="false">(E35-H36)*D36</f>
        <v>3489866.97357903</v>
      </c>
      <c r="H36" s="16" t="n">
        <f aca="false">F36-I36</f>
        <v>923208.604011968</v>
      </c>
      <c r="I36" s="16" t="n">
        <f aca="false">E35*C$3</f>
        <v>5908765.81636625</v>
      </c>
      <c r="J36" s="16" t="n">
        <f aca="false">$C$7*E35</f>
        <v>295438.290818313</v>
      </c>
      <c r="K36" s="16" t="n">
        <f aca="false">MAXA(0,+E36-$C$6)</f>
        <v>50674582.5860715</v>
      </c>
    </row>
    <row r="37" customFormat="false" ht="12.75" hidden="false" customHeight="false" outlineLevel="0" collapsed="false">
      <c r="A37" s="13" t="n">
        <f aca="false">A36+1</f>
        <v>11</v>
      </c>
      <c r="B37" s="14" t="n">
        <f aca="false">1/(1+$C$3)*B38</f>
        <v>0.163507990826558</v>
      </c>
      <c r="C37" s="14" t="n">
        <f aca="false">1/$C$3*(1-B37)</f>
        <v>8.36492009173442</v>
      </c>
      <c r="D37" s="15" t="n">
        <f aca="false">0.06*$C$4</f>
        <v>0.06</v>
      </c>
      <c r="E37" s="16" t="n">
        <f aca="false">E36-H37-G37</f>
        <v>50496785.7961518</v>
      </c>
      <c r="F37" s="16" t="n">
        <f aca="false">E36/C36</f>
        <v>6422055.95515553</v>
      </c>
      <c r="G37" s="16" t="n">
        <f aca="false">(E36-H37)*D37</f>
        <v>3223199.09337139</v>
      </c>
      <c r="H37" s="16" t="n">
        <f aca="false">F37-I37</f>
        <v>954597.696548373</v>
      </c>
      <c r="I37" s="16" t="n">
        <f aca="false">E36*C$3</f>
        <v>5467458.25860715</v>
      </c>
      <c r="J37" s="16" t="n">
        <f aca="false">$C$7*E36</f>
        <v>273372.912930358</v>
      </c>
      <c r="K37" s="16" t="n">
        <f aca="false">MAXA(0,+E37-$C$6)</f>
        <v>46496785.7961518</v>
      </c>
    </row>
    <row r="38" customFormat="false" ht="12.75" hidden="false" customHeight="false" outlineLevel="0" collapsed="false">
      <c r="A38" s="13" t="n">
        <f aca="false">A37+1</f>
        <v>12</v>
      </c>
      <c r="B38" s="14" t="n">
        <f aca="false">1/(1+$C$3)*B39</f>
        <v>0.179858789909214</v>
      </c>
      <c r="C38" s="14" t="n">
        <f aca="false">1/$C$3*(1-B38)</f>
        <v>8.20141210090786</v>
      </c>
      <c r="D38" s="15" t="n">
        <f aca="false">0.06*$C$4</f>
        <v>0.06</v>
      </c>
      <c r="E38" s="16" t="n">
        <f aca="false">E37-H38-G38</f>
        <v>46539147.8712455</v>
      </c>
      <c r="F38" s="16" t="n">
        <f aca="false">E37/C37</f>
        <v>6036732.59784619</v>
      </c>
      <c r="G38" s="16" t="n">
        <f aca="false">(E37-H38)*D38</f>
        <v>2970583.90667524</v>
      </c>
      <c r="H38" s="16" t="n">
        <f aca="false">F38-I38</f>
        <v>987054.018231018</v>
      </c>
      <c r="I38" s="16" t="n">
        <f aca="false">E37*C$3</f>
        <v>5049678.57961518</v>
      </c>
      <c r="J38" s="16" t="n">
        <f aca="false">$C$7*E37</f>
        <v>252483.928980759</v>
      </c>
      <c r="K38" s="16" t="n">
        <f aca="false">MAXA(0,+E38-$C$6)</f>
        <v>42539147.8712455</v>
      </c>
    </row>
    <row r="39" customFormat="false" ht="12.75" hidden="false" customHeight="false" outlineLevel="0" collapsed="false">
      <c r="A39" s="13" t="n">
        <f aca="false">A38+1</f>
        <v>13</v>
      </c>
      <c r="B39" s="14" t="n">
        <f aca="false">1/(1+$C$3)*B40</f>
        <v>0.197844668900135</v>
      </c>
      <c r="C39" s="14" t="n">
        <f aca="false">1/$C$3*(1-B39)</f>
        <v>8.02155331099865</v>
      </c>
      <c r="D39" s="15" t="n">
        <f aca="false">0.06*$C$4</f>
        <v>0.06</v>
      </c>
      <c r="E39" s="16" t="n">
        <f aca="false">E38-H39-G39</f>
        <v>42787421.9754109</v>
      </c>
      <c r="F39" s="16" t="n">
        <f aca="false">E38/C38</f>
        <v>5674528.64197542</v>
      </c>
      <c r="G39" s="16" t="n">
        <f aca="false">(E38-H39)*D39</f>
        <v>2731112.04098368</v>
      </c>
      <c r="H39" s="16" t="n">
        <f aca="false">F39-I39</f>
        <v>1020613.85485087</v>
      </c>
      <c r="I39" s="16" t="n">
        <f aca="false">E38*C$3</f>
        <v>4653914.78712455</v>
      </c>
      <c r="J39" s="16" t="n">
        <f aca="false">$C$7*E38</f>
        <v>232695.739356227</v>
      </c>
      <c r="K39" s="16" t="n">
        <f aca="false">MAXA(0,+E39-$C$6)</f>
        <v>38787421.9754109</v>
      </c>
    </row>
    <row r="40" customFormat="false" ht="12.75" hidden="false" customHeight="false" outlineLevel="0" collapsed="false">
      <c r="A40" s="13" t="n">
        <f aca="false">A39+1</f>
        <v>14</v>
      </c>
      <c r="B40" s="14" t="n">
        <f aca="false">1/(1+$C$3)*B41</f>
        <v>0.217629135790149</v>
      </c>
      <c r="C40" s="14" t="n">
        <f aca="false">1/$C$3*(1-B40)</f>
        <v>7.82370864209851</v>
      </c>
      <c r="D40" s="15" t="n">
        <f aca="false">0.06*$C$4</f>
        <v>0.06</v>
      </c>
      <c r="E40" s="16" t="n">
        <f aca="false">E39-H40-G40</f>
        <v>39228180.8145254</v>
      </c>
      <c r="F40" s="16" t="n">
        <f aca="false">E39/C39</f>
        <v>5334056.9234569</v>
      </c>
      <c r="G40" s="16" t="n">
        <f aca="false">(E39-H40)*D40</f>
        <v>2503926.43496971</v>
      </c>
      <c r="H40" s="16" t="n">
        <f aca="false">F40-I40</f>
        <v>1055314.7259158</v>
      </c>
      <c r="I40" s="16" t="n">
        <f aca="false">E39*C$3</f>
        <v>4278742.19754109</v>
      </c>
      <c r="J40" s="16" t="n">
        <f aca="false">$C$7*E39</f>
        <v>213937.109877055</v>
      </c>
      <c r="K40" s="16" t="n">
        <f aca="false">MAXA(0,+E40-$C$6)</f>
        <v>35228180.8145254</v>
      </c>
    </row>
    <row r="41" customFormat="false" ht="12.75" hidden="false" customHeight="false" outlineLevel="0" collapsed="false">
      <c r="A41" s="13" t="n">
        <f aca="false">A40+1</f>
        <v>15</v>
      </c>
      <c r="B41" s="14" t="n">
        <f aca="false">1/(1+$C$3)*B42</f>
        <v>0.239392049369163</v>
      </c>
      <c r="C41" s="14" t="n">
        <f aca="false">1/$C$3*(1-B41)</f>
        <v>7.60607950630837</v>
      </c>
      <c r="D41" s="15" t="n">
        <f aca="false">0.06*$C$4</f>
        <v>0.06</v>
      </c>
      <c r="E41" s="16" t="n">
        <f aca="false">E40-H41-G41</f>
        <v>35848766.2646528</v>
      </c>
      <c r="F41" s="16" t="n">
        <f aca="false">E40/C40</f>
        <v>5014013.50804948</v>
      </c>
      <c r="G41" s="16" t="n">
        <f aca="false">(E40-H41)*D41</f>
        <v>2288219.12327571</v>
      </c>
      <c r="H41" s="16" t="n">
        <f aca="false">F41-I41</f>
        <v>1091195.42659694</v>
      </c>
      <c r="I41" s="16" t="n">
        <f aca="false">E40*C$3</f>
        <v>3922818.08145254</v>
      </c>
      <c r="J41" s="16" t="n">
        <f aca="false">$C$7*E40</f>
        <v>196140.904072627</v>
      </c>
      <c r="K41" s="16" t="n">
        <f aca="false">MAXA(0,+E41-$C$6)</f>
        <v>31848766.2646528</v>
      </c>
    </row>
    <row r="42" customFormat="false" ht="12.75" hidden="false" customHeight="false" outlineLevel="0" collapsed="false">
      <c r="A42" s="13" t="n">
        <f aca="false">A41+1</f>
        <v>16</v>
      </c>
      <c r="B42" s="14" t="n">
        <f aca="false">1/(1+$C$3)*B43</f>
        <v>0.26333125430608</v>
      </c>
      <c r="C42" s="14" t="n">
        <f aca="false">1/$C$3*(1-B42)</f>
        <v>7.3666874569392</v>
      </c>
      <c r="D42" s="15" t="n">
        <f aca="false">0.06*$C$4</f>
        <v>0.06</v>
      </c>
      <c r="E42" s="16" t="n">
        <f aca="false">E41-H42-G42</f>
        <v>32637241.9819385</v>
      </c>
      <c r="F42" s="16" t="n">
        <f aca="false">E41/C41</f>
        <v>4713172.69756652</v>
      </c>
      <c r="G42" s="16" t="n">
        <f aca="false">(E41-H42)*D42</f>
        <v>2083228.21161309</v>
      </c>
      <c r="H42" s="16" t="n">
        <f aca="false">F42-I42</f>
        <v>1128296.07110124</v>
      </c>
      <c r="I42" s="16" t="n">
        <f aca="false">E41*C$3</f>
        <v>3584876.62646528</v>
      </c>
      <c r="J42" s="16" t="n">
        <f aca="false">$C$7*E41</f>
        <v>179243.831323264</v>
      </c>
      <c r="K42" s="16" t="n">
        <f aca="false">MAXA(0,+E42-$C$6)</f>
        <v>28637241.9819385</v>
      </c>
    </row>
    <row r="43" customFormat="false" ht="12.75" hidden="false" customHeight="false" outlineLevel="0" collapsed="false">
      <c r="A43" s="13" t="n">
        <f aca="false">A42+1</f>
        <v>17</v>
      </c>
      <c r="B43" s="14" t="n">
        <f aca="false">1/(1+$C$3)*B44</f>
        <v>0.289664379736688</v>
      </c>
      <c r="C43" s="14" t="n">
        <f aca="false">1/$C$3*(1-B43)</f>
        <v>7.10335620263312</v>
      </c>
      <c r="D43" s="15" t="n">
        <f aca="false">0.06*$C$4</f>
        <v>0.06</v>
      </c>
      <c r="E43" s="16" t="n">
        <f aca="false">E42-H43-G43</f>
        <v>29582348.8137546</v>
      </c>
      <c r="F43" s="16" t="n">
        <f aca="false">E42/C42</f>
        <v>4430382.33571252</v>
      </c>
      <c r="G43" s="16" t="n">
        <f aca="false">(E42-H43)*D43</f>
        <v>1888235.03066519</v>
      </c>
      <c r="H43" s="16" t="n">
        <f aca="false">F43-I43</f>
        <v>1166658.13751868</v>
      </c>
      <c r="I43" s="16" t="n">
        <f aca="false">E42*C$3</f>
        <v>3263724.19819385</v>
      </c>
      <c r="J43" s="16" t="n">
        <f aca="false">$C$7*E42</f>
        <v>163186.209909692</v>
      </c>
      <c r="K43" s="16" t="n">
        <f aca="false">MAXA(0,+E43-$C$6)</f>
        <v>25582348.8137546</v>
      </c>
    </row>
    <row r="44" customFormat="false" ht="12.75" hidden="false" customHeight="false" outlineLevel="0" collapsed="false">
      <c r="A44" s="13" t="n">
        <f aca="false">A43+1</f>
        <v>18</v>
      </c>
      <c r="B44" s="14" t="n">
        <f aca="false">1/(1+$C$3)*B45</f>
        <v>0.318630817710357</v>
      </c>
      <c r="C44" s="14" t="n">
        <f aca="false">1/$C$3*(1-B44)</f>
        <v>6.81369182289643</v>
      </c>
      <c r="D44" s="15" t="n">
        <f aca="false">0.06*$C$4</f>
        <v>0.06</v>
      </c>
      <c r="E44" s="16" t="n">
        <f aca="false">E43-H44-G44</f>
        <v>26673462.8415867</v>
      </c>
      <c r="F44" s="16" t="n">
        <f aca="false">E43/C43</f>
        <v>4164559.39556977</v>
      </c>
      <c r="G44" s="16" t="n">
        <f aca="false">(E43-H44)*D44</f>
        <v>1702561.45797362</v>
      </c>
      <c r="H44" s="16" t="n">
        <f aca="false">F44-I44</f>
        <v>1206324.51419431</v>
      </c>
      <c r="I44" s="16" t="n">
        <f aca="false">E43*C$3</f>
        <v>2958234.88137546</v>
      </c>
      <c r="J44" s="16" t="n">
        <f aca="false">$C$7*E43</f>
        <v>147911.744068773</v>
      </c>
      <c r="K44" s="16" t="n">
        <f aca="false">MAXA(0,+E44-$C$6)</f>
        <v>22673462.8415867</v>
      </c>
    </row>
    <row r="45" customFormat="false" ht="12.75" hidden="false" customHeight="false" outlineLevel="0" collapsed="false">
      <c r="A45" s="13" t="n">
        <f aca="false">A44+1</f>
        <v>19</v>
      </c>
      <c r="B45" s="14" t="n">
        <f aca="false">1/(1+$C$3)*B46</f>
        <v>0.350493899481392</v>
      </c>
      <c r="C45" s="14" t="n">
        <f aca="false">1/$C$3*(1-B45)</f>
        <v>6.49506100518608</v>
      </c>
      <c r="D45" s="15" t="n">
        <f aca="false">0.06*$C$4</f>
        <v>0.06</v>
      </c>
      <c r="E45" s="16" t="n">
        <f aca="false">E44-H45-G45</f>
        <v>23900555.8962752</v>
      </c>
      <c r="F45" s="16" t="n">
        <f aca="false">E44/C44</f>
        <v>3914685.83183559</v>
      </c>
      <c r="G45" s="16" t="n">
        <f aca="false">(E44-H45)*D45</f>
        <v>1525567.39763458</v>
      </c>
      <c r="H45" s="16" t="n">
        <f aca="false">F45-I45</f>
        <v>1247339.54767692</v>
      </c>
      <c r="I45" s="16" t="n">
        <f aca="false">E44*C$3</f>
        <v>2667346.28415867</v>
      </c>
      <c r="J45" s="16" t="n">
        <f aca="false">$C$7*E44</f>
        <v>133367.314207933</v>
      </c>
      <c r="K45" s="16" t="n">
        <f aca="false">MAXA(0,+E45-$C$6)</f>
        <v>19900555.8962752</v>
      </c>
    </row>
    <row r="46" customFormat="false" ht="12.75" hidden="false" customHeight="false" outlineLevel="0" collapsed="false">
      <c r="A46" s="13" t="n">
        <f aca="false">A45+1</f>
        <v>20</v>
      </c>
      <c r="B46" s="14" t="n">
        <f aca="false">1/(1+$C$3)*B47</f>
        <v>0.385543289429532</v>
      </c>
      <c r="C46" s="14" t="n">
        <f aca="false">1/$C$3*(1-B46)</f>
        <v>6.14456710570468</v>
      </c>
      <c r="D46" s="15" t="n">
        <f aca="false">0.06*$C$4</f>
        <v>0.06</v>
      </c>
      <c r="E46" s="16" t="n">
        <f aca="false">E45-H46-G46</f>
        <v>21254158.3957386</v>
      </c>
      <c r="F46" s="16" t="n">
        <f aca="false">E45/C45</f>
        <v>3679804.68192545</v>
      </c>
      <c r="G46" s="16" t="n">
        <f aca="false">(E45-H46)*D46</f>
        <v>1356648.40823863</v>
      </c>
      <c r="H46" s="16" t="n">
        <f aca="false">F46-I46</f>
        <v>1289749.09229794</v>
      </c>
      <c r="I46" s="16" t="n">
        <f aca="false">E45*C$3</f>
        <v>2390055.58962752</v>
      </c>
      <c r="J46" s="16" t="n">
        <f aca="false">$C$7*E45</f>
        <v>119502.779481376</v>
      </c>
      <c r="K46" s="16" t="n">
        <f aca="false">MAXA(0,+E46-$C$6)</f>
        <v>17254158.3957386</v>
      </c>
    </row>
    <row r="47" customFormat="false" ht="12.75" hidden="false" customHeight="false" outlineLevel="0" collapsed="false">
      <c r="A47" s="13" t="n">
        <f aca="false">A46+1</f>
        <v>21</v>
      </c>
      <c r="B47" s="14" t="n">
        <f aca="false">1/(1+$C$3)*B48</f>
        <v>0.424097618372485</v>
      </c>
      <c r="C47" s="14" t="n">
        <f aca="false">1/$C$3*(1-B47)</f>
        <v>5.75902381627515</v>
      </c>
      <c r="D47" s="15" t="n">
        <f aca="false">0.06*$C$4</f>
        <v>0.06</v>
      </c>
      <c r="E47" s="16" t="n">
        <f aca="false">E46-H47-G47</f>
        <v>18725324.3642444</v>
      </c>
      <c r="F47" s="16" t="n">
        <f aca="false">E46/C46</f>
        <v>3459016.40100992</v>
      </c>
      <c r="G47" s="16" t="n">
        <f aca="false">(E46-H47)*D47</f>
        <v>1195233.47005815</v>
      </c>
      <c r="H47" s="16" t="n">
        <f aca="false">F47-I47</f>
        <v>1333600.56143607</v>
      </c>
      <c r="I47" s="16" t="n">
        <f aca="false">E46*C$3</f>
        <v>2125415.83957386</v>
      </c>
      <c r="J47" s="16" t="n">
        <f aca="false">$C$7*E46</f>
        <v>106270.791978693</v>
      </c>
      <c r="K47" s="16" t="n">
        <f aca="false">MAXA(0,+E47-$C$6)</f>
        <v>14725324.3642444</v>
      </c>
    </row>
    <row r="48" customFormat="false" ht="12.75" hidden="false" customHeight="false" outlineLevel="0" collapsed="false">
      <c r="A48" s="13" t="n">
        <f aca="false">A47+1</f>
        <v>22</v>
      </c>
      <c r="B48" s="14" t="n">
        <f aca="false">1/(1+$C$3)*B49</f>
        <v>0.466507380209733</v>
      </c>
      <c r="C48" s="14" t="n">
        <f aca="false">1/$C$3*(1-B48)</f>
        <v>5.33492619790267</v>
      </c>
      <c r="D48" s="15" t="n">
        <f aca="false">0.06*$C$4</f>
        <v>0.06</v>
      </c>
      <c r="E48" s="16" t="n">
        <f aca="false">E47-H48-G48</f>
        <v>16305598.5006963</v>
      </c>
      <c r="F48" s="16" t="n">
        <f aca="false">E47/C47</f>
        <v>3251475.41694933</v>
      </c>
      <c r="G48" s="16" t="n">
        <f aca="false">(E47-H48)*D48</f>
        <v>1040782.88302317</v>
      </c>
      <c r="H48" s="16" t="n">
        <f aca="false">F48-I48</f>
        <v>1378942.98052489</v>
      </c>
      <c r="I48" s="16" t="n">
        <f aca="false">E47*C$3</f>
        <v>1872532.43642444</v>
      </c>
      <c r="J48" s="16" t="n">
        <f aca="false">$C$7*E47</f>
        <v>93626.6218212218</v>
      </c>
      <c r="K48" s="16" t="n">
        <f aca="false">MAXA(0,+E48-$C$6)</f>
        <v>12305598.5006963</v>
      </c>
    </row>
    <row r="49" customFormat="false" ht="12.75" hidden="false" customHeight="false" outlineLevel="0" collapsed="false">
      <c r="A49" s="13" t="n">
        <f aca="false">A48+1</f>
        <v>23</v>
      </c>
      <c r="B49" s="14" t="n">
        <f aca="false">1/(1+$C$3)*B50</f>
        <v>0.513158118230707</v>
      </c>
      <c r="C49" s="14" t="n">
        <f aca="false">1/$C$3*(1-B49)</f>
        <v>4.86841881769293</v>
      </c>
      <c r="D49" s="15" t="n">
        <f aca="false">0.06*$C$4</f>
        <v>0.06</v>
      </c>
      <c r="E49" s="16" t="n">
        <f aca="false">E48-H49-G49</f>
        <v>13986985.1713036</v>
      </c>
      <c r="F49" s="16" t="n">
        <f aca="false">E48/C48</f>
        <v>3056386.89193237</v>
      </c>
      <c r="G49" s="16" t="n">
        <f aca="false">(E48-H49)*D49</f>
        <v>892786.287530014</v>
      </c>
      <c r="H49" s="16" t="n">
        <f aca="false">F49-I49</f>
        <v>1425827.04186274</v>
      </c>
      <c r="I49" s="16" t="n">
        <f aca="false">E48*C$3</f>
        <v>1630559.85006963</v>
      </c>
      <c r="J49" s="16" t="n">
        <f aca="false">$C$7*E48</f>
        <v>81527.9925034815</v>
      </c>
      <c r="K49" s="16" t="n">
        <f aca="false">MAXA(0,+E49-$C$6)</f>
        <v>9986985.17130355</v>
      </c>
    </row>
    <row r="50" customFormat="false" ht="12.75" hidden="false" customHeight="false" outlineLevel="0" collapsed="false">
      <c r="A50" s="13" t="n">
        <f aca="false">A49+1</f>
        <v>24</v>
      </c>
      <c r="B50" s="14" t="n">
        <f aca="false">1/(1+$C$3)*B51</f>
        <v>0.564473930053777</v>
      </c>
      <c r="C50" s="14" t="n">
        <f aca="false">1/$C$3*(1-B50)</f>
        <v>4.35526069946223</v>
      </c>
      <c r="D50" s="15" t="n">
        <f aca="false">0.06*$C$4</f>
        <v>0.06</v>
      </c>
      <c r="E50" s="16" t="n">
        <f aca="false">E49-H50-G50</f>
        <v>11761919.2094164</v>
      </c>
      <c r="F50" s="16" t="n">
        <f aca="false">E49/C49</f>
        <v>2873003.67841643</v>
      </c>
      <c r="G50" s="16" t="n">
        <f aca="false">(E49-H50)*D50</f>
        <v>750760.800601049</v>
      </c>
      <c r="H50" s="16" t="n">
        <f aca="false">F50-I50</f>
        <v>1474305.16128607</v>
      </c>
      <c r="I50" s="16" t="n">
        <f aca="false">E49*C$3</f>
        <v>1398698.51713036</v>
      </c>
      <c r="J50" s="16" t="n">
        <f aca="false">$C$7*E49</f>
        <v>69934.9258565177</v>
      </c>
      <c r="K50" s="16" t="n">
        <f aca="false">MAXA(0,+E50-$C$6)</f>
        <v>7761919.20941643</v>
      </c>
    </row>
    <row r="51" customFormat="false" ht="12.75" hidden="false" customHeight="false" outlineLevel="0" collapsed="false">
      <c r="A51" s="13" t="n">
        <f aca="false">A50+1</f>
        <v>25</v>
      </c>
      <c r="B51" s="14" t="n">
        <f aca="false">1/(1+$C$3)*B52</f>
        <v>0.620921323059155</v>
      </c>
      <c r="C51" s="14" t="n">
        <f aca="false">1/$C$3*(1-B51)</f>
        <v>3.79078676940845</v>
      </c>
      <c r="D51" s="15" t="n">
        <f aca="false">0.06*$C$4</f>
        <v>0.06</v>
      </c>
      <c r="E51" s="16" t="n">
        <f aca="false">E50-H51-G51</f>
        <v>9623238.41228783</v>
      </c>
      <c r="F51" s="16" t="n">
        <f aca="false">E50/C50</f>
        <v>2700623.45771144</v>
      </c>
      <c r="G51" s="16" t="n">
        <f aca="false">(E50-H51)*D51</f>
        <v>614249.260358798</v>
      </c>
      <c r="H51" s="16" t="n">
        <f aca="false">F51-I51</f>
        <v>1524431.5367698</v>
      </c>
      <c r="I51" s="16" t="n">
        <f aca="false">E50*C$3</f>
        <v>1176191.92094164</v>
      </c>
      <c r="J51" s="16" t="n">
        <f aca="false">$C$7*E50</f>
        <v>58809.5960470821</v>
      </c>
      <c r="K51" s="16" t="n">
        <f aca="false">MAXA(0,+E51-$C$6)</f>
        <v>5623238.41228783</v>
      </c>
    </row>
    <row r="52" customFormat="false" ht="12.75" hidden="false" customHeight="false" outlineLevel="0" collapsed="false">
      <c r="A52" s="13" t="n">
        <f aca="false">A51+1</f>
        <v>26</v>
      </c>
      <c r="B52" s="14" t="n">
        <f aca="false">1/(1+$C$3)*B53</f>
        <v>0.683013455365071</v>
      </c>
      <c r="C52" s="14" t="n">
        <f aca="false">1/$C$3*(1-B52)</f>
        <v>3.1698654463493</v>
      </c>
      <c r="D52" s="15" t="n">
        <f aca="false">0.06*$C$4</f>
        <v>0.06</v>
      </c>
      <c r="E52" s="16" t="n">
        <f aca="false">E51-H52-G52</f>
        <v>7564157.63107179</v>
      </c>
      <c r="F52" s="16" t="n">
        <f aca="false">E51/C51</f>
        <v>2538586.05024875</v>
      </c>
      <c r="G52" s="16" t="n">
        <f aca="false">(E51-H52)*D52</f>
        <v>482818.572196072</v>
      </c>
      <c r="H52" s="16" t="n">
        <f aca="false">F52-I52</f>
        <v>1576262.20901997</v>
      </c>
      <c r="I52" s="16" t="n">
        <f aca="false">E51*C$3</f>
        <v>962323.841228783</v>
      </c>
      <c r="J52" s="16" t="n">
        <f aca="false">$C$7*E51</f>
        <v>48116.1920614392</v>
      </c>
      <c r="K52" s="16" t="n">
        <f aca="false">MAXA(0,+E52-$C$6)</f>
        <v>3564157.63107179</v>
      </c>
    </row>
    <row r="53" customFormat="false" ht="12.75" hidden="false" customHeight="false" outlineLevel="0" collapsed="false">
      <c r="A53" s="13" t="n">
        <f aca="false">A52+1</f>
        <v>27</v>
      </c>
      <c r="B53" s="14" t="n">
        <f aca="false">1/(1+$C$3)*B54</f>
        <v>0.751314800901578</v>
      </c>
      <c r="C53" s="14" t="n">
        <f aca="false">1/$C$3*(1-B53)</f>
        <v>2.48685199098422</v>
      </c>
      <c r="D53" s="15" t="n">
        <f aca="false">0.06*$C$4</f>
        <v>0.06</v>
      </c>
      <c r="E53" s="16" t="n">
        <f aca="false">E52-H53-G53</f>
        <v>5578244.35652843</v>
      </c>
      <c r="F53" s="16" t="n">
        <f aca="false">E52/C52</f>
        <v>2386270.88723383</v>
      </c>
      <c r="G53" s="16" t="n">
        <f aca="false">(E52-H53)*D53</f>
        <v>356058.150416708</v>
      </c>
      <c r="H53" s="16" t="n">
        <f aca="false">F53-I53</f>
        <v>1629855.12412665</v>
      </c>
      <c r="I53" s="16" t="n">
        <f aca="false">E52*C$3</f>
        <v>756415.763107179</v>
      </c>
      <c r="J53" s="16" t="n">
        <f aca="false">$C$7*E52</f>
        <v>37820.788155359</v>
      </c>
      <c r="K53" s="16" t="n">
        <f aca="false">MAXA(0,+E53-$C$6)</f>
        <v>1578244.35652843</v>
      </c>
    </row>
    <row r="54" customFormat="false" ht="12.75" hidden="false" customHeight="false" outlineLevel="0" collapsed="false">
      <c r="A54" s="13" t="n">
        <f aca="false">A53+1</f>
        <v>28</v>
      </c>
      <c r="B54" s="14" t="n">
        <f aca="false">1/(1+$C$3)*B55</f>
        <v>0.826446280991735</v>
      </c>
      <c r="C54" s="14" t="n">
        <f aca="false">1/$C$3*(1-B54)</f>
        <v>1.73553719008265</v>
      </c>
      <c r="D54" s="15" t="n">
        <f aca="false">0.06*$C$4</f>
        <v>0.06</v>
      </c>
      <c r="E54" s="16" t="n">
        <f aca="false">E53-H54-G54</f>
        <v>3659395.70869059</v>
      </c>
      <c r="F54" s="16" t="n">
        <f aca="false">E53/C53</f>
        <v>2243094.6339998</v>
      </c>
      <c r="G54" s="16" t="n">
        <f aca="false">(E53-H54)*D54</f>
        <v>233578.449490888</v>
      </c>
      <c r="H54" s="16" t="n">
        <f aca="false">F54-I54</f>
        <v>1685270.19834696</v>
      </c>
      <c r="I54" s="16" t="n">
        <f aca="false">E53*C$3</f>
        <v>557824.435652843</v>
      </c>
      <c r="J54" s="16" t="n">
        <f aca="false">$C$7*E53</f>
        <v>27891.2217826422</v>
      </c>
      <c r="K54" s="16" t="n">
        <f aca="false">MAXA(0,+E54-$C$6)</f>
        <v>0</v>
      </c>
    </row>
    <row r="55" customFormat="false" ht="12.75" hidden="false" customHeight="false" outlineLevel="0" collapsed="false">
      <c r="A55" s="13" t="n">
        <f aca="false">A54+1</f>
        <v>29</v>
      </c>
      <c r="B55" s="14" t="n">
        <f aca="false">1/(1+$C$3)*B56</f>
        <v>0.909090909090909</v>
      </c>
      <c r="C55" s="14" t="n">
        <f aca="false">1/$C$3*(1-B55)</f>
        <v>0.909090909090909</v>
      </c>
      <c r="D55" s="15" t="n">
        <f aca="false">0.06*$C$4</f>
        <v>0.06</v>
      </c>
      <c r="E55" s="16" t="n">
        <f aca="false">E54-H55-G55</f>
        <v>1801816.74418384</v>
      </c>
      <c r="F55" s="16" t="n">
        <f aca="false">E54/C54</f>
        <v>2108508.95595981</v>
      </c>
      <c r="G55" s="16" t="n">
        <f aca="false">(E54-H55)*D55</f>
        <v>115009.57941599</v>
      </c>
      <c r="H55" s="16" t="n">
        <f aca="false">F55-I55</f>
        <v>1742569.38509075</v>
      </c>
      <c r="I55" s="16" t="n">
        <f aca="false">E54*C$3</f>
        <v>365939.570869059</v>
      </c>
      <c r="J55" s="16" t="n">
        <f aca="false">$C$7*E54</f>
        <v>18296.9785434529</v>
      </c>
      <c r="K55" s="16" t="n">
        <f aca="false">MAXA(0,+E55-$C$6)</f>
        <v>0</v>
      </c>
    </row>
    <row r="56" customFormat="false" ht="12.75" hidden="false" customHeight="false" outlineLevel="0" collapsed="false">
      <c r="A56" s="13" t="n">
        <f aca="false">A55+1</f>
        <v>30</v>
      </c>
      <c r="B56" s="14" t="n">
        <v>1</v>
      </c>
      <c r="C56" s="14" t="n">
        <f aca="false">1/$C$3*(1-B56)</f>
        <v>0</v>
      </c>
      <c r="D56" s="15" t="n">
        <f aca="false">0.06*$C$4</f>
        <v>0.06</v>
      </c>
      <c r="E56" s="16" t="n">
        <f aca="false">E55-H56-G56</f>
        <v>0</v>
      </c>
      <c r="F56" s="16" t="n">
        <f aca="false">E55/C55</f>
        <v>1981998.41860223</v>
      </c>
      <c r="G56" s="16" t="n">
        <f aca="false">(E55-H56)*D56</f>
        <v>0</v>
      </c>
      <c r="H56" s="16" t="n">
        <f aca="false">F56-I56</f>
        <v>1801816.74418384</v>
      </c>
      <c r="I56" s="16" t="n">
        <f aca="false">E55*C$3</f>
        <v>180181.674418384</v>
      </c>
      <c r="J56" s="16" t="n">
        <f aca="false">$C$7*E55</f>
        <v>9009.08372091921</v>
      </c>
      <c r="K56" s="16" t="n">
        <f aca="false">MAXA(0,+E56-$C$6)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T33"/>
  <sheetViews>
    <sheetView showFormulas="false" showGridLines="true" showRowColHeaders="true" showZeros="true" rightToLeft="false" tabSelected="false" showOutlineSymbols="true" defaultGridColor="true" view="normal" topLeftCell="T20" colorId="64" zoomScale="100" zoomScaleNormal="100" zoomScalePageLayoutView="100" workbookViewId="0">
      <selection pane="topLeft" activeCell="M14" activeCellId="0" sqref="M14:M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11" style="1" width="14.28"/>
    <col collapsed="false" customWidth="true" hidden="false" outlineLevel="0" max="12" min="12" style="1" width="32.56"/>
    <col collapsed="false" customWidth="true" hidden="false" outlineLevel="0" max="13" min="13" style="1" width="11.7"/>
  </cols>
  <sheetData>
    <row r="3" customFormat="false" ht="12.75" hidden="false" customHeight="false" outlineLevel="0" collapsed="false"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K3" s="1" t="s">
        <v>48</v>
      </c>
      <c r="L3" s="1" t="s">
        <v>49</v>
      </c>
      <c r="M3" s="1" t="s">
        <v>18</v>
      </c>
    </row>
    <row r="4" customFormat="false" ht="12.75" hidden="false" customHeight="false" outlineLevel="0" collapsed="false">
      <c r="A4" s="1" t="n">
        <v>1</v>
      </c>
      <c r="B4" s="1" t="n">
        <f aca="false">Tranches!Q80</f>
        <v>10893161.71893</v>
      </c>
      <c r="C4" s="1" t="n">
        <f aca="false">Tranches!W80</f>
        <v>21925716.9312</v>
      </c>
      <c r="D4" s="1" t="n">
        <f aca="false">Tranches!AC80</f>
        <v>2125000</v>
      </c>
      <c r="E4" s="1" t="n">
        <f aca="false">Tranches!AL80</f>
        <v>0</v>
      </c>
      <c r="F4" s="1" t="n">
        <f aca="false">Tranches!K80</f>
        <v>76308158.840954</v>
      </c>
      <c r="G4" s="1" t="n">
        <f aca="false">SUM(B4:E4)</f>
        <v>34943878.65013</v>
      </c>
      <c r="H4" s="1" t="n">
        <f aca="false">F4-G4</f>
        <v>41364280.190824</v>
      </c>
      <c r="J4" s="1" t="n">
        <v>1</v>
      </c>
      <c r="K4" s="4" t="n">
        <f aca="false">((SUM(B4:E4))/(Tranches!O79+Tranches!U79+Tranches!AA79+IF(E4=0,0,Tranches!AG79)))</f>
        <v>0.0732221141563126</v>
      </c>
      <c r="L4" s="17" t="n">
        <f aca="false">N4-M4-K4</f>
        <v>0.0217778858436874</v>
      </c>
      <c r="M4" s="18" t="n">
        <f aca="false">Tranches!$C$5</f>
        <v>0.005</v>
      </c>
      <c r="N4" s="18" t="n">
        <f aca="false">Tranches!$C$3</f>
        <v>0.1</v>
      </c>
      <c r="O4" s="1" t="n">
        <f aca="false">H4/Tranches!E79</f>
        <v>0.0514965460812467</v>
      </c>
      <c r="Q4" s="1" t="n">
        <v>1</v>
      </c>
      <c r="R4" s="18" t="n">
        <f aca="false">N4</f>
        <v>0.1</v>
      </c>
      <c r="S4" s="18" t="n">
        <v>0.01</v>
      </c>
      <c r="T4" s="4" t="n">
        <f aca="false">K4</f>
        <v>0.0732221141563126</v>
      </c>
    </row>
    <row r="5" customFormat="false" ht="12.75" hidden="false" customHeight="false" outlineLevel="0" collapsed="false">
      <c r="A5" s="1" t="n">
        <v>2</v>
      </c>
      <c r="B5" s="1" t="n">
        <f aca="false">Tranches!Q81</f>
        <v>9486896.98133509</v>
      </c>
      <c r="C5" s="1" t="n">
        <f aca="false">Tranches!W81</f>
        <v>21925716.9312</v>
      </c>
      <c r="D5" s="1" t="n">
        <f aca="false">Tranches!AC81</f>
        <v>2125000</v>
      </c>
      <c r="E5" s="1" t="n">
        <f aca="false">Tranches!AL81</f>
        <v>0</v>
      </c>
      <c r="F5" s="1" t="n">
        <f aca="false">Tranches!K81</f>
        <v>74557169.1437882</v>
      </c>
      <c r="G5" s="1" t="n">
        <f aca="false">SUM(B5:E5)</f>
        <v>33537613.9125351</v>
      </c>
      <c r="H5" s="1" t="n">
        <f aca="false">F5-G5</f>
        <v>41019555.2312531</v>
      </c>
      <c r="J5" s="1" t="n">
        <v>2</v>
      </c>
      <c r="K5" s="4" t="n">
        <f aca="false">((SUM(B5:E5))/(Tranches!O80+Tranches!U80+Tranches!AA80+IF(E5=0,0,Tranches!AG80)))</f>
        <v>0.0733143130341142</v>
      </c>
      <c r="L5" s="17" t="n">
        <f aca="false">N5-M5-K5</f>
        <v>0.0216856869658858</v>
      </c>
      <c r="M5" s="18" t="n">
        <f aca="false">Tranches!$C$5</f>
        <v>0.005</v>
      </c>
      <c r="N5" s="18" t="n">
        <f aca="false">Tranches!$C$3</f>
        <v>0.1</v>
      </c>
      <c r="O5" s="1" t="n">
        <f aca="false">H5/Tranches!E80</f>
        <v>0.0522667074369966</v>
      </c>
      <c r="Q5" s="1" t="n">
        <v>2</v>
      </c>
      <c r="R5" s="18" t="n">
        <f aca="false">N5</f>
        <v>0.1</v>
      </c>
      <c r="S5" s="18" t="n">
        <v>0.01</v>
      </c>
      <c r="T5" s="4" t="n">
        <f aca="false">K5</f>
        <v>0.0733143130341142</v>
      </c>
    </row>
    <row r="6" customFormat="false" ht="12.75" hidden="false" customHeight="false" outlineLevel="0" collapsed="false">
      <c r="A6" s="1" t="n">
        <v>3</v>
      </c>
      <c r="B6" s="1" t="n">
        <f aca="false">Tranches!Q82</f>
        <v>6742984.76303505</v>
      </c>
      <c r="C6" s="1" t="n">
        <f aca="false">Tranches!W82</f>
        <v>21925716.9312</v>
      </c>
      <c r="D6" s="1" t="n">
        <f aca="false">Tranches!AC82</f>
        <v>2125000</v>
      </c>
      <c r="E6" s="1" t="n">
        <f aca="false">Tranches!AL82</f>
        <v>0</v>
      </c>
      <c r="F6" s="1" t="n">
        <f aca="false">Tranches!K82</f>
        <v>71030177.8382107</v>
      </c>
      <c r="G6" s="1" t="n">
        <f aca="false">SUM(B6:E6)</f>
        <v>30793701.694235</v>
      </c>
      <c r="H6" s="1" t="n">
        <f aca="false">F6-G6</f>
        <v>40236476.1439757</v>
      </c>
      <c r="J6" s="1" t="n">
        <v>3</v>
      </c>
      <c r="K6" s="4" t="n">
        <f aca="false">((SUM(B6:E6))/(Tranches!O81+Tranches!U81+Tranches!AA81+IF(E6=0,0,Tranches!AG81)))</f>
        <v>0.0735192861907943</v>
      </c>
      <c r="L6" s="17" t="n">
        <f aca="false">N6-M6-K6</f>
        <v>0.0214807138092057</v>
      </c>
      <c r="M6" s="18" t="n">
        <f aca="false">Tranches!$C$5</f>
        <v>0.005</v>
      </c>
      <c r="N6" s="18" t="n">
        <f aca="false">Tranches!$C$3</f>
        <v>0.1</v>
      </c>
      <c r="O6" s="1" t="n">
        <f aca="false">H6/Tranches!E81</f>
        <v>0.0538146651185968</v>
      </c>
      <c r="Q6" s="1" t="n">
        <v>3</v>
      </c>
      <c r="R6" s="18" t="n">
        <f aca="false">N6</f>
        <v>0.1</v>
      </c>
      <c r="S6" s="18" t="n">
        <v>0.01</v>
      </c>
      <c r="T6" s="4" t="n">
        <f aca="false">K6</f>
        <v>0.0735192861907943</v>
      </c>
    </row>
    <row r="7" customFormat="false" ht="12.75" hidden="false" customHeight="false" outlineLevel="0" collapsed="false">
      <c r="A7" s="1" t="n">
        <v>4</v>
      </c>
      <c r="B7" s="1" t="n">
        <f aca="false">Tranches!Q83</f>
        <v>2948908.57221023</v>
      </c>
      <c r="C7" s="1" t="n">
        <f aca="false">Tranches!W83</f>
        <v>21925716.9312</v>
      </c>
      <c r="D7" s="1" t="n">
        <f aca="false">Tranches!AC83</f>
        <v>2125000</v>
      </c>
      <c r="E7" s="1" t="n">
        <f aca="false">Tranches!AL83</f>
        <v>0</v>
      </c>
      <c r="F7" s="1" t="n">
        <f aca="false">Tranches!K83</f>
        <v>66112397.8001026</v>
      </c>
      <c r="G7" s="1" t="n">
        <f aca="false">SUM(B7:E7)</f>
        <v>26999625.5034102</v>
      </c>
      <c r="H7" s="1" t="n">
        <f aca="false">F7-G7</f>
        <v>39112772.2966924</v>
      </c>
      <c r="J7" s="1" t="n">
        <v>4</v>
      </c>
      <c r="K7" s="4" t="n">
        <f aca="false">((SUM(B7:E7))/(Tranches!O82+Tranches!U82+Tranches!AA82+IF(E7=0,0,Tranches!AG82)))</f>
        <v>0.0738740262582279</v>
      </c>
      <c r="L7" s="17" t="n">
        <f aca="false">N7-M7-K7</f>
        <v>0.0211259737417721</v>
      </c>
      <c r="M7" s="18" t="n">
        <f aca="false">Tranches!$C$5</f>
        <v>0.005</v>
      </c>
      <c r="N7" s="18" t="n">
        <f aca="false">Tranches!$C$3</f>
        <v>0.1</v>
      </c>
      <c r="O7" s="1" t="n">
        <f aca="false">H7/Tranches!E82</f>
        <v>0.056202973902423</v>
      </c>
      <c r="Q7" s="1" t="n">
        <v>4</v>
      </c>
      <c r="R7" s="18" t="n">
        <f aca="false">N7</f>
        <v>0.1</v>
      </c>
      <c r="S7" s="18" t="n">
        <v>0.01</v>
      </c>
      <c r="T7" s="4" t="n">
        <f aca="false">K7</f>
        <v>0.0738740262582279</v>
      </c>
    </row>
    <row r="8" customFormat="false" ht="12.75" hidden="false" customHeight="false" outlineLevel="0" collapsed="false">
      <c r="A8" s="1" t="n">
        <v>5</v>
      </c>
      <c r="B8" s="1" t="n">
        <f aca="false">Tranches!Q84</f>
        <v>0</v>
      </c>
      <c r="C8" s="1" t="n">
        <f aca="false">Tranches!W84</f>
        <v>21141465.1345562</v>
      </c>
      <c r="D8" s="1" t="n">
        <f aca="false">Tranches!AC84</f>
        <v>2125000</v>
      </c>
      <c r="E8" s="1" t="n">
        <f aca="false">Tranches!AL84</f>
        <v>0</v>
      </c>
      <c r="F8" s="1" t="n">
        <f aca="false">Tranches!K84</f>
        <v>61321749.0832455</v>
      </c>
      <c r="G8" s="1" t="n">
        <f aca="false">SUM(B8:E8)</f>
        <v>23266465.1345562</v>
      </c>
      <c r="H8" s="1" t="n">
        <f aca="false">F8-G8</f>
        <v>38055283.9486894</v>
      </c>
      <c r="J8" s="1" t="n">
        <v>5</v>
      </c>
      <c r="K8" s="4" t="n">
        <f aca="false">((SUM(B8:E8))/(Tranches!O83+Tranches!U83+Tranches!AA83+IF(E8=0,0,Tranches!AG83)))</f>
        <v>0.0742611988146404</v>
      </c>
      <c r="L8" s="17" t="n">
        <f aca="false">N8-M8-K8</f>
        <v>0.0207388011853596</v>
      </c>
      <c r="M8" s="18" t="n">
        <f aca="false">Tranches!$C$5</f>
        <v>0.005</v>
      </c>
      <c r="N8" s="18" t="n">
        <f aca="false">Tranches!$C$3</f>
        <v>0.1</v>
      </c>
      <c r="O8" s="1" t="n">
        <f aca="false">H8/Tranches!E83</f>
        <v>0.058955460814037</v>
      </c>
      <c r="Q8" s="1" t="n">
        <v>5</v>
      </c>
      <c r="R8" s="18" t="n">
        <f aca="false">N8</f>
        <v>0.1</v>
      </c>
      <c r="S8" s="18" t="n">
        <v>0.01</v>
      </c>
      <c r="T8" s="4" t="n">
        <f aca="false">K8</f>
        <v>0.0742611988146404</v>
      </c>
    </row>
    <row r="9" customFormat="false" ht="12.75" hidden="false" customHeight="false" outlineLevel="0" collapsed="false">
      <c r="A9" s="1" t="n">
        <v>6</v>
      </c>
      <c r="B9" s="1" t="n">
        <f aca="false">Tranches!Q85</f>
        <v>0</v>
      </c>
      <c r="C9" s="1" t="n">
        <f aca="false">Tranches!W85</f>
        <v>17531697.9495023</v>
      </c>
      <c r="D9" s="1" t="n">
        <f aca="false">Tranches!AC85</f>
        <v>2125000</v>
      </c>
      <c r="E9" s="1" t="n">
        <f aca="false">Tranches!AL85</f>
        <v>0</v>
      </c>
      <c r="F9" s="1" t="n">
        <f aca="false">Tranches!K85</f>
        <v>56826282.5485503</v>
      </c>
      <c r="G9" s="1" t="n">
        <f aca="false">SUM(B9:E9)</f>
        <v>19656697.9495023</v>
      </c>
      <c r="H9" s="1" t="n">
        <f aca="false">F9-G9</f>
        <v>37169584.599048</v>
      </c>
      <c r="J9" s="1" t="n">
        <v>6</v>
      </c>
      <c r="K9" s="4" t="n">
        <f aca="false">((SUM(B9:E9))/(Tranches!O84+Tranches!U84+Tranches!AA84+IF(E9=0,0,Tranches!AG84)))</f>
        <v>0.0744347810485104</v>
      </c>
      <c r="L9" s="17" t="n">
        <f aca="false">N9-M9-K9</f>
        <v>0.0205652189514896</v>
      </c>
      <c r="M9" s="18" t="n">
        <f aca="false">Tranches!$C$5</f>
        <v>0.005</v>
      </c>
      <c r="N9" s="18" t="n">
        <f aca="false">Tranches!$C$3</f>
        <v>0.1</v>
      </c>
      <c r="O9" s="1" t="n">
        <f aca="false">H9/Tranches!E84</f>
        <v>0.0621386861597485</v>
      </c>
      <c r="Q9" s="1" t="n">
        <v>6</v>
      </c>
      <c r="R9" s="18" t="n">
        <f aca="false">N9</f>
        <v>0.1</v>
      </c>
      <c r="S9" s="18" t="n">
        <v>0.01</v>
      </c>
      <c r="T9" s="4" t="n">
        <f aca="false">K9</f>
        <v>0.0744347810485104</v>
      </c>
    </row>
    <row r="10" customFormat="false" ht="12.75" hidden="false" customHeight="false" outlineLevel="0" collapsed="false">
      <c r="A10" s="1" t="n">
        <v>7</v>
      </c>
      <c r="B10" s="1" t="n">
        <f aca="false">Tranches!Q86</f>
        <v>0</v>
      </c>
      <c r="C10" s="1" t="n">
        <f aca="false">Tranches!W86</f>
        <v>14122135.5233716</v>
      </c>
      <c r="D10" s="1" t="n">
        <f aca="false">Tranches!AC86</f>
        <v>2125000</v>
      </c>
      <c r="E10" s="1" t="n">
        <f aca="false">Tranches!AL86</f>
        <v>0</v>
      </c>
      <c r="F10" s="1" t="n">
        <f aca="false">Tranches!K86</f>
        <v>52606477.1490095</v>
      </c>
      <c r="G10" s="1" t="n">
        <f aca="false">SUM(B10:E10)</f>
        <v>16247135.5233716</v>
      </c>
      <c r="H10" s="1" t="n">
        <f aca="false">F10-G10</f>
        <v>36359341.6256379</v>
      </c>
      <c r="J10" s="1" t="n">
        <v>7</v>
      </c>
      <c r="K10" s="4" t="n">
        <f aca="false">((SUM(B10:E10))/(Tranches!O85+Tranches!U85+Tranches!AA85+IF(E10=0,0,Tranches!AG85)))</f>
        <v>0.0746708655947963</v>
      </c>
      <c r="L10" s="17" t="n">
        <f aca="false">N10-M10-K10</f>
        <v>0.0203291344052037</v>
      </c>
      <c r="M10" s="18" t="n">
        <f aca="false">Tranches!$C$5</f>
        <v>0.005</v>
      </c>
      <c r="N10" s="18" t="n">
        <f aca="false">Tranches!$C$3</f>
        <v>0.1</v>
      </c>
      <c r="O10" s="1" t="n">
        <f aca="false">H10/Tranches!E85</f>
        <v>0.0656599270970312</v>
      </c>
      <c r="Q10" s="1" t="n">
        <v>7</v>
      </c>
      <c r="R10" s="18" t="n">
        <f aca="false">N10</f>
        <v>0.1</v>
      </c>
      <c r="S10" s="18" t="n">
        <v>0.01</v>
      </c>
      <c r="T10" s="4" t="n">
        <f aca="false">K10</f>
        <v>0.0746708655947963</v>
      </c>
    </row>
    <row r="11" customFormat="false" ht="12.75" hidden="false" customHeight="false" outlineLevel="0" collapsed="false">
      <c r="A11" s="1" t="n">
        <v>8</v>
      </c>
      <c r="B11" s="1" t="n">
        <f aca="false">Tranches!Q87</f>
        <v>0</v>
      </c>
      <c r="C11" s="1" t="n">
        <f aca="false">Tranches!W87</f>
        <v>10897543.6380347</v>
      </c>
      <c r="D11" s="1" t="n">
        <f aca="false">Tranches!AC87</f>
        <v>2125000</v>
      </c>
      <c r="E11" s="1" t="n">
        <f aca="false">Tranches!AL87</f>
        <v>0</v>
      </c>
      <c r="F11" s="1" t="n">
        <f aca="false">Tranches!K87</f>
        <v>48644063.1366701</v>
      </c>
      <c r="G11" s="1" t="n">
        <f aca="false">SUM(B11:E11)</f>
        <v>13022543.6380347</v>
      </c>
      <c r="H11" s="1" t="n">
        <f aca="false">F11-G11</f>
        <v>35621519.4986355</v>
      </c>
      <c r="J11" s="1" t="n">
        <v>8</v>
      </c>
      <c r="K11" s="4" t="n">
        <f aca="false">((SUM(B11:E11))/(Tranches!O86+Tranches!U86+Tranches!AA86+IF(E11=0,0,Tranches!AG86)))</f>
        <v>0.0750104944065767</v>
      </c>
      <c r="L11" s="17" t="n">
        <f aca="false">N11-M11-K11</f>
        <v>0.0199895055934233</v>
      </c>
      <c r="M11" s="18" t="n">
        <f aca="false">Tranches!$C$5</f>
        <v>0.005</v>
      </c>
      <c r="N11" s="18" t="n">
        <f aca="false">Tranches!$C$3</f>
        <v>0.1</v>
      </c>
      <c r="O11" s="1" t="n">
        <f aca="false">H11/Tranches!E86</f>
        <v>0.069567468960448</v>
      </c>
      <c r="Q11" s="1" t="n">
        <v>8</v>
      </c>
      <c r="R11" s="18" t="n">
        <f aca="false">N11</f>
        <v>0.1</v>
      </c>
      <c r="S11" s="18" t="n">
        <v>0.01</v>
      </c>
      <c r="T11" s="4" t="n">
        <f aca="false">K11</f>
        <v>0.0750104944065767</v>
      </c>
    </row>
    <row r="12" customFormat="false" ht="12.75" hidden="false" customHeight="false" outlineLevel="0" collapsed="false">
      <c r="A12" s="1" t="n">
        <v>9</v>
      </c>
      <c r="B12" s="1" t="n">
        <f aca="false">Tranches!Q88</f>
        <v>0</v>
      </c>
      <c r="C12" s="1" t="n">
        <f aca="false">Tranches!W88</f>
        <v>7843489.38520744</v>
      </c>
      <c r="D12" s="1" t="n">
        <f aca="false">Tranches!AC88</f>
        <v>2125000</v>
      </c>
      <c r="E12" s="1" t="n">
        <f aca="false">Tranches!AL88</f>
        <v>0</v>
      </c>
      <c r="F12" s="1" t="n">
        <f aca="false">Tranches!K88</f>
        <v>44921940.8460111</v>
      </c>
      <c r="G12" s="1" t="n">
        <f aca="false">SUM(B12:E12)</f>
        <v>9968489.38520744</v>
      </c>
      <c r="H12" s="1" t="n">
        <f aca="false">F12-G12</f>
        <v>34953451.4608036</v>
      </c>
      <c r="J12" s="1" t="n">
        <v>9</v>
      </c>
      <c r="K12" s="4" t="n">
        <f aca="false">((SUM(B12:E12))/(Tranches!O87+Tranches!U87+Tranches!AA87+IF(E12=0,0,Tranches!AG87)))</f>
        <v>0.0755408715186341</v>
      </c>
      <c r="L12" s="17" t="n">
        <f aca="false">N12-M12-K12</f>
        <v>0.0194591284813659</v>
      </c>
      <c r="M12" s="18" t="n">
        <f aca="false">Tranches!$C$5</f>
        <v>0.005</v>
      </c>
      <c r="N12" s="18" t="n">
        <f aca="false">Tranches!$C$3</f>
        <v>0.1</v>
      </c>
      <c r="O12" s="1" t="n">
        <f aca="false">H12/Tranches!E87</f>
        <v>0.0739188429137341</v>
      </c>
      <c r="Q12" s="1" t="n">
        <v>9</v>
      </c>
      <c r="R12" s="18" t="n">
        <f aca="false">N12</f>
        <v>0.1</v>
      </c>
      <c r="S12" s="18" t="n">
        <v>0.01</v>
      </c>
      <c r="T12" s="4" t="n">
        <f aca="false">K12</f>
        <v>0.0755408715186341</v>
      </c>
    </row>
    <row r="13" customFormat="false" ht="12.75" hidden="false" customHeight="false" outlineLevel="0" collapsed="false">
      <c r="A13" s="1" t="n">
        <v>10</v>
      </c>
      <c r="B13" s="1" t="n">
        <f aca="false">Tranches!Q89</f>
        <v>0</v>
      </c>
      <c r="C13" s="1" t="n">
        <f aca="false">Tranches!W89</f>
        <v>4946273.36997955</v>
      </c>
      <c r="D13" s="1" t="n">
        <f aca="false">Tranches!AC89</f>
        <v>2125000</v>
      </c>
      <c r="E13" s="1" t="n">
        <f aca="false">Tranches!AL89</f>
        <v>0</v>
      </c>
      <c r="F13" s="1" t="n">
        <f aca="false">Tranches!K89</f>
        <v>41424104.7404324</v>
      </c>
      <c r="G13" s="1" t="n">
        <f aca="false">SUM(B13:E13)</f>
        <v>7071273.36997955</v>
      </c>
      <c r="H13" s="1" t="n">
        <f aca="false">F13-G13</f>
        <v>34352831.3704529</v>
      </c>
      <c r="J13" s="1" t="n">
        <v>10</v>
      </c>
      <c r="K13" s="4" t="n">
        <f aca="false">((SUM(B13:E13))/(Tranches!O88+Tranches!U88+Tranches!AA88+IF(E13=0,0,Tranches!AG88)))</f>
        <v>0.0764856831258574</v>
      </c>
      <c r="L13" s="17" t="n">
        <f aca="false">N13-M13-K13</f>
        <v>0.0185143168741427</v>
      </c>
      <c r="M13" s="18" t="n">
        <f aca="false">Tranches!$C$5</f>
        <v>0.005</v>
      </c>
      <c r="N13" s="18" t="n">
        <f aca="false">Tranches!$C$3</f>
        <v>0.1</v>
      </c>
      <c r="O13" s="1" t="n">
        <f aca="false">H13/Tranches!E88</f>
        <v>0.0787830901993551</v>
      </c>
      <c r="Q13" s="1" t="n">
        <v>10</v>
      </c>
      <c r="R13" s="18" t="n">
        <f aca="false">N13</f>
        <v>0.1</v>
      </c>
      <c r="S13" s="18" t="n">
        <v>0.01</v>
      </c>
      <c r="T13" s="4" t="n">
        <f aca="false">K13</f>
        <v>0.0764856831258574</v>
      </c>
    </row>
    <row r="14" customFormat="false" ht="12.75" hidden="false" customHeight="false" outlineLevel="0" collapsed="false">
      <c r="A14" s="1" t="n">
        <v>11</v>
      </c>
      <c r="B14" s="1" t="n">
        <f aca="false">Tranches!Q90</f>
        <v>0</v>
      </c>
      <c r="C14" s="1" t="n">
        <f aca="false">Tranches!W90</f>
        <v>2192864.89204643</v>
      </c>
      <c r="D14" s="1" t="n">
        <f aca="false">Tranches!AC90</f>
        <v>2125000</v>
      </c>
      <c r="E14" s="1" t="n">
        <f aca="false">Tranches!AL90</f>
        <v>0</v>
      </c>
      <c r="F14" s="1" t="n">
        <f aca="false">Tranches!K90</f>
        <v>38135572.3853953</v>
      </c>
      <c r="G14" s="1" t="n">
        <f aca="false">SUM(B14:E14)</f>
        <v>4317864.89204643</v>
      </c>
      <c r="H14" s="1" t="n">
        <f aca="false">F14-G14</f>
        <v>33817707.4933489</v>
      </c>
      <c r="J14" s="1" t="n">
        <v>11</v>
      </c>
      <c r="K14" s="4" t="n">
        <f aca="false">((SUM(B14:E14))/(Tranches!O89+Tranches!U89+Tranches!AA89+IF(E14=0,0,Tranches!AG89)))</f>
        <v>0.0786438144523058</v>
      </c>
      <c r="L14" s="17" t="n">
        <f aca="false">N14-M14-K14</f>
        <v>0.0213561855476942</v>
      </c>
      <c r="M14" s="18" t="n">
        <v>0</v>
      </c>
      <c r="N14" s="18" t="n">
        <f aca="false">Tranches!$C$3</f>
        <v>0.1</v>
      </c>
      <c r="O14" s="1" t="n">
        <f aca="false">H14/Tranches!E89</f>
        <v>0.0842437129145726</v>
      </c>
      <c r="Q14" s="1" t="n">
        <v>11</v>
      </c>
      <c r="R14" s="18" t="n">
        <f aca="false">N14</f>
        <v>0.1</v>
      </c>
      <c r="S14" s="18" t="n">
        <v>0.01</v>
      </c>
      <c r="T14" s="4" t="n">
        <f aca="false">K14</f>
        <v>0.0786438144523058</v>
      </c>
    </row>
    <row r="15" customFormat="false" ht="12.75" hidden="false" customHeight="false" outlineLevel="0" collapsed="false">
      <c r="A15" s="1" t="n">
        <v>12</v>
      </c>
      <c r="B15" s="1" t="n">
        <f aca="false">Tranches!Q91</f>
        <v>0</v>
      </c>
      <c r="C15" s="1" t="n">
        <f aca="false">Tranches!W91</f>
        <v>0</v>
      </c>
      <c r="D15" s="1" t="n">
        <f aca="false">Tranches!AC91</f>
        <v>1627541.68850555</v>
      </c>
      <c r="E15" s="1" t="n">
        <f aca="false">Tranches!AL91</f>
        <v>3483575.6471623</v>
      </c>
      <c r="F15" s="1" t="n">
        <f aca="false">Tranches!K91</f>
        <v>35042318.0347851</v>
      </c>
      <c r="G15" s="1" t="n">
        <f aca="false">SUM(B15:E15)</f>
        <v>5111117.33566785</v>
      </c>
      <c r="H15" s="1" t="n">
        <f aca="false">F15-G15</f>
        <v>29931200.6991173</v>
      </c>
      <c r="J15" s="1" t="n">
        <v>12</v>
      </c>
      <c r="K15" s="4" t="n">
        <f aca="false">((SUM(B15:E15))/(Tranches!O90+Tranches!U90+Tranches!AA90+IF(E15=0,0,Tranches!AG90)))</f>
        <v>0.0883451820650542</v>
      </c>
      <c r="L15" s="17" t="n">
        <f aca="false">N15-M15-K15</f>
        <v>0.0116548179349459</v>
      </c>
      <c r="M15" s="18" t="n">
        <v>0</v>
      </c>
      <c r="N15" s="18" t="n">
        <f aca="false">Tranches!$C$3</f>
        <v>0.1</v>
      </c>
      <c r="O15" s="1" t="n">
        <f aca="false">H15/Tranches!E90</f>
        <v>0.081143720674915</v>
      </c>
      <c r="Q15" s="1" t="n">
        <v>12</v>
      </c>
      <c r="R15" s="18" t="n">
        <f aca="false">N15</f>
        <v>0.1</v>
      </c>
      <c r="S15" s="18" t="n">
        <v>0.01</v>
      </c>
      <c r="T15" s="4" t="n">
        <f aca="false">K15</f>
        <v>0.0883451820650542</v>
      </c>
    </row>
    <row r="16" customFormat="false" ht="12.75" hidden="false" customHeight="false" outlineLevel="0" collapsed="false">
      <c r="A16" s="1" t="n">
        <v>13</v>
      </c>
      <c r="B16" s="1" t="n">
        <f aca="false">Tranches!Q92</f>
        <v>0</v>
      </c>
      <c r="C16" s="1" t="n">
        <f aca="false">Tranches!W92</f>
        <v>0</v>
      </c>
      <c r="D16" s="1" t="n">
        <f aca="false">Tranches!AC92</f>
        <v>0</v>
      </c>
      <c r="E16" s="1" t="n">
        <f aca="false">Tranches!AL92</f>
        <v>2448963.77031799</v>
      </c>
      <c r="F16" s="1" t="n">
        <f aca="false">Tranches!K92</f>
        <v>32131210.5390674</v>
      </c>
      <c r="G16" s="1" t="n">
        <f aca="false">SUM(B16:E16)</f>
        <v>2448963.77031799</v>
      </c>
      <c r="H16" s="1" t="n">
        <f aca="false">F16-G16</f>
        <v>29682246.7687495</v>
      </c>
      <c r="J16" s="1" t="n">
        <v>13</v>
      </c>
      <c r="K16" s="4" t="n">
        <f aca="false">((SUM(B16:E16))/(Tranches!O91+Tranches!U91+Tranches!AA91+IF(E16=0,0,Tranches!AG91)))</f>
        <v>0.09</v>
      </c>
      <c r="L16" s="17" t="n">
        <f aca="false">N16-M16-K16</f>
        <v>0.01</v>
      </c>
      <c r="M16" s="18" t="n">
        <v>0</v>
      </c>
      <c r="N16" s="18" t="n">
        <f aca="false">Tranches!$C$3</f>
        <v>0.1</v>
      </c>
      <c r="O16" s="1" t="n">
        <f aca="false">H16/Tranches!E91</f>
        <v>0.0877593279469712</v>
      </c>
      <c r="Q16" s="1" t="n">
        <v>13</v>
      </c>
      <c r="R16" s="18" t="n">
        <f aca="false">N16</f>
        <v>0.1</v>
      </c>
      <c r="S16" s="18" t="n">
        <v>0.01</v>
      </c>
      <c r="T16" s="4" t="n">
        <f aca="false">K16</f>
        <v>0.09</v>
      </c>
    </row>
    <row r="17" customFormat="false" ht="12.75" hidden="false" customHeight="false" outlineLevel="0" collapsed="false">
      <c r="A17" s="1" t="n">
        <v>14</v>
      </c>
      <c r="B17" s="1" t="n">
        <f aca="false">Tranches!Q93</f>
        <v>0</v>
      </c>
      <c r="C17" s="1" t="n">
        <f aca="false">Tranches!W93</f>
        <v>0</v>
      </c>
      <c r="D17" s="1" t="n">
        <f aca="false">Tranches!AC93</f>
        <v>0</v>
      </c>
      <c r="E17" s="1" t="n">
        <f aca="false">Tranches!AL93</f>
        <v>0</v>
      </c>
      <c r="F17" s="1" t="n">
        <f aca="false">Tranches!K93</f>
        <v>29389955.3050414</v>
      </c>
      <c r="G17" s="1" t="n">
        <f aca="false">SUM(B17:E17)</f>
        <v>0</v>
      </c>
      <c r="H17" s="1" t="n">
        <f aca="false">F17-G17</f>
        <v>29389955.3050414</v>
      </c>
      <c r="J17" s="1" t="n">
        <v>14</v>
      </c>
      <c r="K17" s="4" t="e">
        <f aca="false">((SUM(B17:E17))/(Tranches!O92+Tranches!U92+Tranches!AA92+IF(E17=0,0,Tranches!AG92)))</f>
        <v>#DIV/0!</v>
      </c>
      <c r="L17" s="17" t="e">
        <f aca="false">N17-M17-K17</f>
        <v>#DIV/0!</v>
      </c>
      <c r="M17" s="18" t="n">
        <v>0</v>
      </c>
      <c r="N17" s="18" t="n">
        <f aca="false">Tranches!$C$3</f>
        <v>0.1</v>
      </c>
      <c r="O17" s="1" t="n">
        <f aca="false">H17/Tranches!E92</f>
        <v>0.095</v>
      </c>
      <c r="Q17" s="1" t="n">
        <v>14</v>
      </c>
      <c r="R17" s="18" t="n">
        <f aca="false">N17</f>
        <v>0.1</v>
      </c>
      <c r="S17" s="18" t="n">
        <v>0.01</v>
      </c>
      <c r="T17" s="4" t="e">
        <f aca="false">K17</f>
        <v>#DIV/0!</v>
      </c>
    </row>
    <row r="18" customFormat="false" ht="12.75" hidden="false" customHeight="false" outlineLevel="0" collapsed="false">
      <c r="A18" s="1" t="n">
        <v>15</v>
      </c>
      <c r="B18" s="1" t="n">
        <f aca="false">Tranches!Q94</f>
        <v>0</v>
      </c>
      <c r="C18" s="1" t="n">
        <f aca="false">Tranches!W94</f>
        <v>0</v>
      </c>
      <c r="D18" s="1" t="n">
        <f aca="false">Tranches!AC94</f>
        <v>0</v>
      </c>
      <c r="E18" s="1" t="n">
        <f aca="false">Tranches!AL94</f>
        <v>0</v>
      </c>
      <c r="F18" s="1" t="n">
        <f aca="false">Tranches!K94</f>
        <v>26807040.0578145</v>
      </c>
      <c r="G18" s="1" t="n">
        <f aca="false">SUM(B18:E18)</f>
        <v>0</v>
      </c>
      <c r="H18" s="1" t="n">
        <f aca="false">F18-G18</f>
        <v>26807040.0578145</v>
      </c>
      <c r="J18" s="1" t="n">
        <v>15</v>
      </c>
      <c r="K18" s="4" t="e">
        <f aca="false">((SUM(B18:E18))/(Tranches!O93+Tranches!U93+Tranches!AA93+IF(E18=0,0,Tranches!AG93)))</f>
        <v>#DIV/0!</v>
      </c>
      <c r="L18" s="17" t="e">
        <f aca="false">N18-M18-K18</f>
        <v>#DIV/0!</v>
      </c>
      <c r="M18" s="18" t="n">
        <v>0</v>
      </c>
      <c r="N18" s="18" t="n">
        <f aca="false">Tranches!$C$3</f>
        <v>0.1</v>
      </c>
      <c r="O18" s="1" t="n">
        <f aca="false">H18/Tranches!E93</f>
        <v>0.095</v>
      </c>
      <c r="Q18" s="1" t="n">
        <v>15</v>
      </c>
      <c r="R18" s="18" t="n">
        <f aca="false">N18</f>
        <v>0.1</v>
      </c>
      <c r="S18" s="18" t="n">
        <v>0.01</v>
      </c>
      <c r="T18" s="4" t="e">
        <f aca="false">K18</f>
        <v>#DIV/0!</v>
      </c>
    </row>
    <row r="19" customFormat="false" ht="12.75" hidden="false" customHeight="false" outlineLevel="0" collapsed="false">
      <c r="A19" s="1" t="n">
        <v>16</v>
      </c>
      <c r="B19" s="1" t="n">
        <f aca="false">Tranches!Q95</f>
        <v>0</v>
      </c>
      <c r="C19" s="1" t="n">
        <f aca="false">Tranches!W95</f>
        <v>0</v>
      </c>
      <c r="D19" s="1" t="n">
        <f aca="false">Tranches!AC95</f>
        <v>0</v>
      </c>
      <c r="E19" s="1" t="n">
        <f aca="false">Tranches!AL95</f>
        <v>0</v>
      </c>
      <c r="F19" s="1" t="n">
        <f aca="false">Tranches!K95</f>
        <v>24371684.1765362</v>
      </c>
      <c r="G19" s="1" t="n">
        <f aca="false">SUM(B19:E19)</f>
        <v>0</v>
      </c>
      <c r="H19" s="1" t="n">
        <f aca="false">F19-G19</f>
        <v>24371684.1765362</v>
      </c>
      <c r="J19" s="1" t="n">
        <v>16</v>
      </c>
      <c r="K19" s="4" t="e">
        <f aca="false">((SUM(B19:E19))/(Tranches!O94+Tranches!U94+Tranches!AA94+IF(E19=0,0,Tranches!AG94)))</f>
        <v>#DIV/0!</v>
      </c>
      <c r="L19" s="17" t="e">
        <f aca="false">N19-M19-K19</f>
        <v>#DIV/0!</v>
      </c>
      <c r="M19" s="18" t="n">
        <v>0</v>
      </c>
      <c r="N19" s="18" t="n">
        <f aca="false">Tranches!$C$3</f>
        <v>0.1</v>
      </c>
      <c r="O19" s="1" t="n">
        <f aca="false">H19/Tranches!E94</f>
        <v>0.095</v>
      </c>
      <c r="Q19" s="1" t="n">
        <v>16</v>
      </c>
      <c r="R19" s="18" t="n">
        <f aca="false">N19</f>
        <v>0.1</v>
      </c>
      <c r="S19" s="18" t="n">
        <v>0.01</v>
      </c>
      <c r="T19" s="4" t="e">
        <f aca="false">K19</f>
        <v>#DIV/0!</v>
      </c>
    </row>
    <row r="20" customFormat="false" ht="12.75" hidden="false" customHeight="false" outlineLevel="0" collapsed="false">
      <c r="A20" s="1" t="n">
        <v>17</v>
      </c>
      <c r="B20" s="1" t="n">
        <f aca="false">Tranches!Q96</f>
        <v>0</v>
      </c>
      <c r="C20" s="1" t="n">
        <f aca="false">Tranches!W96</f>
        <v>0</v>
      </c>
      <c r="D20" s="1" t="n">
        <f aca="false">Tranches!AC96</f>
        <v>0</v>
      </c>
      <c r="E20" s="1" t="n">
        <f aca="false">Tranches!AL96</f>
        <v>0</v>
      </c>
      <c r="F20" s="1" t="n">
        <f aca="false">Tranches!K96</f>
        <v>22073791.397181</v>
      </c>
      <c r="G20" s="1" t="n">
        <f aca="false">SUM(B20:E20)</f>
        <v>0</v>
      </c>
      <c r="H20" s="1" t="n">
        <f aca="false">F20-G20</f>
        <v>22073791.397181</v>
      </c>
      <c r="J20" s="1" t="n">
        <v>17</v>
      </c>
      <c r="K20" s="4" t="e">
        <f aca="false">((SUM(B20:E20))/(Tranches!O95+Tranches!U95+Tranches!AA95+IF(E20=0,0,Tranches!AG95)))</f>
        <v>#DIV/0!</v>
      </c>
      <c r="L20" s="17" t="e">
        <f aca="false">N20-M20-K20</f>
        <v>#DIV/0!</v>
      </c>
      <c r="M20" s="18" t="n">
        <v>0</v>
      </c>
      <c r="N20" s="18" t="n">
        <f aca="false">Tranches!$C$3</f>
        <v>0.1</v>
      </c>
      <c r="O20" s="1" t="n">
        <f aca="false">H20/Tranches!E95</f>
        <v>0.095</v>
      </c>
      <c r="Q20" s="1" t="n">
        <v>17</v>
      </c>
      <c r="R20" s="18" t="n">
        <f aca="false">N20</f>
        <v>0.1</v>
      </c>
      <c r="S20" s="18" t="n">
        <v>0.01</v>
      </c>
      <c r="T20" s="4" t="e">
        <f aca="false">K20</f>
        <v>#DIV/0!</v>
      </c>
    </row>
    <row r="21" customFormat="false" ht="12.75" hidden="false" customHeight="false" outlineLevel="0" collapsed="false">
      <c r="A21" s="1" t="n">
        <v>18</v>
      </c>
      <c r="B21" s="1" t="n">
        <f aca="false">Tranches!Q97</f>
        <v>0</v>
      </c>
      <c r="C21" s="1" t="n">
        <f aca="false">Tranches!W97</f>
        <v>0</v>
      </c>
      <c r="D21" s="1" t="n">
        <f aca="false">Tranches!AC97</f>
        <v>0</v>
      </c>
      <c r="E21" s="1" t="n">
        <f aca="false">Tranches!AL97</f>
        <v>0</v>
      </c>
      <c r="F21" s="1" t="n">
        <f aca="false">Tranches!K97</f>
        <v>19903905.6994431</v>
      </c>
      <c r="G21" s="1" t="n">
        <f aca="false">SUM(B21:E21)</f>
        <v>0</v>
      </c>
      <c r="H21" s="1" t="n">
        <f aca="false">F21-G21</f>
        <v>19903905.6994431</v>
      </c>
      <c r="J21" s="1" t="n">
        <v>18</v>
      </c>
      <c r="K21" s="4" t="e">
        <f aca="false">((SUM(B21:E21))/(Tranches!O96+Tranches!U96+Tranches!AA96+IF(E21=0,0,Tranches!AG96)))</f>
        <v>#DIV/0!</v>
      </c>
      <c r="L21" s="17" t="e">
        <f aca="false">N21-M21-K21</f>
        <v>#DIV/0!</v>
      </c>
      <c r="M21" s="18" t="n">
        <v>0</v>
      </c>
      <c r="N21" s="18" t="n">
        <f aca="false">Tranches!$C$3</f>
        <v>0.1</v>
      </c>
      <c r="O21" s="1" t="n">
        <f aca="false">H21/Tranches!E96</f>
        <v>0.095</v>
      </c>
      <c r="Q21" s="1" t="n">
        <v>18</v>
      </c>
      <c r="R21" s="18" t="n">
        <f aca="false">N21</f>
        <v>0.1</v>
      </c>
      <c r="S21" s="18" t="n">
        <v>0.01</v>
      </c>
      <c r="T21" s="4" t="e">
        <f aca="false">K21</f>
        <v>#DIV/0!</v>
      </c>
    </row>
    <row r="22" customFormat="false" ht="12.75" hidden="false" customHeight="false" outlineLevel="0" collapsed="false">
      <c r="A22" s="1" t="n">
        <v>19</v>
      </c>
      <c r="B22" s="1" t="n">
        <f aca="false">Tranches!Q98</f>
        <v>0</v>
      </c>
      <c r="C22" s="1" t="n">
        <f aca="false">Tranches!W98</f>
        <v>0</v>
      </c>
      <c r="D22" s="1" t="n">
        <f aca="false">Tranches!AC98</f>
        <v>0</v>
      </c>
      <c r="E22" s="1" t="n">
        <f aca="false">Tranches!AL98</f>
        <v>0</v>
      </c>
      <c r="F22" s="1" t="n">
        <f aca="false">Tranches!K98</f>
        <v>17853170.2225599</v>
      </c>
      <c r="G22" s="1" t="n">
        <f aca="false">SUM(B22:E22)</f>
        <v>0</v>
      </c>
      <c r="H22" s="1" t="n">
        <f aca="false">F22-G22</f>
        <v>17853170.2225599</v>
      </c>
      <c r="J22" s="1" t="n">
        <v>19</v>
      </c>
      <c r="K22" s="4" t="e">
        <f aca="false">((SUM(B22:E22))/(Tranches!O97+Tranches!U97+Tranches!AA97+IF(E22=0,0,Tranches!AG97)))</f>
        <v>#DIV/0!</v>
      </c>
      <c r="L22" s="17" t="e">
        <f aca="false">N22-M22-K22</f>
        <v>#DIV/0!</v>
      </c>
      <c r="M22" s="18" t="n">
        <v>0</v>
      </c>
      <c r="N22" s="18" t="n">
        <f aca="false">Tranches!$C$3</f>
        <v>0.1</v>
      </c>
      <c r="O22" s="1" t="n">
        <f aca="false">H22/Tranches!E97</f>
        <v>0.095</v>
      </c>
      <c r="Q22" s="1" t="n">
        <v>19</v>
      </c>
      <c r="R22" s="18" t="n">
        <f aca="false">N22</f>
        <v>0.1</v>
      </c>
      <c r="S22" s="18" t="n">
        <v>0.01</v>
      </c>
      <c r="T22" s="4" t="e">
        <f aca="false">K22</f>
        <v>#DIV/0!</v>
      </c>
    </row>
    <row r="23" customFormat="false" ht="12.75" hidden="false" customHeight="false" outlineLevel="0" collapsed="false">
      <c r="A23" s="1" t="n">
        <v>20</v>
      </c>
      <c r="B23" s="1" t="n">
        <f aca="false">Tranches!Q99</f>
        <v>0</v>
      </c>
      <c r="C23" s="1" t="n">
        <f aca="false">Tranches!W99</f>
        <v>0</v>
      </c>
      <c r="D23" s="1" t="n">
        <f aca="false">Tranches!AC99</f>
        <v>0</v>
      </c>
      <c r="E23" s="1" t="n">
        <f aca="false">Tranches!AL99</f>
        <v>0</v>
      </c>
      <c r="F23" s="1" t="n">
        <f aca="false">Tranches!K99</f>
        <v>15913289.089983</v>
      </c>
      <c r="G23" s="1" t="n">
        <f aca="false">SUM(B23:E23)</f>
        <v>0</v>
      </c>
      <c r="H23" s="1" t="n">
        <f aca="false">F23-G23</f>
        <v>15913289.089983</v>
      </c>
      <c r="J23" s="1" t="n">
        <v>20</v>
      </c>
      <c r="K23" s="4" t="e">
        <f aca="false">((SUM(B23:E23))/(Tranches!O98+Tranches!U98+Tranches!AA98+IF(E23=0,0,Tranches!AG98)))</f>
        <v>#DIV/0!</v>
      </c>
      <c r="L23" s="17" t="e">
        <f aca="false">N23-M23-K23</f>
        <v>#DIV/0!</v>
      </c>
      <c r="M23" s="18" t="n">
        <v>0</v>
      </c>
      <c r="N23" s="18" t="n">
        <f aca="false">Tranches!$C$3</f>
        <v>0.1</v>
      </c>
      <c r="O23" s="1" t="n">
        <f aca="false">H23/Tranches!E98</f>
        <v>0.095</v>
      </c>
      <c r="Q23" s="1" t="n">
        <v>20</v>
      </c>
      <c r="R23" s="18" t="n">
        <f aca="false">N23</f>
        <v>0.1</v>
      </c>
      <c r="S23" s="18" t="n">
        <v>0.01</v>
      </c>
      <c r="T23" s="4" t="e">
        <f aca="false">K23</f>
        <v>#DIV/0!</v>
      </c>
    </row>
    <row r="24" customFormat="false" ht="12.75" hidden="false" customHeight="false" outlineLevel="0" collapsed="false">
      <c r="A24" s="1" t="n">
        <v>21</v>
      </c>
      <c r="B24" s="1" t="n">
        <f aca="false">Tranches!Q100</f>
        <v>0</v>
      </c>
      <c r="C24" s="1" t="n">
        <f aca="false">Tranches!W100</f>
        <v>0</v>
      </c>
      <c r="D24" s="1" t="n">
        <f aca="false">Tranches!AC100</f>
        <v>0</v>
      </c>
      <c r="E24" s="1" t="n">
        <f aca="false">Tranches!AL100</f>
        <v>0</v>
      </c>
      <c r="F24" s="1" t="n">
        <f aca="false">Tranches!K100</f>
        <v>14076492.0713741</v>
      </c>
      <c r="G24" s="1" t="n">
        <f aca="false">SUM(B24:E24)</f>
        <v>0</v>
      </c>
      <c r="H24" s="1" t="n">
        <f aca="false">F24-G24</f>
        <v>14076492.0713741</v>
      </c>
      <c r="J24" s="1" t="n">
        <v>21</v>
      </c>
      <c r="K24" s="4" t="e">
        <f aca="false">((SUM(B24:E24))/(Tranches!O99+Tranches!U99+Tranches!AA99+IF(E24=0,0,Tranches!AG99)))</f>
        <v>#DIV/0!</v>
      </c>
      <c r="L24" s="17" t="e">
        <f aca="false">N24-M24-K24</f>
        <v>#DIV/0!</v>
      </c>
      <c r="M24" s="18" t="n">
        <v>0</v>
      </c>
      <c r="N24" s="18" t="n">
        <f aca="false">Tranches!$C$3</f>
        <v>0.1</v>
      </c>
      <c r="O24" s="1" t="n">
        <f aca="false">H24/Tranches!E99</f>
        <v>0.095</v>
      </c>
      <c r="Q24" s="1" t="n">
        <v>21</v>
      </c>
      <c r="R24" s="18" t="n">
        <f aca="false">N24</f>
        <v>0.1</v>
      </c>
      <c r="S24" s="18" t="n">
        <v>0.01</v>
      </c>
      <c r="T24" s="4" t="e">
        <f aca="false">K24</f>
        <v>#DIV/0!</v>
      </c>
    </row>
    <row r="25" customFormat="false" ht="12.75" hidden="false" customHeight="false" outlineLevel="0" collapsed="false">
      <c r="A25" s="1" t="n">
        <v>22</v>
      </c>
      <c r="B25" s="1" t="n">
        <f aca="false">Tranches!Q101</f>
        <v>0</v>
      </c>
      <c r="C25" s="1" t="n">
        <f aca="false">Tranches!W101</f>
        <v>0</v>
      </c>
      <c r="D25" s="1" t="n">
        <f aca="false">Tranches!AC101</f>
        <v>0</v>
      </c>
      <c r="E25" s="1" t="n">
        <f aca="false">Tranches!AL101</f>
        <v>0</v>
      </c>
      <c r="F25" s="1" t="n">
        <f aca="false">Tranches!K101</f>
        <v>12335502.083992</v>
      </c>
      <c r="G25" s="1" t="n">
        <f aca="false">SUM(B25:E25)</f>
        <v>0</v>
      </c>
      <c r="H25" s="1" t="n">
        <f aca="false">F25-G25</f>
        <v>12335502.083992</v>
      </c>
      <c r="J25" s="1" t="n">
        <v>22</v>
      </c>
      <c r="K25" s="4" t="e">
        <f aca="false">((SUM(B25:E25))/(Tranches!O100+Tranches!U100+Tranches!AA100+IF(E25=0,0,Tranches!AG100)))</f>
        <v>#DIV/0!</v>
      </c>
      <c r="L25" s="17" t="e">
        <f aca="false">N25-M25-K25</f>
        <v>#DIV/0!</v>
      </c>
      <c r="M25" s="18" t="n">
        <v>0</v>
      </c>
      <c r="N25" s="18" t="n">
        <f aca="false">Tranches!$C$3</f>
        <v>0.1</v>
      </c>
      <c r="O25" s="1" t="n">
        <f aca="false">H25/Tranches!E100</f>
        <v>0.095</v>
      </c>
      <c r="Q25" s="1" t="n">
        <v>22</v>
      </c>
      <c r="R25" s="18" t="n">
        <f aca="false">N25</f>
        <v>0.1</v>
      </c>
      <c r="S25" s="18" t="n">
        <v>0.01</v>
      </c>
      <c r="T25" s="4" t="e">
        <f aca="false">K25</f>
        <v>#DIV/0!</v>
      </c>
    </row>
    <row r="26" customFormat="false" ht="12.75" hidden="false" customHeight="false" outlineLevel="0" collapsed="false">
      <c r="A26" s="1" t="n">
        <v>23</v>
      </c>
      <c r="B26" s="1" t="n">
        <f aca="false">Tranches!Q102</f>
        <v>0</v>
      </c>
      <c r="C26" s="1" t="n">
        <f aca="false">Tranches!W102</f>
        <v>0</v>
      </c>
      <c r="D26" s="1" t="n">
        <f aca="false">Tranches!AC102</f>
        <v>0</v>
      </c>
      <c r="E26" s="1" t="n">
        <f aca="false">Tranches!AL102</f>
        <v>0</v>
      </c>
      <c r="F26" s="1" t="n">
        <f aca="false">Tranches!K102</f>
        <v>10683505.6573329</v>
      </c>
      <c r="G26" s="1" t="n">
        <f aca="false">SUM(B26:E26)</f>
        <v>0</v>
      </c>
      <c r="H26" s="1" t="n">
        <f aca="false">F26-G26</f>
        <v>10683505.6573329</v>
      </c>
      <c r="J26" s="1" t="n">
        <v>23</v>
      </c>
      <c r="K26" s="4" t="e">
        <f aca="false">((SUM(B26:E26))/(Tranches!O101+Tranches!U101+Tranches!AA101+IF(E26=0,0,Tranches!AG101)))</f>
        <v>#DIV/0!</v>
      </c>
      <c r="L26" s="17" t="e">
        <f aca="false">N26-M26-K26</f>
        <v>#DIV/0!</v>
      </c>
      <c r="M26" s="18" t="n">
        <v>0</v>
      </c>
      <c r="N26" s="18" t="n">
        <f aca="false">Tranches!$C$3</f>
        <v>0.1</v>
      </c>
      <c r="O26" s="1" t="n">
        <f aca="false">H26/Tranches!E101</f>
        <v>0.095</v>
      </c>
      <c r="Q26" s="1" t="n">
        <v>23</v>
      </c>
      <c r="R26" s="18" t="n">
        <f aca="false">N26</f>
        <v>0.1</v>
      </c>
      <c r="S26" s="18" t="n">
        <v>0.01</v>
      </c>
      <c r="T26" s="4" t="e">
        <f aca="false">K26</f>
        <v>#DIV/0!</v>
      </c>
    </row>
    <row r="27" customFormat="false" ht="12.75" hidden="false" customHeight="false" outlineLevel="0" collapsed="false">
      <c r="A27" s="1" t="n">
        <v>24</v>
      </c>
      <c r="B27" s="1" t="n">
        <f aca="false">Tranches!Q103</f>
        <v>0</v>
      </c>
      <c r="C27" s="1" t="n">
        <f aca="false">Tranches!W103</f>
        <v>0</v>
      </c>
      <c r="D27" s="1" t="n">
        <f aca="false">Tranches!AC103</f>
        <v>0</v>
      </c>
      <c r="E27" s="1" t="n">
        <f aca="false">Tranches!AL103</f>
        <v>0</v>
      </c>
      <c r="F27" s="1" t="n">
        <f aca="false">Tranches!K103</f>
        <v>9114126.70423068</v>
      </c>
      <c r="G27" s="1" t="n">
        <f aca="false">SUM(B27:E27)</f>
        <v>0</v>
      </c>
      <c r="H27" s="1" t="n">
        <f aca="false">F27-G27</f>
        <v>9114126.70423068</v>
      </c>
      <c r="J27" s="1" t="n">
        <v>24</v>
      </c>
      <c r="K27" s="4" t="e">
        <f aca="false">((SUM(B27:E27))/(Tranches!O102+Tranches!U102+Tranches!AA102+IF(E27=0,0,Tranches!AG102)))</f>
        <v>#DIV/0!</v>
      </c>
      <c r="L27" s="17" t="e">
        <f aca="false">N27-M27-K27</f>
        <v>#DIV/0!</v>
      </c>
      <c r="M27" s="18" t="n">
        <v>0</v>
      </c>
      <c r="N27" s="18" t="n">
        <f aca="false">Tranches!$C$3</f>
        <v>0.1</v>
      </c>
      <c r="O27" s="1" t="n">
        <f aca="false">H27/Tranches!E102</f>
        <v>0.095</v>
      </c>
      <c r="Q27" s="1" t="n">
        <v>24</v>
      </c>
      <c r="R27" s="18" t="n">
        <f aca="false">N27</f>
        <v>0.1</v>
      </c>
      <c r="S27" s="18" t="n">
        <v>0.01</v>
      </c>
      <c r="T27" s="4" t="e">
        <f aca="false">K27</f>
        <v>#DIV/0!</v>
      </c>
    </row>
    <row r="28" customFormat="false" ht="12.75" hidden="false" customHeight="false" outlineLevel="0" collapsed="false">
      <c r="A28" s="1" t="n">
        <v>25</v>
      </c>
      <c r="B28" s="1" t="n">
        <f aca="false">Tranches!Q104</f>
        <v>0</v>
      </c>
      <c r="C28" s="1" t="n">
        <f aca="false">Tranches!W104</f>
        <v>0</v>
      </c>
      <c r="D28" s="1" t="n">
        <f aca="false">Tranches!AC104</f>
        <v>0</v>
      </c>
      <c r="E28" s="1" t="n">
        <f aca="false">Tranches!AL104</f>
        <v>0</v>
      </c>
      <c r="F28" s="1" t="n">
        <f aca="false">Tranches!K104</f>
        <v>7621404.37164862</v>
      </c>
      <c r="G28" s="1" t="n">
        <f aca="false">SUM(B28:E28)</f>
        <v>0</v>
      </c>
      <c r="H28" s="1" t="n">
        <f aca="false">F28-G28</f>
        <v>7621404.37164862</v>
      </c>
      <c r="J28" s="1" t="n">
        <v>25</v>
      </c>
      <c r="K28" s="4" t="e">
        <f aca="false">((SUM(B28:E28))/(Tranches!O103+Tranches!U103+Tranches!AA103+IF(E28=0,0,Tranches!AG103)))</f>
        <v>#DIV/0!</v>
      </c>
      <c r="L28" s="17" t="e">
        <f aca="false">N28-M28-K28</f>
        <v>#DIV/0!</v>
      </c>
      <c r="M28" s="18" t="n">
        <v>0</v>
      </c>
      <c r="N28" s="18" t="n">
        <f aca="false">Tranches!$C$3</f>
        <v>0.1</v>
      </c>
      <c r="O28" s="1" t="n">
        <f aca="false">H28/Tranches!E103</f>
        <v>0.095</v>
      </c>
      <c r="Q28" s="1" t="n">
        <v>25</v>
      </c>
      <c r="R28" s="18" t="n">
        <f aca="false">N28</f>
        <v>0.1</v>
      </c>
      <c r="S28" s="18" t="n">
        <v>0.01</v>
      </c>
      <c r="T28" s="4" t="e">
        <f aca="false">K28</f>
        <v>#DIV/0!</v>
      </c>
    </row>
    <row r="29" customFormat="false" ht="12.75" hidden="false" customHeight="false" outlineLevel="0" collapsed="false">
      <c r="A29" s="1" t="n">
        <v>26</v>
      </c>
      <c r="B29" s="1" t="n">
        <f aca="false">Tranches!Q105</f>
        <v>0</v>
      </c>
      <c r="C29" s="1" t="n">
        <f aca="false">Tranches!W105</f>
        <v>0</v>
      </c>
      <c r="D29" s="1" t="n">
        <f aca="false">Tranches!AC105</f>
        <v>0</v>
      </c>
      <c r="E29" s="1" t="n">
        <f aca="false">Tranches!AL105</f>
        <v>0</v>
      </c>
      <c r="F29" s="1" t="n">
        <f aca="false">Tranches!K105</f>
        <v>6199776.66882663</v>
      </c>
      <c r="G29" s="1" t="n">
        <f aca="false">SUM(B29:E29)</f>
        <v>0</v>
      </c>
      <c r="H29" s="1" t="n">
        <f aca="false">F29-G29</f>
        <v>6199776.66882663</v>
      </c>
      <c r="J29" s="1" t="n">
        <v>26</v>
      </c>
      <c r="K29" s="4" t="e">
        <f aca="false">((SUM(B29:E29))/(Tranches!O104+Tranches!U104+Tranches!AA104+IF(E29=0,0,Tranches!AG104)))</f>
        <v>#DIV/0!</v>
      </c>
      <c r="L29" s="17" t="e">
        <f aca="false">N29-M29-K29</f>
        <v>#DIV/0!</v>
      </c>
      <c r="M29" s="18" t="n">
        <v>0</v>
      </c>
      <c r="N29" s="18" t="n">
        <f aca="false">Tranches!$C$3</f>
        <v>0.1</v>
      </c>
      <c r="O29" s="1" t="n">
        <f aca="false">H29/Tranches!E104</f>
        <v>0.095</v>
      </c>
      <c r="Q29" s="1" t="n">
        <v>26</v>
      </c>
      <c r="R29" s="18" t="n">
        <f aca="false">N29</f>
        <v>0.1</v>
      </c>
      <c r="S29" s="18" t="n">
        <v>0.01</v>
      </c>
      <c r="T29" s="4" t="e">
        <f aca="false">K29</f>
        <v>#DIV/0!</v>
      </c>
    </row>
    <row r="30" customFormat="false" ht="12.75" hidden="false" customHeight="false" outlineLevel="0" collapsed="false">
      <c r="A30" s="1" t="n">
        <v>27</v>
      </c>
      <c r="B30" s="1" t="n">
        <f aca="false">Tranches!Q106</f>
        <v>0</v>
      </c>
      <c r="C30" s="1" t="n">
        <f aca="false">Tranches!W106</f>
        <v>0</v>
      </c>
      <c r="D30" s="1" t="n">
        <f aca="false">Tranches!AC106</f>
        <v>0</v>
      </c>
      <c r="E30" s="1" t="n">
        <f aca="false">Tranches!AL106</f>
        <v>0</v>
      </c>
      <c r="F30" s="1" t="n">
        <f aca="false">Tranches!K106</f>
        <v>4844073.78650034</v>
      </c>
      <c r="G30" s="1" t="n">
        <f aca="false">SUM(B30:E30)</f>
        <v>0</v>
      </c>
      <c r="H30" s="1" t="n">
        <f aca="false">F30-G30</f>
        <v>4844073.78650034</v>
      </c>
      <c r="J30" s="1" t="n">
        <v>27</v>
      </c>
      <c r="K30" s="4" t="e">
        <f aca="false">((SUM(B30:E30))/(Tranches!O105+Tranches!U105+Tranches!AA105+IF(E30=0,0,Tranches!AG105)))</f>
        <v>#DIV/0!</v>
      </c>
      <c r="L30" s="17" t="e">
        <f aca="false">N30-M30-K30</f>
        <v>#DIV/0!</v>
      </c>
      <c r="M30" s="18" t="n">
        <v>0</v>
      </c>
      <c r="N30" s="18" t="n">
        <f aca="false">Tranches!$C$3</f>
        <v>0.1</v>
      </c>
      <c r="O30" s="1" t="n">
        <f aca="false">H30/Tranches!E105</f>
        <v>0.095</v>
      </c>
      <c r="Q30" s="1" t="n">
        <v>27</v>
      </c>
      <c r="R30" s="18" t="n">
        <f aca="false">N30</f>
        <v>0.1</v>
      </c>
      <c r="S30" s="18" t="n">
        <v>0.01</v>
      </c>
      <c r="T30" s="4" t="e">
        <f aca="false">K30</f>
        <v>#DIV/0!</v>
      </c>
    </row>
    <row r="31" customFormat="false" ht="12.75" hidden="false" customHeight="false" outlineLevel="0" collapsed="false">
      <c r="A31" s="1" t="n">
        <v>28</v>
      </c>
      <c r="B31" s="1" t="n">
        <f aca="false">Tranches!Q107</f>
        <v>0</v>
      </c>
      <c r="C31" s="1" t="n">
        <f aca="false">Tranches!W107</f>
        <v>0</v>
      </c>
      <c r="D31" s="1" t="n">
        <f aca="false">Tranches!AC107</f>
        <v>0</v>
      </c>
      <c r="E31" s="1" t="n">
        <f aca="false">Tranches!AL107</f>
        <v>0</v>
      </c>
      <c r="F31" s="1" t="n">
        <f aca="false">Tranches!K107</f>
        <v>3549531.12884423</v>
      </c>
      <c r="G31" s="1" t="n">
        <f aca="false">SUM(B31:E31)</f>
        <v>0</v>
      </c>
      <c r="H31" s="1" t="n">
        <f aca="false">F31-G31</f>
        <v>3549531.12884423</v>
      </c>
      <c r="J31" s="1" t="n">
        <v>28</v>
      </c>
      <c r="K31" s="4" t="e">
        <f aca="false">((SUM(B31:E31))/(Tranches!O106+Tranches!U106+Tranches!AA106+IF(E31=0,0,Tranches!AG106)))</f>
        <v>#DIV/0!</v>
      </c>
      <c r="L31" s="17" t="e">
        <f aca="false">N31-M31-K31</f>
        <v>#DIV/0!</v>
      </c>
      <c r="M31" s="18" t="n">
        <v>0</v>
      </c>
      <c r="N31" s="18" t="n">
        <f aca="false">Tranches!$C$3</f>
        <v>0.1</v>
      </c>
      <c r="O31" s="1" t="n">
        <f aca="false">H31/Tranches!E106</f>
        <v>0.095</v>
      </c>
      <c r="Q31" s="1" t="n">
        <v>28</v>
      </c>
      <c r="R31" s="18" t="n">
        <f aca="false">N31</f>
        <v>0.1</v>
      </c>
      <c r="S31" s="18" t="n">
        <v>0.01</v>
      </c>
      <c r="T31" s="4" t="e">
        <f aca="false">K31</f>
        <v>#DIV/0!</v>
      </c>
    </row>
    <row r="32" customFormat="false" ht="12.75" hidden="false" customHeight="false" outlineLevel="0" collapsed="false">
      <c r="A32" s="1" t="n">
        <v>29</v>
      </c>
      <c r="B32" s="1" t="n">
        <f aca="false">Tranches!Q108</f>
        <v>0</v>
      </c>
      <c r="C32" s="1" t="n">
        <f aca="false">Tranches!W108</f>
        <v>0</v>
      </c>
      <c r="D32" s="1" t="n">
        <f aca="false">Tranches!AC108</f>
        <v>0</v>
      </c>
      <c r="E32" s="1" t="n">
        <f aca="false">Tranches!AL108</f>
        <v>0</v>
      </c>
      <c r="F32" s="1" t="n">
        <f aca="false">Tranches!K108</f>
        <v>2311852.51885225</v>
      </c>
      <c r="G32" s="1" t="n">
        <f aca="false">SUM(B32:E32)</f>
        <v>0</v>
      </c>
      <c r="H32" s="1" t="n">
        <f aca="false">F32-G32</f>
        <v>2311852.51885225</v>
      </c>
      <c r="J32" s="1" t="n">
        <v>29</v>
      </c>
      <c r="K32" s="4" t="e">
        <f aca="false">((SUM(B32:E32))/(Tranches!O107+Tranches!U107+Tranches!AA107+IF(E32=0,0,Tranches!AG107)))</f>
        <v>#DIV/0!</v>
      </c>
      <c r="L32" s="17" t="e">
        <f aca="false">N32-M32-K32</f>
        <v>#DIV/0!</v>
      </c>
      <c r="M32" s="18" t="n">
        <v>0</v>
      </c>
      <c r="N32" s="18" t="n">
        <f aca="false">Tranches!$C$3</f>
        <v>0.1</v>
      </c>
      <c r="O32" s="1" t="n">
        <f aca="false">H32/Tranches!E107</f>
        <v>0.095</v>
      </c>
      <c r="Q32" s="1" t="n">
        <v>29</v>
      </c>
      <c r="R32" s="18" t="n">
        <f aca="false">N32</f>
        <v>0.1</v>
      </c>
      <c r="S32" s="18" t="n">
        <v>0.01</v>
      </c>
      <c r="T32" s="4" t="e">
        <f aca="false">K32</f>
        <v>#DIV/0!</v>
      </c>
    </row>
    <row r="33" customFormat="false" ht="12.75" hidden="false" customHeight="false" outlineLevel="0" collapsed="false">
      <c r="A33" s="1" t="n">
        <v>30</v>
      </c>
      <c r="B33" s="1" t="n">
        <f aca="false">Tranches!Q109</f>
        <v>0</v>
      </c>
      <c r="C33" s="1" t="n">
        <f aca="false">Tranches!W109</f>
        <v>0</v>
      </c>
      <c r="D33" s="1" t="n">
        <f aca="false">Tranches!AC109</f>
        <v>0</v>
      </c>
      <c r="E33" s="1" t="n">
        <f aca="false">Tranches!AL109</f>
        <v>0</v>
      </c>
      <c r="F33" s="1" t="n">
        <f aca="false">Tranches!K109</f>
        <v>1127446.43815817</v>
      </c>
      <c r="G33" s="1" t="n">
        <f aca="false">SUM(B33:E33)</f>
        <v>0</v>
      </c>
      <c r="H33" s="1" t="n">
        <f aca="false">F33-G33</f>
        <v>1127446.43815817</v>
      </c>
      <c r="J33" s="1" t="n">
        <v>30</v>
      </c>
      <c r="K33" s="4" t="e">
        <f aca="false">((SUM(B33:E33))/(Tranches!O108+Tranches!U108+Tranches!AA108+IF(E33=0,0,Tranches!AG108)))</f>
        <v>#DIV/0!</v>
      </c>
      <c r="L33" s="17" t="e">
        <f aca="false">N33-M33-K33</f>
        <v>#DIV/0!</v>
      </c>
      <c r="M33" s="18" t="n">
        <v>0</v>
      </c>
      <c r="N33" s="18" t="n">
        <f aca="false">Tranches!$C$3</f>
        <v>0.1</v>
      </c>
      <c r="O33" s="1" t="n">
        <f aca="false">H33/Tranches!E108</f>
        <v>0.095</v>
      </c>
      <c r="Q33" s="1" t="n">
        <v>30</v>
      </c>
      <c r="R33" s="18" t="n">
        <f aca="false">N33</f>
        <v>0.1</v>
      </c>
      <c r="S33" s="18" t="n">
        <v>0.01</v>
      </c>
      <c r="T33" s="4" t="e">
        <f aca="false">K33</f>
        <v>#DIV/0!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61" activeCellId="0" sqref="F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2.7"/>
    <col collapsed="false" customWidth="true" hidden="false" outlineLevel="0" max="3" min="3" style="1" width="15.85"/>
    <col collapsed="false" customWidth="true" hidden="false" outlineLevel="0" max="4" min="4" style="1" width="11.7"/>
    <col collapsed="false" customWidth="true" hidden="false" outlineLevel="0" max="5" min="5" style="1" width="15.41"/>
    <col collapsed="false" customWidth="true" hidden="false" outlineLevel="0" max="6" min="6" style="1" width="11.7"/>
    <col collapsed="false" customWidth="true" hidden="false" outlineLevel="0" max="8" min="8" style="1" width="12.28"/>
    <col collapsed="false" customWidth="true" hidden="false" outlineLevel="0" max="9" min="9" style="1" width="12.56"/>
  </cols>
  <sheetData>
    <row r="1" customFormat="false" ht="12.75" hidden="false" customHeight="false" outlineLevel="0" collapsed="false">
      <c r="A1" s="1" t="s">
        <v>50</v>
      </c>
      <c r="B1" s="4" t="n">
        <v>0.095</v>
      </c>
      <c r="C1" s="4"/>
      <c r="D1" s="4"/>
      <c r="E1" s="4"/>
      <c r="F1" s="4"/>
    </row>
    <row r="2" customFormat="false" ht="12.75" hidden="false" customHeight="false" outlineLevel="0" collapsed="false">
      <c r="B2" s="19" t="n">
        <v>104000000</v>
      </c>
      <c r="C2" s="19"/>
      <c r="D2" s="19"/>
      <c r="E2" s="19"/>
      <c r="F2" s="19"/>
    </row>
    <row r="3" customFormat="false" ht="12.75" hidden="false" customHeight="false" outlineLevel="0" collapsed="false">
      <c r="H3" s="1" t="s">
        <v>51</v>
      </c>
      <c r="I3" s="1" t="s">
        <v>52</v>
      </c>
    </row>
    <row r="4" customFormat="false" ht="12.75" hidden="false" customHeight="false" outlineLevel="0" collapsed="false">
      <c r="B4" s="1" t="s">
        <v>53</v>
      </c>
      <c r="C4" s="1" t="s">
        <v>54</v>
      </c>
      <c r="E4" s="1" t="s">
        <v>55</v>
      </c>
      <c r="H4" s="20" t="n">
        <f aca="false">-1.5*$B$2</f>
        <v>-156000000</v>
      </c>
      <c r="I4" s="20" t="n">
        <f aca="false">-0.9*$B$2</f>
        <v>-93600000</v>
      </c>
      <c r="K4" s="1" t="s">
        <v>56</v>
      </c>
      <c r="L4" s="1" t="s">
        <v>57</v>
      </c>
    </row>
    <row r="5" customFormat="false" ht="12.75" hidden="false" customHeight="false" outlineLevel="0" collapsed="false">
      <c r="A5" s="1" t="n">
        <v>1</v>
      </c>
      <c r="B5" s="1" t="n">
        <v>0.05</v>
      </c>
      <c r="C5" s="19" t="n">
        <f aca="false">B5*B2</f>
        <v>5200000</v>
      </c>
      <c r="D5" s="4" t="n">
        <f aca="false">$B$1-B5</f>
        <v>0.045</v>
      </c>
      <c r="E5" s="19" t="n">
        <f aca="false">D5*($B$2)</f>
        <v>4680000</v>
      </c>
      <c r="F5" s="19" t="n">
        <f aca="false">C5+E5-I5</f>
        <v>0</v>
      </c>
      <c r="H5" s="20" t="n">
        <f aca="false">GNMA!H27+GNMA!G27</f>
        <v>1872654.91645464</v>
      </c>
      <c r="I5" s="20" t="n">
        <f aca="false">GNMA!I27-GNMA!J27</f>
        <v>9880000</v>
      </c>
      <c r="J5" s="18" t="n">
        <v>5</v>
      </c>
      <c r="K5" s="18" t="n">
        <f aca="false">IRR(H4:H34,0.1)</f>
        <v>-0.0292280846936855</v>
      </c>
      <c r="L5" s="18" t="n">
        <f aca="false">IRR(I4:I34,0.1)</f>
        <v>0.0341534423182592</v>
      </c>
    </row>
    <row r="6" customFormat="false" ht="12.75" hidden="false" customHeight="false" outlineLevel="0" collapsed="false">
      <c r="A6" s="1" t="n">
        <v>2</v>
      </c>
      <c r="B6" s="1" t="n">
        <v>0.05042187644207</v>
      </c>
      <c r="C6" s="21" t="n">
        <f aca="false">B6*($B$2-H5)</f>
        <v>5149452.37515917</v>
      </c>
      <c r="D6" s="4" t="n">
        <f aca="false">$B$1-B6</f>
        <v>0.04457812355793</v>
      </c>
      <c r="E6" s="21" t="n">
        <f aca="false">D6*($B$2-H5)</f>
        <v>4552645.40777764</v>
      </c>
      <c r="F6" s="19" t="n">
        <f aca="false">C6+E6-I6</f>
        <v>0</v>
      </c>
      <c r="H6" s="20" t="n">
        <f aca="false">GNMA!H28+GNMA!G28</f>
        <v>4338968.49641613</v>
      </c>
      <c r="I6" s="20" t="n">
        <f aca="false">GNMA!I28-GNMA!J28</f>
        <v>9702097.78293681</v>
      </c>
      <c r="J6" s="18" t="n">
        <f aca="false">J5-100%</f>
        <v>4</v>
      </c>
      <c r="K6" s="18" t="n">
        <v>0.360462169179297</v>
      </c>
      <c r="L6" s="18" t="n">
        <v>0.230001106357773</v>
      </c>
    </row>
    <row r="7" customFormat="false" ht="12.75" hidden="false" customHeight="false" outlineLevel="0" collapsed="false">
      <c r="A7" s="1" t="n">
        <v>3</v>
      </c>
      <c r="B7" s="1" t="n">
        <v>0.0508817410114296</v>
      </c>
      <c r="C7" s="21" t="n">
        <f aca="false">B7*($B$2-SUM($H$5:H6))</f>
        <v>4975642.85143445</v>
      </c>
      <c r="D7" s="4" t="n">
        <f aca="false">$B$1-B7</f>
        <v>0.0441182589885705</v>
      </c>
      <c r="E7" s="21" t="n">
        <f aca="false">D7*($B$2-SUM($H$5:H6))</f>
        <v>4314252.92434283</v>
      </c>
      <c r="F7" s="19" t="n">
        <f aca="false">C7+E7-I7</f>
        <v>0</v>
      </c>
      <c r="H7" s="20" t="n">
        <f aca="false">GNMA!H29+GNMA!G29</f>
        <v>6309558.34186619</v>
      </c>
      <c r="I7" s="20" t="n">
        <f aca="false">GNMA!I29-GNMA!J29</f>
        <v>9289895.77577728</v>
      </c>
      <c r="J7" s="18" t="n">
        <f aca="false">J6-100%</f>
        <v>3</v>
      </c>
      <c r="K7" s="18" t="n">
        <v>0.28320317421989</v>
      </c>
      <c r="L7" s="18" t="n">
        <v>0.279257320701209</v>
      </c>
    </row>
    <row r="8" customFormat="false" ht="12.75" hidden="false" customHeight="false" outlineLevel="0" collapsed="false">
      <c r="A8" s="1" t="n">
        <v>4</v>
      </c>
      <c r="B8" s="1" t="n">
        <v>0.0514230036917119</v>
      </c>
      <c r="C8" s="21" t="n">
        <f aca="false">B8*($B$2-SUM($H$5:H7))</f>
        <v>4704115.6083396</v>
      </c>
      <c r="D8" s="4" t="n">
        <f aca="false">$B$1-B8</f>
        <v>0.0435769963082881</v>
      </c>
      <c r="E8" s="21" t="n">
        <f aca="false">D8*($B$2-SUM($H$5:H7))</f>
        <v>3986372.12496039</v>
      </c>
      <c r="F8" s="19" t="n">
        <f aca="false">C8+E8-I8</f>
        <v>0</v>
      </c>
      <c r="H8" s="20" t="n">
        <f aca="false">GNMA!H30+GNMA!G30</f>
        <v>6198804.49021766</v>
      </c>
      <c r="I8" s="20" t="n">
        <f aca="false">GNMA!I30-GNMA!J30</f>
        <v>8690487.73329999</v>
      </c>
      <c r="J8" s="18" t="n">
        <f aca="false">J7-100%</f>
        <v>2</v>
      </c>
      <c r="K8" s="18" t="n">
        <v>0.202172838787067</v>
      </c>
      <c r="L8" s="18" t="n">
        <v>0.329228333329515</v>
      </c>
    </row>
    <row r="9" customFormat="false" ht="12.75" hidden="false" customHeight="false" outlineLevel="0" collapsed="false">
      <c r="A9" s="1" t="n">
        <v>5</v>
      </c>
      <c r="B9" s="1" t="n">
        <v>0.0523751137442975</v>
      </c>
      <c r="C9" s="21" t="n">
        <f aca="false">B9*($B$2-SUM($H$5:H8))</f>
        <v>4466550.42053576</v>
      </c>
      <c r="D9" s="4" t="n">
        <f aca="false">$B$1-B9</f>
        <v>0.0426248862557025</v>
      </c>
      <c r="E9" s="21" t="n">
        <f aca="false">D9*($B$2-SUM($H$5:H8))</f>
        <v>3635050.88619355</v>
      </c>
      <c r="F9" s="19" t="n">
        <f aca="false">C9+E9-I9</f>
        <v>0</v>
      </c>
      <c r="H9" s="20" t="n">
        <f aca="false">GNMA!H31+GNMA!G31</f>
        <v>5851018.78425166</v>
      </c>
      <c r="I9" s="20" t="n">
        <f aca="false">GNMA!I31-GNMA!J31</f>
        <v>8101601.30672931</v>
      </c>
      <c r="J9" s="18" t="n">
        <f aca="false">J8-100%</f>
        <v>1</v>
      </c>
      <c r="K9" s="18" t="n">
        <v>0.119343591959023</v>
      </c>
      <c r="L9" s="18" t="n">
        <v>0.379846814053757</v>
      </c>
    </row>
    <row r="10" customFormat="false" ht="12.75" hidden="false" customHeight="false" outlineLevel="0" collapsed="false">
      <c r="A10" s="1" t="n">
        <v>6</v>
      </c>
      <c r="B10" s="1" t="n">
        <v>0.0532592671878425</v>
      </c>
      <c r="C10" s="21" t="n">
        <f aca="false">B10*($B$2-SUM($H$5:H9))</f>
        <v>4230330.0656113</v>
      </c>
      <c r="D10" s="4" t="n">
        <f aca="false">$B$1-B10</f>
        <v>0.0417407328121575</v>
      </c>
      <c r="E10" s="21" t="n">
        <f aca="false">D10*($B$2-SUM($H$5:H9))</f>
        <v>3315424.4566141</v>
      </c>
      <c r="F10" s="19" t="n">
        <f aca="false">C10+E10-I10</f>
        <v>0</v>
      </c>
      <c r="H10" s="20" t="n">
        <f aca="false">GNMA!H32+GNMA!G32</f>
        <v>5524921.06780083</v>
      </c>
      <c r="I10" s="20" t="n">
        <f aca="false">GNMA!I32-GNMA!J32</f>
        <v>7545754.5222254</v>
      </c>
      <c r="J10" s="18" t="n">
        <f aca="false">J9-100%</f>
        <v>0</v>
      </c>
      <c r="K10" s="18" t="n">
        <v>0.0513338271477386</v>
      </c>
      <c r="L10" s="18" t="n">
        <v>0.431050501747459</v>
      </c>
    </row>
    <row r="11" customFormat="false" ht="12.75" hidden="false" customHeight="false" outlineLevel="0" collapsed="false">
      <c r="A11" s="1" t="n">
        <v>7</v>
      </c>
      <c r="B11" s="1" t="n">
        <v>0.0537415632435081</v>
      </c>
      <c r="C11" s="21" t="n">
        <f aca="false">B11*($B$2-SUM($H$5:H10))</f>
        <v>3971720.46161059</v>
      </c>
      <c r="D11" s="4" t="n">
        <f aca="false">$B$1-B11</f>
        <v>0.041258436756492</v>
      </c>
      <c r="E11" s="21" t="n">
        <f aca="false">D11*($B$2-SUM($H$5:H10))</f>
        <v>3049166.55917374</v>
      </c>
      <c r="F11" s="19" t="n">
        <f aca="false">C11+E11-I11</f>
        <v>0</v>
      </c>
      <c r="H11" s="20" t="n">
        <f aca="false">GNMA!H33+GNMA!G33</f>
        <v>5219237.97029758</v>
      </c>
      <c r="I11" s="20" t="n">
        <f aca="false">GNMA!I33-GNMA!J33</f>
        <v>7020887.02078433</v>
      </c>
    </row>
    <row r="12" customFormat="false" ht="12.75" hidden="false" customHeight="false" outlineLevel="0" collapsed="false">
      <c r="A12" s="1" t="n">
        <v>8</v>
      </c>
      <c r="B12" s="1" t="n">
        <v>0.0545824529346762</v>
      </c>
      <c r="C12" s="21" t="n">
        <f aca="false">B12*($B$2-SUM($H$5:H11))</f>
        <v>3748986.8246223</v>
      </c>
      <c r="D12" s="4" t="n">
        <f aca="false">$B$1-B12</f>
        <v>0.0404175470653238</v>
      </c>
      <c r="E12" s="21" t="n">
        <f aca="false">D12*($B$2-SUM($H$5:H11))</f>
        <v>2776072.58898376</v>
      </c>
      <c r="F12" s="19" t="n">
        <f aca="false">C12+E12-I12</f>
        <v>0</v>
      </c>
      <c r="H12" s="20" t="n">
        <f aca="false">GNMA!H34+GNMA!G34</f>
        <v>4932773.47230774</v>
      </c>
      <c r="I12" s="20" t="n">
        <f aca="false">GNMA!I34-GNMA!J34</f>
        <v>6525059.41360606</v>
      </c>
    </row>
    <row r="13" customFormat="false" ht="12.75" hidden="false" customHeight="false" outlineLevel="0" collapsed="false">
      <c r="A13" s="1" t="n">
        <v>9</v>
      </c>
      <c r="B13" s="1" t="n">
        <v>0.0551714368971563</v>
      </c>
      <c r="C13" s="21" t="n">
        <f aca="false">B13*($B$2-SUM($H$5:H12))</f>
        <v>3517292.89109684</v>
      </c>
      <c r="D13" s="4" t="n">
        <f aca="false">$B$1-B13</f>
        <v>0.0398285631028437</v>
      </c>
      <c r="E13" s="21" t="n">
        <f aca="false">D13*($B$2-SUM($H$5:H12))</f>
        <v>2539153.04263998</v>
      </c>
      <c r="F13" s="19" t="n">
        <f aca="false">C13+E13-I13</f>
        <v>0</v>
      </c>
      <c r="H13" s="20" t="n">
        <f aca="false">GNMA!H35+GNMA!G35</f>
        <v>4664404.29672504</v>
      </c>
      <c r="I13" s="20" t="n">
        <f aca="false">GNMA!I35-GNMA!J35</f>
        <v>6056445.93373682</v>
      </c>
    </row>
    <row r="14" customFormat="false" ht="12.75" hidden="false" customHeight="false" outlineLevel="0" collapsed="false">
      <c r="A14" s="1" t="n">
        <v>10</v>
      </c>
      <c r="B14" s="1" t="n">
        <v>0.0557942594141038</v>
      </c>
      <c r="C14" s="21" t="n">
        <f aca="false">B14*($B$2-SUM($H$5:H13))</f>
        <v>3296752.12775527</v>
      </c>
      <c r="D14" s="4" t="n">
        <f aca="false">$B$1-B14</f>
        <v>0.0392057405858962</v>
      </c>
      <c r="E14" s="21" t="n">
        <f aca="false">D14*($B$2-SUM($H$5:H13))</f>
        <v>2316575.39779267</v>
      </c>
      <c r="F14" s="19" t="n">
        <f aca="false">C14+E14-I14</f>
        <v>0</v>
      </c>
      <c r="H14" s="20" t="n">
        <f aca="false">GNMA!H36+GNMA!G36</f>
        <v>4413075.577591</v>
      </c>
      <c r="I14" s="20" t="n">
        <f aca="false">GNMA!I36-GNMA!J36</f>
        <v>5613327.52554794</v>
      </c>
    </row>
    <row r="15" customFormat="false" ht="12.75" hidden="false" customHeight="false" outlineLevel="0" collapsed="false">
      <c r="A15" s="1" t="n">
        <v>11</v>
      </c>
      <c r="B15" s="1" t="n">
        <v>0.0567455253553891</v>
      </c>
      <c r="C15" s="21" t="n">
        <f aca="false">B15*($B$2-SUM($H$5:H14))</f>
        <v>3102537.91243324</v>
      </c>
      <c r="D15" s="4" t="n">
        <f aca="false">$B$1-B15</f>
        <v>0.0382544746446109</v>
      </c>
      <c r="E15" s="21" t="n">
        <f aca="false">D15*($B$2-SUM($H$5:H14))</f>
        <v>2091547.43324356</v>
      </c>
      <c r="F15" s="19" t="n">
        <f aca="false">C15+E15-I15</f>
        <v>0</v>
      </c>
      <c r="H15" s="20" t="n">
        <f aca="false">GNMA!H37+GNMA!G37</f>
        <v>4177796.78991976</v>
      </c>
      <c r="I15" s="20" t="n">
        <f aca="false">GNMA!I37-GNMA!J37</f>
        <v>5194085.3456768</v>
      </c>
    </row>
    <row r="16" customFormat="false" ht="12.75" hidden="false" customHeight="false" outlineLevel="0" collapsed="false">
      <c r="A16" s="1" t="n">
        <v>12</v>
      </c>
      <c r="B16" s="1" t="n">
        <v>0.0573396617187801</v>
      </c>
      <c r="C16" s="21" t="n">
        <f aca="false">B16*($B$2-SUM($H$5:H15))</f>
        <v>2895468.61543704</v>
      </c>
      <c r="D16" s="4" t="n">
        <f aca="false">$B$1-B16</f>
        <v>0.0376603382812199</v>
      </c>
      <c r="E16" s="21" t="n">
        <f aca="false">D16*($B$2-SUM($H$5:H15))</f>
        <v>1901726.03519737</v>
      </c>
      <c r="F16" s="19" t="n">
        <f aca="false">C16+E16-I16</f>
        <v>0</v>
      </c>
      <c r="H16" s="20" t="n">
        <f aca="false">GNMA!H38+GNMA!G38</f>
        <v>3957637.92490626</v>
      </c>
      <c r="I16" s="20" t="n">
        <f aca="false">GNMA!I38-GNMA!J38</f>
        <v>4797194.65063442</v>
      </c>
    </row>
    <row r="17" customFormat="false" ht="12.75" hidden="false" customHeight="false" outlineLevel="0" collapsed="false">
      <c r="A17" s="1" t="n">
        <v>13</v>
      </c>
      <c r="B17" s="1" t="n">
        <v>0.0575642135815617</v>
      </c>
      <c r="C17" s="21" t="n">
        <f aca="false">B17*($B$2-SUM($H$5:H16))</f>
        <v>2678989.44796426</v>
      </c>
      <c r="D17" s="4" t="n">
        <f aca="false">$B$1-B17</f>
        <v>0.0374357864184383</v>
      </c>
      <c r="E17" s="21" t="n">
        <f aca="false">D17*($B$2-SUM($H$5:H16))</f>
        <v>1742229.59980406</v>
      </c>
      <c r="F17" s="19" t="n">
        <f aca="false">C17+E17-I17</f>
        <v>0</v>
      </c>
      <c r="H17" s="20" t="n">
        <f aca="false">GNMA!H39+GNMA!G39</f>
        <v>3751725.89583455</v>
      </c>
      <c r="I17" s="20" t="n">
        <f aca="false">GNMA!I39-GNMA!J39</f>
        <v>4421219.04776832</v>
      </c>
    </row>
    <row r="18" customFormat="false" ht="12.75" hidden="false" customHeight="false" outlineLevel="0" collapsed="false">
      <c r="A18" s="1" t="n">
        <v>14</v>
      </c>
      <c r="B18" s="1" t="n">
        <v>0.0580993849595321</v>
      </c>
      <c r="C18" s="21" t="n">
        <f aca="false">B18*($B$2-SUM($H$5:H17))</f>
        <v>2485922.90077534</v>
      </c>
      <c r="D18" s="4" t="n">
        <f aca="false">$B$1-B18</f>
        <v>0.0369006150404679</v>
      </c>
      <c r="E18" s="21" t="n">
        <f aca="false">D18*($B$2-SUM($H$5:H17))</f>
        <v>1578882.1868887</v>
      </c>
      <c r="F18" s="19" t="n">
        <f aca="false">C18+E18-I18</f>
        <v>0</v>
      </c>
      <c r="H18" s="20" t="n">
        <f aca="false">GNMA!H40+GNMA!G40</f>
        <v>3559241.16088551</v>
      </c>
      <c r="I18" s="20" t="n">
        <f aca="false">GNMA!I40-GNMA!J40</f>
        <v>4064805.08766404</v>
      </c>
    </row>
    <row r="19" customFormat="false" ht="12.75" hidden="false" customHeight="false" outlineLevel="0" collapsed="false">
      <c r="A19" s="1" t="n">
        <v>15</v>
      </c>
      <c r="B19" s="1" t="n">
        <v>0.0582288150065354</v>
      </c>
      <c r="C19" s="21" t="n">
        <f aca="false">B19*($B$2-SUM($H$5:H18))</f>
        <v>2284210.48369192</v>
      </c>
      <c r="D19" s="4" t="n">
        <f aca="false">$B$1-B19</f>
        <v>0.0367711849934646</v>
      </c>
      <c r="E19" s="21" t="n">
        <f aca="false">D19*($B$2-SUM($H$5:H18))</f>
        <v>1442466.69368799</v>
      </c>
      <c r="F19" s="19" t="n">
        <f aca="false">C19+E19-I19</f>
        <v>0</v>
      </c>
      <c r="H19" s="20" t="n">
        <f aca="false">GNMA!H41+GNMA!G41</f>
        <v>3379414.54987265</v>
      </c>
      <c r="I19" s="20" t="n">
        <f aca="false">GNMA!I41-GNMA!J41</f>
        <v>3726677.17737992</v>
      </c>
    </row>
    <row r="20" customFormat="false" ht="12.75" hidden="false" customHeight="false" outlineLevel="0" collapsed="false">
      <c r="A20" s="1" t="n">
        <v>16</v>
      </c>
      <c r="B20" s="1" t="n">
        <v>0.0585726336261897</v>
      </c>
      <c r="C20" s="21" t="n">
        <f aca="false">B20*($B$2-SUM($H$5:H19))</f>
        <v>2099756.65237042</v>
      </c>
      <c r="D20" s="4" t="n">
        <f aca="false">$B$1-B20</f>
        <v>0.0364273663738103</v>
      </c>
      <c r="E20" s="21" t="n">
        <f aca="false">D20*($B$2-SUM($H$5:H19))</f>
        <v>1305876.1427716</v>
      </c>
      <c r="F20" s="19" t="n">
        <f aca="false">C20+E20-I20</f>
        <v>0</v>
      </c>
      <c r="H20" s="20" t="n">
        <f aca="false">GNMA!H42+GNMA!G42</f>
        <v>3211524.28271433</v>
      </c>
      <c r="I20" s="20" t="n">
        <f aca="false">GNMA!I42-GNMA!J42</f>
        <v>3405632.79514201</v>
      </c>
    </row>
    <row r="21" customFormat="false" ht="12.75" hidden="false" customHeight="false" outlineLevel="0" collapsed="false">
      <c r="A21" s="1" t="n">
        <v>17</v>
      </c>
      <c r="B21" s="1" t="n">
        <v>0.0594266242508197</v>
      </c>
      <c r="C21" s="21" t="n">
        <f aca="false">B21*($B$2-SUM($H$5:H20))</f>
        <v>1939521.11584373</v>
      </c>
      <c r="D21" s="4" t="n">
        <f aca="false">$B$1-B21</f>
        <v>0.0355733757491803</v>
      </c>
      <c r="E21" s="21" t="n">
        <f aca="false">D21*($B$2-SUM($H$5:H20))</f>
        <v>1161016.87244042</v>
      </c>
      <c r="F21" s="19" t="n">
        <f aca="false">C21+E21-I21</f>
        <v>0</v>
      </c>
      <c r="H21" s="20" t="n">
        <f aca="false">GNMA!H43+GNMA!G43</f>
        <v>3054893.16818387</v>
      </c>
      <c r="I21" s="20" t="n">
        <f aca="false">GNMA!I43-GNMA!J43</f>
        <v>3100537.98828415</v>
      </c>
    </row>
    <row r="22" customFormat="false" ht="12.75" hidden="false" customHeight="false" outlineLevel="0" collapsed="false">
      <c r="A22" s="1" t="n">
        <v>18</v>
      </c>
      <c r="B22" s="1" t="n">
        <v>0.0596798757422086</v>
      </c>
      <c r="C22" s="21" t="n">
        <f aca="false">B22*($B$2-SUM($H$5:H21))</f>
        <v>1765470.90136755</v>
      </c>
      <c r="D22" s="4" t="n">
        <f aca="false">$B$1-B22</f>
        <v>0.0353201242577914</v>
      </c>
      <c r="E22" s="21" t="n">
        <f aca="false">D22*($B$2-SUM($H$5:H21))</f>
        <v>1044852.23593914</v>
      </c>
      <c r="F22" s="19" t="n">
        <f aca="false">C22+E22-I22</f>
        <v>0</v>
      </c>
      <c r="H22" s="20" t="n">
        <f aca="false">GNMA!H44+GNMA!G44</f>
        <v>2908885.97216793</v>
      </c>
      <c r="I22" s="20" t="n">
        <f aca="false">GNMA!I44-GNMA!J44</f>
        <v>2810323.13730669</v>
      </c>
    </row>
    <row r="23" customFormat="false" ht="12.75" hidden="false" customHeight="false" outlineLevel="0" collapsed="false">
      <c r="A23" s="1" t="n">
        <v>19</v>
      </c>
      <c r="B23" s="1" t="n">
        <v>0.0600740996728127</v>
      </c>
      <c r="C23" s="21" t="n">
        <f aca="false">B23*($B$2-SUM($H$5:H22))</f>
        <v>1602384.26536454</v>
      </c>
      <c r="D23" s="4" t="n">
        <f aca="false">$B$1-B23</f>
        <v>0.0349259003271873</v>
      </c>
      <c r="E23" s="21" t="n">
        <f aca="false">D23*($B$2-SUM($H$5:H22))</f>
        <v>931594.704586191</v>
      </c>
      <c r="F23" s="19" t="n">
        <f aca="false">C23+E23-I23</f>
        <v>0</v>
      </c>
      <c r="H23" s="20" t="n">
        <f aca="false">GNMA!H45+GNMA!G45</f>
        <v>2772906.94531151</v>
      </c>
      <c r="I23" s="20" t="n">
        <f aca="false">GNMA!I45-GNMA!J45</f>
        <v>2533978.96995073</v>
      </c>
    </row>
    <row r="24" customFormat="false" ht="12.75" hidden="false" customHeight="false" outlineLevel="0" collapsed="false">
      <c r="A24" s="1" t="n">
        <v>20</v>
      </c>
      <c r="B24" s="1" t="n">
        <v>0.0609586491353036</v>
      </c>
      <c r="C24" s="21" t="n">
        <f aca="false">B24*($B$2-SUM($H$5:H23))</f>
        <v>1456945.60101975</v>
      </c>
      <c r="D24" s="4" t="n">
        <f aca="false">$B$1-B24</f>
        <v>0.0340413508646964</v>
      </c>
      <c r="E24" s="21" t="n">
        <f aca="false">D24*($B$2-SUM($H$5:H23))</f>
        <v>813607.209126391</v>
      </c>
      <c r="F24" s="19" t="n">
        <f aca="false">C24+E24-I24</f>
        <v>0</v>
      </c>
      <c r="H24" s="20" t="n">
        <f aca="false">GNMA!H46+GNMA!G46</f>
        <v>2646397.50053657</v>
      </c>
      <c r="I24" s="20" t="n">
        <f aca="false">GNMA!I46-GNMA!J46</f>
        <v>2270552.81014614</v>
      </c>
    </row>
    <row r="25" customFormat="false" ht="12.75" hidden="false" customHeight="false" outlineLevel="0" collapsed="false">
      <c r="A25" s="1" t="n">
        <v>21</v>
      </c>
      <c r="B25" s="1" t="n">
        <v>0.0613302472588779</v>
      </c>
      <c r="C25" s="21" t="n">
        <f aca="false">B25*($B$2-SUM($H$5:H24))</f>
        <v>1303522.78969</v>
      </c>
      <c r="D25" s="4" t="n">
        <f aca="false">$B$1-B25</f>
        <v>0.0336697527411221</v>
      </c>
      <c r="E25" s="21" t="n">
        <f aca="false">D25*($B$2-SUM($H$5:H24))</f>
        <v>715622.257905163</v>
      </c>
      <c r="F25" s="19" t="n">
        <f aca="false">C25+E25-I25</f>
        <v>0</v>
      </c>
      <c r="H25" s="20" t="n">
        <f aca="false">GNMA!H47+GNMA!G47</f>
        <v>2528834.03149422</v>
      </c>
      <c r="I25" s="20" t="n">
        <f aca="false">GNMA!I47-GNMA!J47</f>
        <v>2019145.04759517</v>
      </c>
    </row>
    <row r="26" customFormat="false" ht="12.75" hidden="false" customHeight="false" outlineLevel="0" collapsed="false">
      <c r="A26" s="1" t="n">
        <v>22</v>
      </c>
      <c r="B26" s="1" t="n">
        <v>0.0620067458817533</v>
      </c>
      <c r="C26" s="21" t="n">
        <f aca="false">B26*($B$2-SUM($H$5:H25))</f>
        <v>1161096.4294071</v>
      </c>
      <c r="D26" s="4" t="n">
        <f aca="false">$B$1-B26</f>
        <v>0.0329932541182467</v>
      </c>
      <c r="E26" s="21" t="n">
        <f aca="false">D26*($B$2-SUM($H$5:H25))</f>
        <v>617809.385196112</v>
      </c>
      <c r="F26" s="19" t="n">
        <f aca="false">C26+E26-I26</f>
        <v>0</v>
      </c>
      <c r="H26" s="20" t="n">
        <f aca="false">GNMA!H48+GNMA!G48</f>
        <v>2419725.86354806</v>
      </c>
      <c r="I26" s="20" t="n">
        <f aca="false">GNMA!I48-GNMA!J48</f>
        <v>1778905.81460321</v>
      </c>
    </row>
    <row r="27" customFormat="false" ht="12.75" hidden="false" customHeight="false" outlineLevel="0" collapsed="false">
      <c r="A27" s="1" t="n">
        <v>23</v>
      </c>
      <c r="B27" s="1" t="n">
        <v>0.0621110481407074</v>
      </c>
      <c r="C27" s="21" t="n">
        <f aca="false">B27*($B$2-SUM($H$5:H26))</f>
        <v>1012757.8134398</v>
      </c>
      <c r="D27" s="4" t="n">
        <f aca="false">$B$1-B27</f>
        <v>0.0328889518592926</v>
      </c>
      <c r="E27" s="21" t="n">
        <f aca="false">D27*($B$2-SUM($H$5:H26))</f>
        <v>536274.044126354</v>
      </c>
      <c r="F27" s="19" t="n">
        <f aca="false">C27+E27-I27</f>
        <v>0</v>
      </c>
      <c r="H27" s="20" t="n">
        <f aca="false">GNMA!H49+GNMA!G49</f>
        <v>2318613.32939275</v>
      </c>
      <c r="I27" s="20" t="n">
        <f aca="false">GNMA!I49-GNMA!J49</f>
        <v>1549031.85756615</v>
      </c>
    </row>
    <row r="28" customFormat="false" ht="12.75" hidden="false" customHeight="false" outlineLevel="0" collapsed="false">
      <c r="A28" s="1" t="n">
        <v>24</v>
      </c>
      <c r="B28" s="1" t="n">
        <v>0.0626748603297048</v>
      </c>
      <c r="C28" s="21" t="n">
        <f aca="false">B28*($B$2-SUM($H$5:H27))</f>
        <v>876632.342045102</v>
      </c>
      <c r="D28" s="4" t="n">
        <f aca="false">$B$1-B28</f>
        <v>0.0323251396702952</v>
      </c>
      <c r="E28" s="21" t="n">
        <f aca="false">D28*($B$2-SUM($H$5:H27))</f>
        <v>452131.249228735</v>
      </c>
      <c r="F28" s="19" t="n">
        <f aca="false">C28+E28-I28</f>
        <v>0</v>
      </c>
      <c r="H28" s="20" t="n">
        <f aca="false">GNMA!H50+GNMA!G50</f>
        <v>2225065.96188712</v>
      </c>
      <c r="I28" s="20" t="n">
        <f aca="false">GNMA!I50-GNMA!J50</f>
        <v>1328763.59127384</v>
      </c>
    </row>
    <row r="29" customFormat="false" ht="12.75" hidden="false" customHeight="false" outlineLevel="0" collapsed="false">
      <c r="A29" s="1" t="n">
        <v>25</v>
      </c>
      <c r="B29" s="1" t="n">
        <v>0.0630856954727574</v>
      </c>
      <c r="C29" s="21" t="n">
        <f aca="false">B29*($B$2-SUM($H$5:H28))</f>
        <v>742008.85342042</v>
      </c>
      <c r="D29" s="4" t="n">
        <f aca="false">$B$1-B29</f>
        <v>0.0319143045272426</v>
      </c>
      <c r="E29" s="21" t="n">
        <f aca="false">D29*($B$2-SUM($H$5:H28))</f>
        <v>375373.471474141</v>
      </c>
      <c r="F29" s="19" t="n">
        <f aca="false">C29+E29-I29</f>
        <v>0</v>
      </c>
      <c r="H29" s="20" t="n">
        <f aca="false">GNMA!H51+GNMA!G51</f>
        <v>2138680.7971286</v>
      </c>
      <c r="I29" s="20" t="n">
        <f aca="false">GNMA!I51-GNMA!J51</f>
        <v>1117382.32489456</v>
      </c>
    </row>
    <row r="30" customFormat="false" ht="12.75" hidden="false" customHeight="false" outlineLevel="0" collapsed="false">
      <c r="A30" s="1" t="n">
        <v>26</v>
      </c>
      <c r="B30" s="1" t="n">
        <v>0.0631089623921724</v>
      </c>
      <c r="C30" s="21" t="n">
        <f aca="false">B30*($B$2-SUM($H$5:H29))</f>
        <v>607312.591051981</v>
      </c>
      <c r="D30" s="4" t="n">
        <f aca="false">$B$1-B30</f>
        <v>0.0318910376078276</v>
      </c>
      <c r="E30" s="21" t="n">
        <f aca="false">D30*($B$2-SUM($H$5:H29))</f>
        <v>306895.058115363</v>
      </c>
      <c r="F30" s="19" t="n">
        <f aca="false">C30+E30-I30</f>
        <v>0</v>
      </c>
      <c r="H30" s="20" t="n">
        <f aca="false">GNMA!H52+GNMA!G52</f>
        <v>2059080.78121604</v>
      </c>
      <c r="I30" s="20" t="n">
        <f aca="false">GNMA!I52-GNMA!J52</f>
        <v>914207.649167344</v>
      </c>
    </row>
    <row r="31" customFormat="false" ht="12.75" hidden="false" customHeight="false" outlineLevel="0" collapsed="false">
      <c r="A31" s="1" t="n">
        <v>27</v>
      </c>
      <c r="B31" s="1" t="n">
        <v>0.0638247049667732</v>
      </c>
      <c r="C31" s="21" t="n">
        <f aca="false">B31*($B$2-SUM($H$5:H30))</f>
        <v>482780.129125324</v>
      </c>
      <c r="D31" s="4" t="n">
        <f aca="false">$B$1-B31</f>
        <v>0.0311752950332268</v>
      </c>
      <c r="E31" s="21" t="n">
        <f aca="false">D31*($B$2-SUM($H$5:H30))</f>
        <v>235814.845826498</v>
      </c>
      <c r="F31" s="19" t="n">
        <f aca="false">C31+E31-I31</f>
        <v>0</v>
      </c>
      <c r="H31" s="20" t="n">
        <f aca="false">GNMA!H53+GNMA!G53</f>
        <v>1985913.27454336</v>
      </c>
      <c r="I31" s="20" t="n">
        <f aca="false">GNMA!I53-GNMA!J53</f>
        <v>718594.97495182</v>
      </c>
    </row>
    <row r="32" customFormat="false" ht="12.75" hidden="false" customHeight="false" outlineLevel="0" collapsed="false">
      <c r="A32" s="1" t="n">
        <v>28</v>
      </c>
      <c r="B32" s="1" t="n">
        <v>0.0643438571214386</v>
      </c>
      <c r="C32" s="21" t="n">
        <f aca="false">B32*($B$2-SUM($H$5:H31))</f>
        <v>358925.757864937</v>
      </c>
      <c r="D32" s="4" t="n">
        <f aca="false">$B$1-B32</f>
        <v>0.0306561428785614</v>
      </c>
      <c r="E32" s="21" t="n">
        <f aca="false">D32*($B$2-SUM($H$5:H31))</f>
        <v>171007.456005264</v>
      </c>
      <c r="F32" s="19" t="n">
        <f aca="false">C32+E32-I32</f>
        <v>0</v>
      </c>
      <c r="H32" s="20" t="n">
        <f aca="false">GNMA!H54+GNMA!G54</f>
        <v>1918848.64783785</v>
      </c>
      <c r="I32" s="20" t="n">
        <f aca="false">GNMA!I54-GNMA!J54</f>
        <v>529933.213870201</v>
      </c>
    </row>
    <row r="33" customFormat="false" ht="12.75" hidden="false" customHeight="false" outlineLevel="0" collapsed="false">
      <c r="A33" s="1" t="n">
        <v>29</v>
      </c>
      <c r="B33" s="1" t="n">
        <v>0.0651484950909262</v>
      </c>
      <c r="C33" s="21" t="n">
        <f aca="false">B33*($B$2-SUM($H$5:H32))</f>
        <v>238404.123363385</v>
      </c>
      <c r="D33" s="4" t="n">
        <f aca="false">$B$1-B33</f>
        <v>0.0298515049090738</v>
      </c>
      <c r="E33" s="21" t="n">
        <f aca="false">D33*($B$2-SUM($H$5:H32))</f>
        <v>109238.468962221</v>
      </c>
      <c r="F33" s="19" t="n">
        <f aca="false">C33+E33-I33</f>
        <v>0</v>
      </c>
      <c r="H33" s="20" t="n">
        <f aca="false">GNMA!H55+GNMA!G55</f>
        <v>1857578.96450674</v>
      </c>
      <c r="I33" s="20" t="n">
        <f aca="false">GNMA!I55-GNMA!J55</f>
        <v>347642.592325606</v>
      </c>
    </row>
    <row r="34" customFormat="false" ht="12.75" hidden="false" customHeight="false" outlineLevel="0" collapsed="false">
      <c r="A34" s="1" t="n">
        <v>30</v>
      </c>
      <c r="B34" s="1" t="n">
        <v>0.0657093204280485</v>
      </c>
      <c r="C34" s="21" t="n">
        <f aca="false">B34*($B$2-SUM($H$5:H33))</f>
        <v>118396.1537962</v>
      </c>
      <c r="D34" s="4" t="n">
        <f aca="false">$B$1-B34</f>
        <v>0.0292906795719515</v>
      </c>
      <c r="E34" s="21" t="n">
        <f aca="false">D34*($B$2-SUM($H$5:H33))</f>
        <v>52776.4369012662</v>
      </c>
      <c r="F34" s="19" t="n">
        <f aca="false">C34+E34-I34</f>
        <v>1.07684172689915E-009</v>
      </c>
      <c r="H34" s="20" t="n">
        <f aca="false">GNMA!H56+GNMA!G56</f>
        <v>1801816.74418384</v>
      </c>
      <c r="I34" s="20" t="n">
        <f aca="false">GNMA!I56-GNMA!J56</f>
        <v>171172.590697465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A109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A20" activeCellId="0" sqref="A20"/>
    </sheetView>
  </sheetViews>
  <sheetFormatPr defaultColWidth="17.70703125" defaultRowHeight="12.75" customHeight="true" zeroHeight="false" outlineLevelRow="0" outlineLevelCol="0"/>
  <cols>
    <col collapsed="false" customWidth="true" hidden="false" outlineLevel="0" max="5" min="5" style="1" width="21.56"/>
    <col collapsed="false" customWidth="true" hidden="false" outlineLevel="0" max="6" min="6" style="1" width="18.99"/>
    <col collapsed="false" customWidth="true" hidden="false" outlineLevel="0" max="12" min="12" style="1" width="20.28"/>
    <col collapsed="false" customWidth="true" hidden="false" outlineLevel="0" max="36" min="36" style="1" width="20.28"/>
  </cols>
  <sheetData>
    <row r="1" customFormat="false" ht="12.75" hidden="false" customHeight="false" outlineLevel="0" collapsed="false">
      <c r="A1" s="9" t="s">
        <v>13</v>
      </c>
    </row>
    <row r="3" customFormat="false" ht="12.75" hidden="false" customHeight="false" outlineLevel="0" collapsed="false">
      <c r="A3" s="9" t="s">
        <v>14</v>
      </c>
      <c r="C3" s="3" t="n">
        <v>0.1</v>
      </c>
    </row>
    <row r="4" customFormat="false" ht="12.75" hidden="false" customHeight="false" outlineLevel="0" collapsed="false">
      <c r="A4" s="9" t="s">
        <v>15</v>
      </c>
      <c r="C4" s="3" t="n">
        <v>1</v>
      </c>
    </row>
    <row r="5" customFormat="false" ht="12.75" hidden="false" customHeight="false" outlineLevel="0" collapsed="false">
      <c r="A5" s="9" t="s">
        <v>18</v>
      </c>
      <c r="C5" s="3" t="n">
        <v>0.005</v>
      </c>
    </row>
    <row r="6" customFormat="false" ht="12.75" hidden="false" customHeight="false" outlineLevel="0" collapsed="false">
      <c r="A6" s="9" t="s">
        <v>16</v>
      </c>
      <c r="C6" s="11" t="n">
        <f aca="false">1.0353*D6</f>
        <v>799243777.2732</v>
      </c>
      <c r="D6" s="1" t="n">
        <v>771992444</v>
      </c>
    </row>
    <row r="7" customFormat="false" ht="12.75" hidden="false" customHeight="false" outlineLevel="0" collapsed="false">
      <c r="A7" s="9" t="s">
        <v>58</v>
      </c>
      <c r="C7" s="11" t="n">
        <v>4000000</v>
      </c>
    </row>
    <row r="8" customFormat="false" ht="12.75" hidden="false" customHeight="false" outlineLevel="0" collapsed="false">
      <c r="C8" s="11"/>
    </row>
    <row r="9" customFormat="false" ht="12.75" hidden="false" customHeight="false" outlineLevel="0" collapsed="false">
      <c r="A9" s="9" t="s">
        <v>59</v>
      </c>
      <c r="C9" s="11" t="n">
        <v>153230577</v>
      </c>
    </row>
    <row r="10" customFormat="false" ht="12.75" hidden="false" customHeight="false" outlineLevel="0" collapsed="false">
      <c r="A10" s="9" t="s">
        <v>60</v>
      </c>
      <c r="C10" s="3" t="n">
        <v>0.07109</v>
      </c>
    </row>
    <row r="11" customFormat="false" ht="12.75" hidden="false" customHeight="false" outlineLevel="0" collapsed="false">
      <c r="E11" s="9" t="s">
        <v>21</v>
      </c>
      <c r="BM11" s="2" t="n">
        <v>0.2</v>
      </c>
      <c r="BN11" s="2" t="n">
        <f aca="false">0.2+BM11</f>
        <v>0.4</v>
      </c>
      <c r="BO11" s="2" t="n">
        <f aca="false">0.2+BN11</f>
        <v>0.6</v>
      </c>
      <c r="BP11" s="2" t="n">
        <f aca="false">0.2+BO11</f>
        <v>0.8</v>
      </c>
      <c r="BQ11" s="2" t="n">
        <f aca="false">0.2+BP11</f>
        <v>1</v>
      </c>
      <c r="BR11" s="2" t="n">
        <f aca="false">0.2+BQ11</f>
        <v>1.2</v>
      </c>
      <c r="BS11" s="2" t="n">
        <f aca="false">0.2+BR11</f>
        <v>1.4</v>
      </c>
      <c r="BT11" s="2" t="n">
        <f aca="false">0.2+BS11</f>
        <v>1.6</v>
      </c>
      <c r="BU11" s="2" t="n">
        <f aca="false">0.2+BT11</f>
        <v>1.8</v>
      </c>
      <c r="BV11" s="2" t="n">
        <f aca="false">0.2+BU11</f>
        <v>2</v>
      </c>
      <c r="BW11" s="2" t="n">
        <f aca="false">0.2+BV11</f>
        <v>2.2</v>
      </c>
      <c r="BX11" s="2" t="n">
        <f aca="false">0.2+BW11</f>
        <v>2.4</v>
      </c>
      <c r="BY11" s="2" t="n">
        <f aca="false">0.2+BX11</f>
        <v>2.6</v>
      </c>
      <c r="BZ11" s="2" t="n">
        <f aca="false">0.2+BY11</f>
        <v>2.8</v>
      </c>
      <c r="CA11" s="2" t="n">
        <f aca="false">0.2+BZ11</f>
        <v>3</v>
      </c>
      <c r="CB11" s="2" t="n">
        <f aca="false">0.2+CA11</f>
        <v>3.2</v>
      </c>
      <c r="CC11" s="2" t="n">
        <f aca="false">0.2+CB11</f>
        <v>3.4</v>
      </c>
      <c r="CD11" s="2" t="n">
        <f aca="false">0.2+CC11</f>
        <v>3.6</v>
      </c>
      <c r="CE11" s="2" t="n">
        <f aca="false">0.2+CD11</f>
        <v>3.8</v>
      </c>
      <c r="CF11" s="2" t="n">
        <f aca="false">0.2+CE11</f>
        <v>4</v>
      </c>
      <c r="CG11" s="2" t="n">
        <f aca="false">0.2+CF11</f>
        <v>4.2</v>
      </c>
      <c r="CH11" s="2" t="n">
        <f aca="false">0.2+CG11</f>
        <v>4.4</v>
      </c>
      <c r="CI11" s="2" t="n">
        <f aca="false">0.2+CH11</f>
        <v>4.6</v>
      </c>
      <c r="CJ11" s="2" t="n">
        <f aca="false">0.2+CI11</f>
        <v>4.8</v>
      </c>
      <c r="CK11" s="2" t="n">
        <f aca="false">0.2+CJ11</f>
        <v>5</v>
      </c>
      <c r="CL11" s="2" t="n">
        <f aca="false">0.2+CK11</f>
        <v>5.2</v>
      </c>
      <c r="CM11" s="2" t="n">
        <f aca="false">0.2+CL11</f>
        <v>5.4</v>
      </c>
      <c r="CN11" s="2" t="n">
        <f aca="false">0.2+CM11</f>
        <v>5.6</v>
      </c>
      <c r="CO11" s="2" t="n">
        <f aca="false">0.2+CN11</f>
        <v>5.8</v>
      </c>
      <c r="CP11" s="2" t="n">
        <f aca="false">0.2+CO11</f>
        <v>6</v>
      </c>
      <c r="CQ11" s="2" t="n">
        <v>6</v>
      </c>
      <c r="CR11" s="2" t="n">
        <v>6</v>
      </c>
      <c r="CS11" s="2" t="n">
        <v>6</v>
      </c>
      <c r="CT11" s="2" t="n">
        <v>6</v>
      </c>
      <c r="CU11" s="2" t="n">
        <v>6</v>
      </c>
      <c r="CV11" s="2" t="n">
        <v>6</v>
      </c>
      <c r="CW11" s="2" t="n">
        <f aca="false">0.2+CV11</f>
        <v>6.2</v>
      </c>
      <c r="CX11" s="2" t="n">
        <f aca="false">0.2+CW11</f>
        <v>6.4</v>
      </c>
      <c r="CY11" s="2" t="n">
        <f aca="false">0.2+CX11</f>
        <v>6.6</v>
      </c>
      <c r="CZ11" s="2" t="n">
        <f aca="false">0.2+CY11</f>
        <v>6.8</v>
      </c>
      <c r="DA11" s="2" t="n">
        <f aca="false">0.2+CZ11</f>
        <v>7</v>
      </c>
    </row>
    <row r="12" customFormat="false" ht="12.75" hidden="false" customHeight="false" outlineLevel="0" collapsed="false">
      <c r="A12" s="9" t="s">
        <v>61</v>
      </c>
      <c r="C12" s="11" t="n">
        <v>299000640</v>
      </c>
      <c r="BM12" s="2" t="n">
        <v>1</v>
      </c>
      <c r="BN12" s="2" t="n">
        <f aca="false">BM12+1</f>
        <v>2</v>
      </c>
      <c r="BO12" s="2" t="n">
        <f aca="false">BN12+1</f>
        <v>3</v>
      </c>
      <c r="BP12" s="2" t="n">
        <f aca="false">BO12+1</f>
        <v>4</v>
      </c>
      <c r="BQ12" s="2" t="n">
        <f aca="false">BP12+1</f>
        <v>5</v>
      </c>
      <c r="BR12" s="2" t="n">
        <f aca="false">BQ12+1</f>
        <v>6</v>
      </c>
      <c r="BS12" s="2" t="n">
        <f aca="false">BR12+1</f>
        <v>7</v>
      </c>
      <c r="BT12" s="2" t="n">
        <f aca="false">BS12+1</f>
        <v>8</v>
      </c>
      <c r="BU12" s="2" t="n">
        <f aca="false">BT12+1</f>
        <v>9</v>
      </c>
      <c r="BV12" s="2" t="n">
        <f aca="false">BU12+1</f>
        <v>10</v>
      </c>
      <c r="BW12" s="2" t="n">
        <f aca="false">BV12+1</f>
        <v>11</v>
      </c>
      <c r="BX12" s="2" t="n">
        <f aca="false">BW12+1</f>
        <v>12</v>
      </c>
      <c r="BY12" s="2" t="n">
        <f aca="false">BX12+1</f>
        <v>13</v>
      </c>
      <c r="BZ12" s="2" t="n">
        <f aca="false">BY12+1</f>
        <v>14</v>
      </c>
      <c r="CA12" s="2" t="n">
        <f aca="false">BZ12+1</f>
        <v>15</v>
      </c>
      <c r="CB12" s="2" t="n">
        <f aca="false">CA12+1</f>
        <v>16</v>
      </c>
      <c r="CC12" s="2" t="n">
        <f aca="false">CB12+1</f>
        <v>17</v>
      </c>
      <c r="CD12" s="2" t="n">
        <f aca="false">CC12+1</f>
        <v>18</v>
      </c>
      <c r="CE12" s="2" t="n">
        <f aca="false">CD12+1</f>
        <v>19</v>
      </c>
      <c r="CF12" s="2" t="n">
        <f aca="false">CE12+1</f>
        <v>20</v>
      </c>
      <c r="CG12" s="2" t="n">
        <f aca="false">CF12+1</f>
        <v>21</v>
      </c>
      <c r="CH12" s="2" t="n">
        <f aca="false">CG12+1</f>
        <v>22</v>
      </c>
      <c r="CI12" s="2" t="n">
        <f aca="false">CH12+1</f>
        <v>23</v>
      </c>
      <c r="CJ12" s="2" t="n">
        <f aca="false">CI12+1</f>
        <v>24</v>
      </c>
      <c r="CK12" s="2" t="n">
        <f aca="false">CJ12+1</f>
        <v>25</v>
      </c>
      <c r="CL12" s="2" t="n">
        <f aca="false">CK12+1</f>
        <v>26</v>
      </c>
      <c r="CM12" s="2" t="n">
        <f aca="false">CL12+1</f>
        <v>27</v>
      </c>
      <c r="CN12" s="2" t="n">
        <f aca="false">CM12+1</f>
        <v>28</v>
      </c>
      <c r="CO12" s="2" t="n">
        <f aca="false">CN12+1</f>
        <v>29</v>
      </c>
      <c r="CP12" s="2" t="n">
        <f aca="false">CO12+1</f>
        <v>30</v>
      </c>
      <c r="CQ12" s="2" t="n">
        <f aca="false">CP12+1</f>
        <v>31</v>
      </c>
      <c r="CR12" s="2" t="n">
        <f aca="false">CQ12+1</f>
        <v>32</v>
      </c>
      <c r="CS12" s="2" t="n">
        <f aca="false">CR12+1</f>
        <v>33</v>
      </c>
      <c r="CT12" s="2" t="n">
        <f aca="false">CS12+1</f>
        <v>34</v>
      </c>
      <c r="CU12" s="2" t="n">
        <f aca="false">CT12+1</f>
        <v>35</v>
      </c>
      <c r="CV12" s="2" t="n">
        <f aca="false">CU12+1</f>
        <v>36</v>
      </c>
    </row>
    <row r="13" customFormat="false" ht="12.75" hidden="false" customHeight="false" outlineLevel="0" collapsed="false">
      <c r="A13" s="9" t="s">
        <v>62</v>
      </c>
      <c r="C13" s="3" t="n">
        <v>0.07333</v>
      </c>
      <c r="BM13" s="2" t="n">
        <f aca="false">SUM(BM1:BX11)/12</f>
        <v>1.3</v>
      </c>
      <c r="BY13" s="2" t="n">
        <f aca="false">SUM(BY11:CJ11)/12</f>
        <v>3.7</v>
      </c>
      <c r="CK13" s="2" t="n">
        <f aca="false">SUM(CK11:CV11)/12</f>
        <v>5.75</v>
      </c>
    </row>
    <row r="15" customFormat="false" ht="12.75" hidden="false" customHeight="false" outlineLevel="0" collapsed="false">
      <c r="A15" s="9" t="s">
        <v>63</v>
      </c>
      <c r="C15" s="11" t="n">
        <v>25000000</v>
      </c>
    </row>
    <row r="16" customFormat="false" ht="12.75" hidden="false" customHeight="false" outlineLevel="0" collapsed="false">
      <c r="A16" s="9" t="s">
        <v>64</v>
      </c>
      <c r="C16" s="3" t="n">
        <v>0.085</v>
      </c>
    </row>
    <row r="18" customFormat="false" ht="12.75" hidden="false" customHeight="false" outlineLevel="0" collapsed="false">
      <c r="A18" s="9" t="s">
        <v>65</v>
      </c>
      <c r="C18" s="11" t="n">
        <v>15000000</v>
      </c>
    </row>
    <row r="19" customFormat="false" ht="12.75" hidden="false" customHeight="false" outlineLevel="0" collapsed="false">
      <c r="A19" s="9" t="s">
        <v>66</v>
      </c>
      <c r="C19" s="3" t="n">
        <v>0.09</v>
      </c>
    </row>
    <row r="21" customFormat="false" ht="12.75" hidden="false" customHeight="false" outlineLevel="0" collapsed="false">
      <c r="A21" s="9" t="s">
        <v>67</v>
      </c>
      <c r="C21" s="11" t="n">
        <v>15000000</v>
      </c>
    </row>
    <row r="22" customFormat="false" ht="12.75" hidden="false" customHeight="false" outlineLevel="0" collapsed="false">
      <c r="A22" s="9" t="s">
        <v>68</v>
      </c>
      <c r="C22" s="3" t="n">
        <v>0.09</v>
      </c>
    </row>
    <row r="24" customFormat="false" ht="12.75" hidden="false" customHeight="false" outlineLevel="0" collapsed="false">
      <c r="A24" s="9" t="s">
        <v>69</v>
      </c>
    </row>
    <row r="25" customFormat="false" ht="12.75" hidden="false" customHeight="false" outlineLevel="0" collapsed="false">
      <c r="A25" s="1" t="s">
        <v>70</v>
      </c>
    </row>
    <row r="27" customFormat="false" ht="12.75" hidden="false" customHeight="false" outlineLevel="0" collapsed="false">
      <c r="A27" s="1" t="s">
        <v>22</v>
      </c>
    </row>
    <row r="75" customFormat="false" ht="12.75" hidden="false" customHeight="false" outlineLevel="0" collapsed="false">
      <c r="B75" s="9" t="s">
        <v>28</v>
      </c>
      <c r="M75" s="9" t="s">
        <v>71</v>
      </c>
      <c r="S75" s="9" t="s">
        <v>72</v>
      </c>
      <c r="Y75" s="9" t="s">
        <v>73</v>
      </c>
      <c r="AE75" s="9" t="s">
        <v>74</v>
      </c>
      <c r="AN75" s="9" t="s">
        <v>75</v>
      </c>
    </row>
    <row r="76" customFormat="false" ht="12.75" hidden="false" customHeight="false" outlineLevel="0" collapsed="false">
      <c r="H76" s="12" t="s">
        <v>76</v>
      </c>
      <c r="I76" s="12"/>
      <c r="J76" s="12"/>
      <c r="L76" s="9" t="s">
        <v>29</v>
      </c>
      <c r="AH76" s="12" t="s">
        <v>77</v>
      </c>
      <c r="AJ76" s="12" t="s">
        <v>78</v>
      </c>
      <c r="AL76" s="12" t="s">
        <v>77</v>
      </c>
      <c r="AM76" s="12" t="s">
        <v>79</v>
      </c>
      <c r="AN76" s="12" t="s">
        <v>80</v>
      </c>
    </row>
    <row r="77" customFormat="false" ht="12.75" hidden="false" customHeight="false" outlineLevel="0" collapsed="false">
      <c r="A77" s="12" t="s">
        <v>30</v>
      </c>
      <c r="B77" s="12" t="s">
        <v>31</v>
      </c>
      <c r="C77" s="12" t="s">
        <v>32</v>
      </c>
      <c r="D77" s="12" t="s">
        <v>33</v>
      </c>
      <c r="E77" s="12" t="s">
        <v>81</v>
      </c>
      <c r="F77" s="12" t="s">
        <v>6</v>
      </c>
      <c r="G77" s="12" t="s">
        <v>82</v>
      </c>
      <c r="H77" s="12" t="s">
        <v>83</v>
      </c>
      <c r="I77" s="12" t="s">
        <v>18</v>
      </c>
      <c r="J77" s="12" t="s">
        <v>12</v>
      </c>
      <c r="K77" s="12" t="s">
        <v>84</v>
      </c>
      <c r="L77" s="9" t="s">
        <v>34</v>
      </c>
      <c r="M77" s="12" t="s">
        <v>31</v>
      </c>
      <c r="N77" s="12" t="s">
        <v>32</v>
      </c>
      <c r="O77" s="9" t="s">
        <v>85</v>
      </c>
      <c r="P77" s="9" t="s">
        <v>5</v>
      </c>
      <c r="R77" s="9" t="s">
        <v>79</v>
      </c>
      <c r="S77" s="12" t="s">
        <v>31</v>
      </c>
      <c r="T77" s="12" t="s">
        <v>32</v>
      </c>
      <c r="U77" s="9" t="s">
        <v>85</v>
      </c>
      <c r="V77" s="9" t="s">
        <v>5</v>
      </c>
      <c r="X77" s="9" t="s">
        <v>79</v>
      </c>
      <c r="Y77" s="12" t="s">
        <v>31</v>
      </c>
      <c r="Z77" s="12" t="s">
        <v>32</v>
      </c>
      <c r="AA77" s="9" t="s">
        <v>85</v>
      </c>
      <c r="AB77" s="9" t="s">
        <v>5</v>
      </c>
      <c r="AD77" s="9" t="s">
        <v>79</v>
      </c>
      <c r="AE77" s="12" t="s">
        <v>31</v>
      </c>
      <c r="AF77" s="12" t="s">
        <v>32</v>
      </c>
      <c r="AG77" s="12" t="s">
        <v>85</v>
      </c>
      <c r="AH77" s="12" t="s">
        <v>86</v>
      </c>
      <c r="AI77" s="9" t="s">
        <v>87</v>
      </c>
      <c r="AJ77" s="12" t="s">
        <v>87</v>
      </c>
      <c r="AK77" s="12" t="s">
        <v>82</v>
      </c>
      <c r="AL77" s="12" t="s">
        <v>88</v>
      </c>
      <c r="AM77" s="12" t="s">
        <v>89</v>
      </c>
      <c r="AN77" s="12" t="s">
        <v>6</v>
      </c>
      <c r="AO77" s="12" t="s">
        <v>79</v>
      </c>
    </row>
    <row r="78" customFormat="false" ht="12.75" hidden="false" customHeight="false" outlineLevel="0" collapsed="false">
      <c r="P78" s="9" t="s">
        <v>6</v>
      </c>
      <c r="Q78" s="9" t="s">
        <v>12</v>
      </c>
      <c r="R78" s="9" t="s">
        <v>6</v>
      </c>
      <c r="V78" s="9" t="s">
        <v>6</v>
      </c>
      <c r="W78" s="9" t="s">
        <v>12</v>
      </c>
      <c r="X78" s="9" t="s">
        <v>6</v>
      </c>
      <c r="AB78" s="9" t="s">
        <v>6</v>
      </c>
      <c r="AC78" s="9" t="s">
        <v>12</v>
      </c>
      <c r="AD78" s="9" t="s">
        <v>6</v>
      </c>
    </row>
    <row r="79" customFormat="false" ht="12.75" hidden="false" customHeight="false" outlineLevel="0" collapsed="false">
      <c r="A79" s="13" t="n">
        <v>0</v>
      </c>
      <c r="B79" s="14" t="n">
        <f aca="false">1/(1+$C$3)*B80</f>
        <v>0.057308553301168</v>
      </c>
      <c r="C79" s="14" t="n">
        <f aca="false">1/$C$3*(1-B79)</f>
        <v>9.42691446698832</v>
      </c>
      <c r="D79" s="15" t="n">
        <v>0</v>
      </c>
      <c r="E79" s="16" t="n">
        <f aca="false">C6+C7</f>
        <v>803243777.2732</v>
      </c>
      <c r="F79" s="16"/>
      <c r="G79" s="16"/>
      <c r="H79" s="16"/>
      <c r="I79" s="16"/>
      <c r="J79" s="16"/>
      <c r="K79" s="16"/>
      <c r="L79" s="16" t="n">
        <f aca="false">MAXA(0,+E79-$C$7)</f>
        <v>799243777.2732</v>
      </c>
      <c r="M79" s="14" t="n">
        <f aca="false">1/(1+$C$10)*M80</f>
        <v>0.127415147408848</v>
      </c>
      <c r="N79" s="14" t="n">
        <f aca="false">1/$C$10*(1-M79)</f>
        <v>12.2743684426945</v>
      </c>
      <c r="O79" s="16" t="n">
        <f aca="false">C9</f>
        <v>153230577</v>
      </c>
      <c r="P79" s="16"/>
      <c r="Q79" s="16"/>
      <c r="R79" s="16"/>
      <c r="S79" s="14" t="n">
        <f aca="false">1/(1+$C$13)*S80</f>
        <v>0.11967459129907</v>
      </c>
      <c r="T79" s="14" t="n">
        <f aca="false">1/$C$13*(1-S79)</f>
        <v>12.0049830724251</v>
      </c>
      <c r="U79" s="16" t="n">
        <f aca="false">C12</f>
        <v>299000640</v>
      </c>
      <c r="V79" s="16"/>
      <c r="W79" s="16"/>
      <c r="X79" s="16"/>
      <c r="Y79" s="14" t="n">
        <f aca="false">1/(1+$C$16)*Y80</f>
        <v>0.086518275511326</v>
      </c>
      <c r="Z79" s="14" t="n">
        <f aca="false">1/$C$16*(1-Y79)</f>
        <v>10.7468438175138</v>
      </c>
      <c r="AA79" s="16" t="n">
        <f aca="false">C15</f>
        <v>25000000</v>
      </c>
      <c r="AB79" s="16"/>
      <c r="AC79" s="16"/>
      <c r="AD79" s="16"/>
      <c r="AE79" s="14" t="n">
        <f aca="false">1/(1+$C$19)*AE80</f>
        <v>0.0753711361280432</v>
      </c>
      <c r="AF79" s="14" t="n">
        <f aca="false">1/$C$19*(1-AE79)</f>
        <v>10.2736540430217</v>
      </c>
      <c r="AG79" s="16" t="n">
        <f aca="false">C18</f>
        <v>15000000</v>
      </c>
      <c r="AH79" s="16"/>
      <c r="AI79" s="16"/>
      <c r="AJ79" s="16"/>
      <c r="AK79" s="16"/>
      <c r="AL79" s="16" t="n">
        <v>0</v>
      </c>
      <c r="AM79" s="16"/>
      <c r="AN79" s="16" t="n">
        <f aca="false">-C7</f>
        <v>-4000000</v>
      </c>
      <c r="AO79" s="16"/>
    </row>
    <row r="80" customFormat="false" ht="12.75" hidden="false" customHeight="false" outlineLevel="0" collapsed="false">
      <c r="A80" s="13" t="n">
        <f aca="false">A79+1</f>
        <v>1</v>
      </c>
      <c r="B80" s="14" t="n">
        <f aca="false">1/(1+$C$3)*B81</f>
        <v>0.0630394086312848</v>
      </c>
      <c r="C80" s="14" t="n">
        <f aca="false">1/$C$3*(1-B80)</f>
        <v>9.36960591368715</v>
      </c>
      <c r="D80" s="15" t="n">
        <f aca="false">0.012*C4</f>
        <v>0.012</v>
      </c>
      <c r="E80" s="16" t="n">
        <f aca="false">E79-H80-G80</f>
        <v>784812306.776718</v>
      </c>
      <c r="F80" s="16" t="n">
        <f aca="false">E79/C79</f>
        <v>85207496.0567472</v>
      </c>
      <c r="G80" s="16" t="n">
        <f aca="false">(E79-H80)*D80</f>
        <v>9532133.28068888</v>
      </c>
      <c r="H80" s="16" t="n">
        <f aca="false">F80-K80</f>
        <v>8899337.21579315</v>
      </c>
      <c r="I80" s="16" t="n">
        <f aca="false">E79*$C$5</f>
        <v>4016218.886366</v>
      </c>
      <c r="J80" s="16" t="n">
        <f aca="false">E79*C$3</f>
        <v>80324377.72732</v>
      </c>
      <c r="K80" s="16" t="n">
        <f aca="false">J80-I80</f>
        <v>76308158.840954</v>
      </c>
      <c r="L80" s="16" t="n">
        <f aca="false">MAXA(0,+E80-$C$7)</f>
        <v>780812306.776718</v>
      </c>
      <c r="M80" s="14" t="n">
        <f aca="false">1/(1+$C$10)*M81</f>
        <v>0.136473090238142</v>
      </c>
      <c r="N80" s="14" t="n">
        <f aca="false">1/$C$10*(1-M80)</f>
        <v>12.1469532952857</v>
      </c>
      <c r="O80" s="16" t="n">
        <f aca="false">O79-P80</f>
        <v>133449106.503518</v>
      </c>
      <c r="P80" s="16" t="n">
        <f aca="false">MAXA(0,MINA(G80+H80+AH80,O79))</f>
        <v>19781470.496482</v>
      </c>
      <c r="Q80" s="16" t="n">
        <f aca="false">O79*$C$10</f>
        <v>10893161.71893</v>
      </c>
      <c r="R80" s="16" t="n">
        <f aca="false">P80+Q80</f>
        <v>30674632.215412</v>
      </c>
      <c r="S80" s="14" t="n">
        <f aca="false">1/(1+$C$13)*S81</f>
        <v>0.128450329079031</v>
      </c>
      <c r="T80" s="14" t="n">
        <f aca="false">1/$C$13*(1-S80)</f>
        <v>11.885308481126</v>
      </c>
      <c r="U80" s="16" t="n">
        <f aca="false">U79-V80</f>
        <v>299000640</v>
      </c>
      <c r="V80" s="16" t="n">
        <f aca="false">MAXA(0,MINA(G80+H80+AH80-P80,U79))</f>
        <v>0</v>
      </c>
      <c r="W80" s="16" t="n">
        <f aca="false">U79*$C$13</f>
        <v>21925716.9312</v>
      </c>
      <c r="X80" s="16" t="n">
        <f aca="false">V80+W80</f>
        <v>21925716.9312</v>
      </c>
      <c r="Y80" s="14" t="n">
        <f aca="false">1/(1+$C$16)*Y81</f>
        <v>0.0938723289297887</v>
      </c>
      <c r="Z80" s="14" t="n">
        <f aca="false">1/$C$16*(1-Y80)</f>
        <v>10.6603255420025</v>
      </c>
      <c r="AA80" s="16" t="n">
        <f aca="false">AA79-AB80</f>
        <v>25000000</v>
      </c>
      <c r="AB80" s="16" t="n">
        <f aca="false">MAXA(0,MINA(+G80+H80+AH80-P80-V80,AA79))</f>
        <v>0</v>
      </c>
      <c r="AC80" s="16" t="n">
        <f aca="false">AA79*$C$16</f>
        <v>2125000</v>
      </c>
      <c r="AD80" s="16" t="n">
        <f aca="false">AB80+AC80</f>
        <v>2125000</v>
      </c>
      <c r="AE80" s="14" t="n">
        <f aca="false">1/(1+$C$19)*AE81</f>
        <v>0.0821545383795671</v>
      </c>
      <c r="AF80" s="14" t="n">
        <f aca="false">1/$C$19*(1-AE80)</f>
        <v>10.1982829068937</v>
      </c>
      <c r="AG80" s="16" t="n">
        <f aca="false">AG79+AI80</f>
        <v>16350000</v>
      </c>
      <c r="AH80" s="16" t="n">
        <f aca="false">AG79*$C$19</f>
        <v>1350000</v>
      </c>
      <c r="AI80" s="16" t="n">
        <f aca="false">AG79*$C$19-AL80-AK80+AN80-AN80</f>
        <v>1350000</v>
      </c>
      <c r="AJ80" s="16" t="n">
        <f aca="false">AI80+AJ79</f>
        <v>1350000</v>
      </c>
      <c r="AK80" s="16" t="n">
        <f aca="false">IF(AA80&gt;0,0,MINA(G80+H80-AB80,AG79))</f>
        <v>0</v>
      </c>
      <c r="AL80" s="16" t="n">
        <f aca="false">IF(AA80&gt;0,0,+AG79*$C$19)</f>
        <v>0</v>
      </c>
      <c r="AM80" s="16" t="n">
        <f aca="false">AK80+AL80</f>
        <v>0</v>
      </c>
      <c r="AN80" s="16"/>
      <c r="AO80" s="16" t="n">
        <f aca="false">G80+H80+K80-R80-X80-AD80-AM80</f>
        <v>40014280.190824</v>
      </c>
    </row>
    <row r="81" customFormat="false" ht="12.75" hidden="false" customHeight="false" outlineLevel="0" collapsed="false">
      <c r="A81" s="13" t="n">
        <f aca="false">A80+1</f>
        <v>2</v>
      </c>
      <c r="B81" s="14" t="n">
        <f aca="false">1/(1+$C$3)*B82</f>
        <v>0.0693433494944133</v>
      </c>
      <c r="C81" s="14" t="n">
        <f aca="false">1/$C$3*(1-B81)</f>
        <v>9.30656650505587</v>
      </c>
      <c r="D81" s="15" t="n">
        <f aca="false">0.036*C4</f>
        <v>0.036</v>
      </c>
      <c r="E81" s="16" t="n">
        <f aca="false">E80-H81-G81</f>
        <v>747686082.507481</v>
      </c>
      <c r="F81" s="16" t="n">
        <f aca="false">E80/C80</f>
        <v>83761506.5144054</v>
      </c>
      <c r="G81" s="16" t="n">
        <f aca="false">(E80-H81)*D81</f>
        <v>27921886.8986196</v>
      </c>
      <c r="H81" s="16" t="n">
        <f aca="false">F81-K81</f>
        <v>9204337.37061723</v>
      </c>
      <c r="I81" s="16" t="n">
        <f aca="false">E80*$C$5</f>
        <v>3924061.53388359</v>
      </c>
      <c r="J81" s="16" t="n">
        <f aca="false">E80*C$3</f>
        <v>78481230.6776718</v>
      </c>
      <c r="K81" s="16" t="n">
        <f aca="false">J81-I81</f>
        <v>74557169.1437882</v>
      </c>
      <c r="L81" s="16" t="n">
        <f aca="false">MAXA(0,+E81-$C$7)</f>
        <v>743686082.507481</v>
      </c>
      <c r="M81" s="14" t="n">
        <f aca="false">1/(1+$C$10)*M82</f>
        <v>0.146174962223172</v>
      </c>
      <c r="N81" s="14" t="n">
        <f aca="false">1/$C$10*(1-M81)</f>
        <v>12.0104802050475</v>
      </c>
      <c r="O81" s="16" t="n">
        <f aca="false">O80-P81</f>
        <v>94851382.2342811</v>
      </c>
      <c r="P81" s="16" t="n">
        <f aca="false">MAXA(0,MINA(G81+H81+AH81,O80))</f>
        <v>38597724.2692369</v>
      </c>
      <c r="Q81" s="16" t="n">
        <f aca="false">O80*$C$10</f>
        <v>9486896.98133509</v>
      </c>
      <c r="R81" s="16" t="n">
        <f aca="false">P81+Q81</f>
        <v>48084621.2505719</v>
      </c>
      <c r="S81" s="14" t="n">
        <f aca="false">1/(1+$C$13)*S82</f>
        <v>0.137869591710396</v>
      </c>
      <c r="T81" s="14" t="n">
        <f aca="false">1/$C$13*(1-S81)</f>
        <v>11.756858152047</v>
      </c>
      <c r="U81" s="16" t="n">
        <f aca="false">U80-V81</f>
        <v>299000640</v>
      </c>
      <c r="V81" s="16" t="n">
        <f aca="false">MAXA(0,MINA(G81+H81+AH81-P81,U80))</f>
        <v>0</v>
      </c>
      <c r="W81" s="16" t="n">
        <f aca="false">U80*$C$13</f>
        <v>21925716.9312</v>
      </c>
      <c r="X81" s="16" t="n">
        <f aca="false">V81+W81</f>
        <v>21925716.9312</v>
      </c>
      <c r="Y81" s="14" t="n">
        <f aca="false">1/(1+$C$16)*Y82</f>
        <v>0.101851476888821</v>
      </c>
      <c r="Z81" s="14" t="n">
        <f aca="false">1/$C$16*(1-Y81)</f>
        <v>10.5664532130727</v>
      </c>
      <c r="AA81" s="16" t="n">
        <f aca="false">AA80-AB81</f>
        <v>25000000</v>
      </c>
      <c r="AB81" s="16" t="n">
        <f aca="false">MAXA(0,MINA(+G81+H81+AH81-P81-V81,AA80))</f>
        <v>0</v>
      </c>
      <c r="AC81" s="16" t="n">
        <f aca="false">AA80*$C$16</f>
        <v>2125000</v>
      </c>
      <c r="AD81" s="16" t="n">
        <f aca="false">AB81+AC81</f>
        <v>2125000</v>
      </c>
      <c r="AE81" s="14" t="n">
        <f aca="false">1/(1+$C$19)*AE82</f>
        <v>0.0895484468337281</v>
      </c>
      <c r="AF81" s="14" t="n">
        <f aca="false">1/$C$19*(1-AE81)</f>
        <v>10.1161283685141</v>
      </c>
      <c r="AG81" s="16" t="n">
        <f aca="false">AG80+AI81</f>
        <v>17821500</v>
      </c>
      <c r="AH81" s="16" t="n">
        <f aca="false">AG80*$C$19</f>
        <v>1471500</v>
      </c>
      <c r="AI81" s="16" t="n">
        <f aca="false">AG80*$C$19-AL81-AK81+AN81-AN81</f>
        <v>1471500</v>
      </c>
      <c r="AJ81" s="16" t="n">
        <f aca="false">AI81+AJ80</f>
        <v>2821500</v>
      </c>
      <c r="AK81" s="16" t="n">
        <f aca="false">IF(AA81&gt;0,0,MINA(G81+H81-AB81,AG80))</f>
        <v>0</v>
      </c>
      <c r="AL81" s="16" t="n">
        <f aca="false">IF(AA81&gt;0,0,+AG80*$C$19)</f>
        <v>0</v>
      </c>
      <c r="AM81" s="16" t="n">
        <f aca="false">AK81+AL81</f>
        <v>0</v>
      </c>
      <c r="AN81" s="16"/>
      <c r="AO81" s="16" t="n">
        <f aca="false">G81+H81+K81-R81-X81-AD81-AM81</f>
        <v>39548055.2312531</v>
      </c>
    </row>
    <row r="82" customFormat="false" ht="12.75" hidden="false" customHeight="false" outlineLevel="0" collapsed="false">
      <c r="A82" s="13" t="n">
        <f aca="false">A81+1</f>
        <v>3</v>
      </c>
      <c r="B82" s="14" t="n">
        <f aca="false">1/(1+$C$3)*B83</f>
        <v>0.0762776844438547</v>
      </c>
      <c r="C82" s="14" t="n">
        <f aca="false">1/$C$3*(1-B82)</f>
        <v>9.23722315556145</v>
      </c>
      <c r="D82" s="15" t="n">
        <f aca="false">0.0575*C4</f>
        <v>0.0575</v>
      </c>
      <c r="E82" s="16" t="n">
        <f aca="false">E81-H82-G82</f>
        <v>695919976.843185</v>
      </c>
      <c r="F82" s="16" t="n">
        <f aca="false">E81/C81</f>
        <v>80339627.0903232</v>
      </c>
      <c r="G82" s="16" t="n">
        <f aca="false">(E81-H82)*D82</f>
        <v>42456656.4121837</v>
      </c>
      <c r="H82" s="16" t="n">
        <f aca="false">F82-K82</f>
        <v>9309449.25211254</v>
      </c>
      <c r="I82" s="16" t="n">
        <f aca="false">E81*$C$5</f>
        <v>3738430.41253741</v>
      </c>
      <c r="J82" s="16" t="n">
        <f aca="false">E81*C$3</f>
        <v>74768608.2507481</v>
      </c>
      <c r="K82" s="16" t="n">
        <f aca="false">J82-I82</f>
        <v>71030177.8382107</v>
      </c>
      <c r="L82" s="16" t="n">
        <f aca="false">MAXA(0,+E82-$C$7)</f>
        <v>691919976.843185</v>
      </c>
      <c r="M82" s="14" t="n">
        <f aca="false">1/(1+$C$10)*M83</f>
        <v>0.156566540287617</v>
      </c>
      <c r="N82" s="14" t="n">
        <f aca="false">1/$C$10*(1-M82)</f>
        <v>11.8643052428243</v>
      </c>
      <c r="O82" s="16" t="n">
        <f aca="false">O81-P82</f>
        <v>41481341.5699849</v>
      </c>
      <c r="P82" s="16" t="n">
        <f aca="false">MAXA(0,MINA(G82+H82+AH82,O81))</f>
        <v>53370040.6642962</v>
      </c>
      <c r="Q82" s="16" t="n">
        <f aca="false">O81*$C$10</f>
        <v>6742984.76303505</v>
      </c>
      <c r="R82" s="16" t="n">
        <f aca="false">P82+Q82</f>
        <v>60113025.4273313</v>
      </c>
      <c r="S82" s="14" t="n">
        <f aca="false">1/(1+$C$13)*S83</f>
        <v>0.14797956887052</v>
      </c>
      <c r="T82" s="14" t="n">
        <f aca="false">1/$C$13*(1-S82)</f>
        <v>11.6189885603366</v>
      </c>
      <c r="U82" s="16" t="n">
        <f aca="false">U81-V82</f>
        <v>299000640</v>
      </c>
      <c r="V82" s="16" t="n">
        <f aca="false">MAXA(0,MINA(G82+H82+AH82-P82,U81))</f>
        <v>0</v>
      </c>
      <c r="W82" s="16" t="n">
        <f aca="false">U81*$C$13</f>
        <v>21925716.9312</v>
      </c>
      <c r="X82" s="16" t="n">
        <f aca="false">V82+W82</f>
        <v>21925716.9312</v>
      </c>
      <c r="Y82" s="14" t="n">
        <f aca="false">1/(1+$C$16)*Y83</f>
        <v>0.110508852424371</v>
      </c>
      <c r="Z82" s="14" t="n">
        <f aca="false">1/$C$16*(1-Y82)</f>
        <v>10.4646017361839</v>
      </c>
      <c r="AA82" s="16" t="n">
        <f aca="false">AA81-AB82</f>
        <v>25000000</v>
      </c>
      <c r="AB82" s="16" t="n">
        <f aca="false">MAXA(0,MINA(+G82+H82+AH82-P82-V82,AA81))</f>
        <v>0</v>
      </c>
      <c r="AC82" s="16" t="n">
        <f aca="false">AA81*$C$16</f>
        <v>2125000</v>
      </c>
      <c r="AD82" s="16" t="n">
        <f aca="false">AB82+AC82</f>
        <v>2125000</v>
      </c>
      <c r="AE82" s="14" t="n">
        <f aca="false">1/(1+$C$19)*AE83</f>
        <v>0.0976078070487636</v>
      </c>
      <c r="AF82" s="14" t="n">
        <f aca="false">1/$C$19*(1-AE82)</f>
        <v>10.0265799216804</v>
      </c>
      <c r="AG82" s="16" t="n">
        <f aca="false">AG81+AI82</f>
        <v>19425435</v>
      </c>
      <c r="AH82" s="16" t="n">
        <f aca="false">AG81*$C$19</f>
        <v>1603935</v>
      </c>
      <c r="AI82" s="16" t="n">
        <f aca="false">AG81*$C$19-AL82-AK82+AN82-AN82</f>
        <v>1603935</v>
      </c>
      <c r="AJ82" s="16" t="n">
        <f aca="false">AI82+AJ81</f>
        <v>4425435</v>
      </c>
      <c r="AK82" s="16" t="n">
        <f aca="false">IF(AA82&gt;0,0,MINA(G82+H82-AB82,AG81))</f>
        <v>0</v>
      </c>
      <c r="AL82" s="16" t="n">
        <f aca="false">IF(AA82&gt;0,0,+AG81*$C$19)</f>
        <v>0</v>
      </c>
      <c r="AM82" s="16" t="n">
        <f aca="false">AK82+AL82</f>
        <v>0</v>
      </c>
      <c r="AN82" s="16"/>
      <c r="AO82" s="16" t="n">
        <f aca="false">G82+H82+K82-R82-X82-AD82-AM82</f>
        <v>38632541.1439757</v>
      </c>
    </row>
    <row r="83" customFormat="false" ht="12.75" hidden="false" customHeight="false" outlineLevel="0" collapsed="false">
      <c r="A83" s="13" t="n">
        <f aca="false">A82+1</f>
        <v>4</v>
      </c>
      <c r="B83" s="14" t="n">
        <f aca="false">1/(1+$C$3)*B84</f>
        <v>0.0839054528882401</v>
      </c>
      <c r="C83" s="14" t="n">
        <f aca="false">1/$C$3*(1-B83)</f>
        <v>9.1609454711176</v>
      </c>
      <c r="D83" s="15" t="n">
        <f aca="false">0.06*C4</f>
        <v>0.06</v>
      </c>
      <c r="E83" s="16" t="n">
        <f aca="false">E82-H83-G83</f>
        <v>645492095.613111</v>
      </c>
      <c r="F83" s="16" t="n">
        <f aca="false">E82/C82</f>
        <v>75338655.9059356</v>
      </c>
      <c r="G83" s="16" t="n">
        <f aca="false">(E82-H83)*D83</f>
        <v>41201623.1242411</v>
      </c>
      <c r="H83" s="16" t="n">
        <f aca="false">F83-K83</f>
        <v>9226258.10583302</v>
      </c>
      <c r="I83" s="16" t="n">
        <f aca="false">E82*$C$5</f>
        <v>3479599.88421593</v>
      </c>
      <c r="J83" s="16" t="n">
        <f aca="false">E82*C$3</f>
        <v>69591997.6843185</v>
      </c>
      <c r="K83" s="16" t="n">
        <f aca="false">J83-I83</f>
        <v>66112397.8001026</v>
      </c>
      <c r="L83" s="16" t="n">
        <f aca="false">MAXA(0,+E83-$C$7)</f>
        <v>641492095.613111</v>
      </c>
      <c r="M83" s="14" t="n">
        <f aca="false">1/(1+$C$10)*M84</f>
        <v>0.167696855636664</v>
      </c>
      <c r="N83" s="14" t="n">
        <f aca="false">1/$C$10*(1-M83)</f>
        <v>11.7077387025367</v>
      </c>
      <c r="O83" s="16" t="n">
        <f aca="false">O82-P83</f>
        <v>0</v>
      </c>
      <c r="P83" s="16" t="n">
        <f aca="false">MAXA(0,MINA(G83+H83+AH83,O82))</f>
        <v>41481341.5699849</v>
      </c>
      <c r="Q83" s="16" t="n">
        <f aca="false">O82*$C$10</f>
        <v>2948908.57221023</v>
      </c>
      <c r="R83" s="16" t="n">
        <f aca="false">P83+Q83</f>
        <v>44430250.1421951</v>
      </c>
      <c r="S83" s="14" t="n">
        <f aca="false">1/(1+$C$13)*S84</f>
        <v>0.158830910655795</v>
      </c>
      <c r="T83" s="14" t="n">
        <f aca="false">1/$C$13*(1-S83)</f>
        <v>11.471008991466</v>
      </c>
      <c r="U83" s="16" t="n">
        <f aca="false">U82-V83</f>
        <v>288305811.189911</v>
      </c>
      <c r="V83" s="16" t="n">
        <f aca="false">MAXA(0,MINA(G83+H83+AH83-P83,U82))</f>
        <v>10694828.8100892</v>
      </c>
      <c r="W83" s="16" t="n">
        <f aca="false">U82*$C$13</f>
        <v>21925716.9312</v>
      </c>
      <c r="X83" s="16" t="n">
        <f aca="false">V83+W83</f>
        <v>32620545.7412892</v>
      </c>
      <c r="Y83" s="14" t="n">
        <f aca="false">1/(1+$C$16)*Y84</f>
        <v>0.119902104880442</v>
      </c>
      <c r="Z83" s="14" t="n">
        <f aca="false">1/$C$16*(1-Y83)</f>
        <v>10.3540928837595</v>
      </c>
      <c r="AA83" s="16" t="n">
        <f aca="false">AA82-AB83</f>
        <v>25000000</v>
      </c>
      <c r="AB83" s="16" t="n">
        <f aca="false">MAXA(0,MINA(+G83+H83+AH83-P83-V83,AA82))</f>
        <v>0</v>
      </c>
      <c r="AC83" s="16" t="n">
        <f aca="false">AA82*$C$16</f>
        <v>2125000</v>
      </c>
      <c r="AD83" s="16" t="n">
        <f aca="false">AB83+AC83</f>
        <v>2125000</v>
      </c>
      <c r="AE83" s="14" t="n">
        <f aca="false">1/(1+$C$19)*AE84</f>
        <v>0.106392509683152</v>
      </c>
      <c r="AF83" s="14" t="n">
        <f aca="false">1/$C$19*(1-AE83)</f>
        <v>9.92897211463164</v>
      </c>
      <c r="AG83" s="16" t="n">
        <f aca="false">AG82+AI83</f>
        <v>21173724.15</v>
      </c>
      <c r="AH83" s="16" t="n">
        <f aca="false">AG82*$C$19</f>
        <v>1748289.15</v>
      </c>
      <c r="AI83" s="16" t="n">
        <f aca="false">AG82*$C$19-AL83-AK83+AN83-AN83</f>
        <v>1748289.15</v>
      </c>
      <c r="AJ83" s="16" t="n">
        <f aca="false">AI83+AJ82</f>
        <v>6173724.15</v>
      </c>
      <c r="AK83" s="16" t="n">
        <f aca="false">IF(AA83&gt;0,0,MINA(G83+H83-AB83,AG82))</f>
        <v>0</v>
      </c>
      <c r="AL83" s="16" t="n">
        <f aca="false">IF(AA83&gt;0,0,+AG82*$C$19)</f>
        <v>0</v>
      </c>
      <c r="AM83" s="16" t="n">
        <f aca="false">AK83+AL83</f>
        <v>0</v>
      </c>
      <c r="AN83" s="16"/>
      <c r="AO83" s="16" t="n">
        <f aca="false">G83+H83+K83-R83-X83-AD83-AM83</f>
        <v>37364483.1466924</v>
      </c>
    </row>
    <row r="84" customFormat="false" ht="12.75" hidden="false" customHeight="false" outlineLevel="0" collapsed="false">
      <c r="A84" s="13" t="n">
        <f aca="false">A83+1</f>
        <v>5</v>
      </c>
      <c r="B84" s="14" t="n">
        <f aca="false">1/(1+$C$3)*B85</f>
        <v>0.0922959981770641</v>
      </c>
      <c r="C84" s="14" t="n">
        <f aca="false">1/$C$3*(1-B84)</f>
        <v>9.07704001822936</v>
      </c>
      <c r="D84" s="15" t="n">
        <f aca="false">D83</f>
        <v>0.06</v>
      </c>
      <c r="E84" s="16" t="n">
        <f aca="false">E83-H84-G84</f>
        <v>598171395.247897</v>
      </c>
      <c r="F84" s="16" t="n">
        <f aca="false">E83/C83</f>
        <v>70461296.5602953</v>
      </c>
      <c r="G84" s="16" t="n">
        <f aca="false">(E83-H84)*D84</f>
        <v>38181152.8881637</v>
      </c>
      <c r="H84" s="16" t="n">
        <f aca="false">F84-K84</f>
        <v>9139547.47704972</v>
      </c>
      <c r="I84" s="16" t="n">
        <f aca="false">E83*$C$5</f>
        <v>3227460.47806555</v>
      </c>
      <c r="J84" s="16" t="n">
        <f aca="false">E83*C$3</f>
        <v>64549209.5613111</v>
      </c>
      <c r="K84" s="16" t="n">
        <f aca="false">J84-I84</f>
        <v>61321749.0832455</v>
      </c>
      <c r="L84" s="16" t="n">
        <f aca="false">MAXA(0,+E84-$C$7)</f>
        <v>594171395.247897</v>
      </c>
      <c r="M84" s="14" t="n">
        <f aca="false">1/(1+$C$10)*M85</f>
        <v>0.179618425103875</v>
      </c>
      <c r="N84" s="14" t="n">
        <f aca="false">1/$C$10*(1-M84)</f>
        <v>11.5400418469001</v>
      </c>
      <c r="O84" s="16" t="n">
        <f aca="false">O83-P84</f>
        <v>0</v>
      </c>
      <c r="P84" s="16" t="n">
        <f aca="false">MAXA(0,MINA(G84+H84+AH84,O83))</f>
        <v>0</v>
      </c>
      <c r="Q84" s="16" t="n">
        <f aca="false">O83*$C$10</f>
        <v>0</v>
      </c>
      <c r="R84" s="16" t="n">
        <f aca="false">P84+Q84</f>
        <v>0</v>
      </c>
      <c r="S84" s="14" t="n">
        <f aca="false">1/(1+$C$13)*S85</f>
        <v>0.170477981334184</v>
      </c>
      <c r="T84" s="14" t="n">
        <f aca="false">1/$C$13*(1-S84)</f>
        <v>11.3121780808103</v>
      </c>
      <c r="U84" s="16" t="n">
        <f aca="false">U83-V84</f>
        <v>239079475.651197</v>
      </c>
      <c r="V84" s="16" t="n">
        <f aca="false">MAXA(0,MINA(G84+H84+AH84-P84,U83))</f>
        <v>49226335.5387134</v>
      </c>
      <c r="W84" s="16" t="n">
        <f aca="false">U83*$C$13</f>
        <v>21141465.1345562</v>
      </c>
      <c r="X84" s="16" t="n">
        <f aca="false">V84+W84</f>
        <v>70367800.6732695</v>
      </c>
      <c r="Y84" s="14" t="n">
        <f aca="false">1/(1+$C$16)*Y85</f>
        <v>0.13009378379528</v>
      </c>
      <c r="Z84" s="14" t="n">
        <f aca="false">1/$C$16*(1-Y84)</f>
        <v>10.2341907788791</v>
      </c>
      <c r="AA84" s="16" t="n">
        <f aca="false">AA83-AB84</f>
        <v>25000000</v>
      </c>
      <c r="AB84" s="16" t="n">
        <f aca="false">MAXA(0,MINA(+G84+H84+AH84-P84-V84,AA83))</f>
        <v>0</v>
      </c>
      <c r="AC84" s="16" t="n">
        <f aca="false">AA83*$C$16</f>
        <v>2125000</v>
      </c>
      <c r="AD84" s="16" t="n">
        <f aca="false">AB84+AC84</f>
        <v>2125000</v>
      </c>
      <c r="AE84" s="14" t="n">
        <f aca="false">1/(1+$C$19)*AE85</f>
        <v>0.115967835554636</v>
      </c>
      <c r="AF84" s="14" t="n">
        <f aca="false">1/$C$19*(1-AE84)</f>
        <v>9.82257960494849</v>
      </c>
      <c r="AG84" s="16" t="n">
        <f aca="false">AG83+AI84</f>
        <v>23079359.3235</v>
      </c>
      <c r="AH84" s="16" t="n">
        <f aca="false">AG83*$C$19</f>
        <v>1905635.1735</v>
      </c>
      <c r="AI84" s="16" t="n">
        <f aca="false">AG83*$C$19-AL84-AK84+AN84-AN84</f>
        <v>1905635.1735</v>
      </c>
      <c r="AJ84" s="16" t="n">
        <f aca="false">AI84+AJ83</f>
        <v>8079359.3235</v>
      </c>
      <c r="AK84" s="16" t="n">
        <f aca="false">IF(AA84&gt;0,0,MINA(G84+H84-AB84,AG83))</f>
        <v>0</v>
      </c>
      <c r="AL84" s="16" t="n">
        <f aca="false">IF(AA84&gt;0,0,+AG83*$C$19)</f>
        <v>0</v>
      </c>
      <c r="AM84" s="16" t="n">
        <f aca="false">AK84+AL84</f>
        <v>0</v>
      </c>
      <c r="AN84" s="16"/>
      <c r="AO84" s="16" t="n">
        <f aca="false">G84+H84+K84-R84-X84-AD84-AM84</f>
        <v>36149648.7751894</v>
      </c>
    </row>
    <row r="85" customFormat="false" ht="12.75" hidden="false" customHeight="false" outlineLevel="0" collapsed="false">
      <c r="A85" s="13" t="n">
        <f aca="false">A84+1</f>
        <v>6</v>
      </c>
      <c r="B85" s="14" t="n">
        <f aca="false">1/(1+$C$3)*B86</f>
        <v>0.101525597994771</v>
      </c>
      <c r="C85" s="14" t="n">
        <f aca="false">1/$C$3*(1-B85)</f>
        <v>8.9847440200523</v>
      </c>
      <c r="D85" s="15" t="n">
        <f aca="false">D84</f>
        <v>0.06</v>
      </c>
      <c r="E85" s="16" t="n">
        <f aca="false">E84-H85-G85</f>
        <v>553752391.042206</v>
      </c>
      <c r="F85" s="16" t="n">
        <f aca="false">E84/C84</f>
        <v>65899389.4536759</v>
      </c>
      <c r="G85" s="16" t="n">
        <f aca="false">(E84-H85)*D85</f>
        <v>35345897.3005663</v>
      </c>
      <c r="H85" s="16" t="n">
        <f aca="false">F85-K85</f>
        <v>9073106.9051256</v>
      </c>
      <c r="I85" s="16" t="n">
        <f aca="false">E84*$C$5</f>
        <v>2990856.97623949</v>
      </c>
      <c r="J85" s="16" t="n">
        <f aca="false">E84*C$3</f>
        <v>59817139.5247897</v>
      </c>
      <c r="K85" s="16" t="n">
        <f aca="false">J85-I85</f>
        <v>56826282.5485503</v>
      </c>
      <c r="L85" s="16" t="n">
        <f aca="false">MAXA(0,+E85-$C$7)</f>
        <v>549752391.042206</v>
      </c>
      <c r="M85" s="14" t="n">
        <f aca="false">1/(1+$C$10)*M86</f>
        <v>0.192387498944509</v>
      </c>
      <c r="N85" s="14" t="n">
        <f aca="false">1/$C$10*(1-M85)</f>
        <v>11.3604234217962</v>
      </c>
      <c r="O85" s="16" t="n">
        <f aca="false">O84-P85</f>
        <v>0</v>
      </c>
      <c r="P85" s="16" t="n">
        <f aca="false">MAXA(0,MINA(G85+H85+AH85,O84))</f>
        <v>0</v>
      </c>
      <c r="Q85" s="16" t="n">
        <f aca="false">O84*$C$10</f>
        <v>0</v>
      </c>
      <c r="R85" s="16" t="n">
        <f aca="false">P85+Q85</f>
        <v>0</v>
      </c>
      <c r="S85" s="14" t="n">
        <f aca="false">1/(1+$C$13)*S86</f>
        <v>0.18297913170542</v>
      </c>
      <c r="T85" s="14" t="n">
        <f aca="false">1/$C$13*(1-S85)</f>
        <v>11.1417000994761</v>
      </c>
      <c r="U85" s="16" t="n">
        <f aca="false">U84-V85</f>
        <v>192583329.10639</v>
      </c>
      <c r="V85" s="16" t="n">
        <f aca="false">MAXA(0,MINA(G85+H85+AH85-P85,U84))</f>
        <v>46496146.5448069</v>
      </c>
      <c r="W85" s="16" t="n">
        <f aca="false">U84*$C$13</f>
        <v>17531697.9495023</v>
      </c>
      <c r="X85" s="16" t="n">
        <f aca="false">V85+W85</f>
        <v>64027844.4943092</v>
      </c>
      <c r="Y85" s="14" t="n">
        <f aca="false">1/(1+$C$16)*Y86</f>
        <v>0.141151755417878</v>
      </c>
      <c r="Z85" s="14" t="n">
        <f aca="false">1/$C$16*(1-Y85)</f>
        <v>10.1040969950838</v>
      </c>
      <c r="AA85" s="16" t="n">
        <f aca="false">AA84-AB85</f>
        <v>25000000</v>
      </c>
      <c r="AB85" s="16" t="n">
        <f aca="false">MAXA(0,MINA(+G85+H85+AH85-P85-V85,AA84))</f>
        <v>0</v>
      </c>
      <c r="AC85" s="16" t="n">
        <f aca="false">AA84*$C$16</f>
        <v>2125000</v>
      </c>
      <c r="AD85" s="16" t="n">
        <f aca="false">AB85+AC85</f>
        <v>2125000</v>
      </c>
      <c r="AE85" s="14" t="n">
        <f aca="false">1/(1+$C$19)*AE86</f>
        <v>0.126404940754553</v>
      </c>
      <c r="AF85" s="14" t="n">
        <f aca="false">1/$C$19*(1-AE85)</f>
        <v>9.70661176939385</v>
      </c>
      <c r="AG85" s="16" t="n">
        <f aca="false">AG84+AI85</f>
        <v>25156501.662615</v>
      </c>
      <c r="AH85" s="16" t="n">
        <f aca="false">AG84*$C$19</f>
        <v>2077142.339115</v>
      </c>
      <c r="AI85" s="16" t="n">
        <f aca="false">AG84*$C$19-AL85-AK85+AN85-AN85</f>
        <v>2077142.339115</v>
      </c>
      <c r="AJ85" s="16" t="n">
        <f aca="false">AI85+AJ84</f>
        <v>10156501.662615</v>
      </c>
      <c r="AK85" s="16" t="n">
        <f aca="false">IF(AA85&gt;0,0,MINA(G85+H85-AB85,AG84))</f>
        <v>0</v>
      </c>
      <c r="AL85" s="16" t="n">
        <f aca="false">IF(AA85&gt;0,0,+AG84*$C$19)</f>
        <v>0</v>
      </c>
      <c r="AM85" s="16" t="n">
        <f aca="false">AK85+AL85</f>
        <v>0</v>
      </c>
      <c r="AN85" s="16"/>
      <c r="AO85" s="16" t="n">
        <f aca="false">G85+H85+K85-R85-X85-AD85-AM85</f>
        <v>35092442.2599329</v>
      </c>
    </row>
    <row r="86" customFormat="false" ht="12.75" hidden="false" customHeight="false" outlineLevel="0" collapsed="false">
      <c r="A86" s="13" t="n">
        <f aca="false">A85+1</f>
        <v>7</v>
      </c>
      <c r="B86" s="14" t="n">
        <f aca="false">1/(1+$C$3)*B87</f>
        <v>0.111678157794248</v>
      </c>
      <c r="C86" s="14" t="n">
        <f aca="false">1/$C$3*(1-B86)</f>
        <v>8.88321842205752</v>
      </c>
      <c r="D86" s="15" t="n">
        <f aca="false">D85</f>
        <v>0.06</v>
      </c>
      <c r="E86" s="16" t="n">
        <f aca="false">E85-H86-G86</f>
        <v>512042769.859685</v>
      </c>
      <c r="F86" s="16" t="n">
        <f aca="false">E85/C85</f>
        <v>61632517.2766561</v>
      </c>
      <c r="G86" s="16" t="n">
        <f aca="false">(E85-H86)*D86</f>
        <v>32683581.0548735</v>
      </c>
      <c r="H86" s="16" t="n">
        <f aca="false">F86-K86</f>
        <v>9026040.12764656</v>
      </c>
      <c r="I86" s="16" t="n">
        <f aca="false">E85*$C$5</f>
        <v>2768761.95521103</v>
      </c>
      <c r="J86" s="16" t="n">
        <f aca="false">E85*C$3</f>
        <v>55375239.1042206</v>
      </c>
      <c r="K86" s="16" t="n">
        <f aca="false">J86-I86</f>
        <v>52606477.1490095</v>
      </c>
      <c r="L86" s="16" t="n">
        <f aca="false">MAXA(0,+E86-$C$7)</f>
        <v>508042769.859685</v>
      </c>
      <c r="M86" s="14" t="n">
        <f aca="false">1/(1+$C$10)*M87</f>
        <v>0.206064326244474</v>
      </c>
      <c r="N86" s="14" t="n">
        <f aca="false">1/$C$10*(1-M86)</f>
        <v>11.1680359228517</v>
      </c>
      <c r="O86" s="16" t="n">
        <f aca="false">O85-P86</f>
        <v>0</v>
      </c>
      <c r="P86" s="16" t="n">
        <f aca="false">MAXA(0,MINA(G86+H86+AH86,O85))</f>
        <v>0</v>
      </c>
      <c r="Q86" s="16" t="n">
        <f aca="false">O85*$C$10</f>
        <v>0</v>
      </c>
      <c r="R86" s="16" t="n">
        <f aca="false">P86+Q86</f>
        <v>0</v>
      </c>
      <c r="S86" s="14" t="n">
        <f aca="false">1/(1+$C$13)*S87</f>
        <v>0.196396991433378</v>
      </c>
      <c r="T86" s="14" t="n">
        <f aca="false">1/$C$13*(1-S86)</f>
        <v>10.9587209677706</v>
      </c>
      <c r="U86" s="16" t="n">
        <f aca="false">U85-V86</f>
        <v>148609622.774235</v>
      </c>
      <c r="V86" s="16" t="n">
        <f aca="false">MAXA(0,MINA(G86+H86+AH86-P86,U85))</f>
        <v>43973706.3321554</v>
      </c>
      <c r="W86" s="16" t="n">
        <f aca="false">U85*$C$13</f>
        <v>14122135.5233716</v>
      </c>
      <c r="X86" s="16" t="n">
        <f aca="false">V86+W86</f>
        <v>58095841.8555271</v>
      </c>
      <c r="Y86" s="14" t="n">
        <f aca="false">1/(1+$C$16)*Y87</f>
        <v>0.153149654628398</v>
      </c>
      <c r="Z86" s="14" t="n">
        <f aca="false">1/$C$16*(1-Y86)</f>
        <v>9.96294523966591</v>
      </c>
      <c r="AA86" s="16" t="n">
        <f aca="false">AA85-AB86</f>
        <v>25000000</v>
      </c>
      <c r="AB86" s="16" t="n">
        <f aca="false">MAXA(0,MINA(+G86+H86+AH86-P86-V86,AA85))</f>
        <v>0</v>
      </c>
      <c r="AC86" s="16" t="n">
        <f aca="false">AA85*$C$16</f>
        <v>2125000</v>
      </c>
      <c r="AD86" s="16" t="n">
        <f aca="false">AB86+AC86</f>
        <v>2125000</v>
      </c>
      <c r="AE86" s="14" t="n">
        <f aca="false">1/(1+$C$19)*AE87</f>
        <v>0.137781385422463</v>
      </c>
      <c r="AF86" s="14" t="n">
        <f aca="false">1/$C$19*(1-AE86)</f>
        <v>9.5802068286393</v>
      </c>
      <c r="AG86" s="16" t="n">
        <f aca="false">AG85+AI86</f>
        <v>27420586.8122504</v>
      </c>
      <c r="AH86" s="16" t="n">
        <f aca="false">AG85*$C$19</f>
        <v>2264085.14963535</v>
      </c>
      <c r="AI86" s="16" t="n">
        <f aca="false">AG85*$C$19-AL86-AK86+AN86-AN86</f>
        <v>2264085.14963535</v>
      </c>
      <c r="AJ86" s="16" t="n">
        <f aca="false">AI86+AJ85</f>
        <v>12420586.8122504</v>
      </c>
      <c r="AK86" s="16" t="n">
        <f aca="false">IF(AA86&gt;0,0,MINA(G86+H86-AB86,AG85))</f>
        <v>0</v>
      </c>
      <c r="AL86" s="16" t="n">
        <f aca="false">IF(AA86&gt;0,0,+AG85*$C$19)</f>
        <v>0</v>
      </c>
      <c r="AM86" s="16" t="n">
        <f aca="false">AK86+AL86</f>
        <v>0</v>
      </c>
      <c r="AN86" s="16"/>
      <c r="AO86" s="16" t="n">
        <f aca="false">G86+H86+K86-R86-X86-AD86-AM86</f>
        <v>34095256.4760026</v>
      </c>
    </row>
    <row r="87" customFormat="false" ht="12.75" hidden="false" customHeight="false" outlineLevel="0" collapsed="false">
      <c r="A87" s="13" t="n">
        <f aca="false">A86+1</f>
        <v>8</v>
      </c>
      <c r="B87" s="14" t="n">
        <f aca="false">1/(1+$C$3)*B88</f>
        <v>0.122845973573672</v>
      </c>
      <c r="C87" s="14" t="n">
        <f aca="false">1/$C$3*(1-B87)</f>
        <v>8.77154026426328</v>
      </c>
      <c r="D87" s="15" t="n">
        <f aca="false">D86</f>
        <v>0.06</v>
      </c>
      <c r="E87" s="16" t="n">
        <f aca="false">E86-H87-G87</f>
        <v>472862535.221169</v>
      </c>
      <c r="F87" s="16" t="n">
        <f aca="false">E86/C86</f>
        <v>57641582.7610694</v>
      </c>
      <c r="G87" s="16" t="n">
        <f aca="false">(E86-H87)*D87</f>
        <v>30182715.0141172</v>
      </c>
      <c r="H87" s="16" t="n">
        <f aca="false">F87-K87</f>
        <v>8997519.62439931</v>
      </c>
      <c r="I87" s="16" t="n">
        <f aca="false">E86*$C$5</f>
        <v>2560213.84929843</v>
      </c>
      <c r="J87" s="16" t="n">
        <f aca="false">E86*C$3</f>
        <v>51204276.9859685</v>
      </c>
      <c r="K87" s="16" t="n">
        <f aca="false">J87-I87</f>
        <v>48644063.1366701</v>
      </c>
      <c r="L87" s="16" t="n">
        <f aca="false">MAXA(0,+E87-$C$7)</f>
        <v>468862535.221169</v>
      </c>
      <c r="M87" s="14" t="n">
        <f aca="false">1/(1+$C$10)*M88</f>
        <v>0.220713439197194</v>
      </c>
      <c r="N87" s="14" t="n">
        <f aca="false">1/$C$10*(1-M87)</f>
        <v>10.9619715966072</v>
      </c>
      <c r="O87" s="16" t="n">
        <f aca="false">O86-P87</f>
        <v>0</v>
      </c>
      <c r="P87" s="16" t="n">
        <f aca="false">MAXA(0,MINA(G87+H87+AH87,O86))</f>
        <v>0</v>
      </c>
      <c r="Q87" s="16" t="n">
        <f aca="false">O86*$C$10</f>
        <v>0</v>
      </c>
      <c r="R87" s="16" t="n">
        <f aca="false">P87+Q87</f>
        <v>0</v>
      </c>
      <c r="S87" s="14" t="n">
        <f aca="false">1/(1+$C$13)*S88</f>
        <v>0.210798782815188</v>
      </c>
      <c r="T87" s="14" t="n">
        <f aca="false">1/$C$13*(1-S87)</f>
        <v>10.7623239763373</v>
      </c>
      <c r="U87" s="16" t="n">
        <f aca="false">U86-V87</f>
        <v>106961535.322616</v>
      </c>
      <c r="V87" s="16" t="n">
        <f aca="false">MAXA(0,MINA(G87+H87+AH87-P87,U86))</f>
        <v>41648087.451619</v>
      </c>
      <c r="W87" s="16" t="n">
        <f aca="false">U86*$C$13</f>
        <v>10897543.6380347</v>
      </c>
      <c r="X87" s="16" t="n">
        <f aca="false">V87+W87</f>
        <v>52545631.0896537</v>
      </c>
      <c r="Y87" s="14" t="n">
        <f aca="false">1/(1+$C$16)*Y88</f>
        <v>0.166167375271812</v>
      </c>
      <c r="Z87" s="14" t="n">
        <f aca="false">1/$C$16*(1-Y87)</f>
        <v>9.80979558503751</v>
      </c>
      <c r="AA87" s="16" t="n">
        <f aca="false">AA86-AB87</f>
        <v>25000000</v>
      </c>
      <c r="AB87" s="16" t="n">
        <f aca="false">MAXA(0,MINA(+G87+H87+AH87-P87-V87,AA86))</f>
        <v>0</v>
      </c>
      <c r="AC87" s="16" t="n">
        <f aca="false">AA86*$C$16</f>
        <v>2125000</v>
      </c>
      <c r="AD87" s="16" t="n">
        <f aca="false">AB87+AC87</f>
        <v>2125000</v>
      </c>
      <c r="AE87" s="14" t="n">
        <f aca="false">1/(1+$C$19)*AE88</f>
        <v>0.150181710110485</v>
      </c>
      <c r="AF87" s="14" t="n">
        <f aca="false">1/$C$19*(1-AE87)</f>
        <v>9.44242544321684</v>
      </c>
      <c r="AG87" s="16" t="n">
        <f aca="false">AG86+AI87</f>
        <v>29888439.6253529</v>
      </c>
      <c r="AH87" s="16" t="n">
        <f aca="false">AG86*$C$19</f>
        <v>2467852.81310253</v>
      </c>
      <c r="AI87" s="16" t="n">
        <f aca="false">AG86*$C$19-AL87-AK87+AN87-AN87</f>
        <v>2467852.81310253</v>
      </c>
      <c r="AJ87" s="16" t="n">
        <f aca="false">AI87+AJ86</f>
        <v>14888439.6253529</v>
      </c>
      <c r="AK87" s="16" t="n">
        <f aca="false">IF(AA87&gt;0,0,MINA(G87+H87-AB87,AG86))</f>
        <v>0</v>
      </c>
      <c r="AL87" s="16" t="n">
        <f aca="false">IF(AA87&gt;0,0,+AG86*$C$19)</f>
        <v>0</v>
      </c>
      <c r="AM87" s="16" t="n">
        <f aca="false">AK87+AL87</f>
        <v>0</v>
      </c>
      <c r="AN87" s="16"/>
      <c r="AO87" s="16" t="n">
        <f aca="false">G87+H87+K87-R87-X87-AD87-AM87</f>
        <v>33153666.6855329</v>
      </c>
    </row>
    <row r="88" customFormat="false" ht="12.75" hidden="false" customHeight="false" outlineLevel="0" collapsed="false">
      <c r="A88" s="13" t="n">
        <f aca="false">A87+1</f>
        <v>9</v>
      </c>
      <c r="B88" s="14" t="n">
        <f aca="false">1/(1+$C$3)*B89</f>
        <v>0.13513057093104</v>
      </c>
      <c r="C88" s="14" t="n">
        <f aca="false">1/$C$3*(1-B88)</f>
        <v>8.6486942906896</v>
      </c>
      <c r="D88" s="15" t="n">
        <f aca="false">D87</f>
        <v>0.06</v>
      </c>
      <c r="E88" s="16" t="n">
        <f aca="false">E87-H88-G88</f>
        <v>436043207.794025</v>
      </c>
      <c r="F88" s="16" t="n">
        <f aca="false">E87/C87</f>
        <v>53908723.0948127</v>
      </c>
      <c r="G88" s="16" t="n">
        <f aca="false">(E87-H88)*D88</f>
        <v>27832545.178342</v>
      </c>
      <c r="H88" s="16" t="n">
        <f aca="false">F88-K88</f>
        <v>8986782.24880162</v>
      </c>
      <c r="I88" s="16" t="n">
        <f aca="false">E87*$C$5</f>
        <v>2364312.67610584</v>
      </c>
      <c r="J88" s="16" t="n">
        <f aca="false">E87*C$3</f>
        <v>47286253.5221169</v>
      </c>
      <c r="K88" s="16" t="n">
        <f aca="false">J88-I88</f>
        <v>44921940.8460111</v>
      </c>
      <c r="L88" s="16" t="n">
        <f aca="false">MAXA(0,+E88-$C$7)</f>
        <v>432043207.794025</v>
      </c>
      <c r="M88" s="14" t="n">
        <f aca="false">1/(1+$C$10)*M89</f>
        <v>0.236403957589722</v>
      </c>
      <c r="N88" s="14" t="n">
        <f aca="false">1/$C$10*(1-M88)</f>
        <v>10.74125815741</v>
      </c>
      <c r="O88" s="16" t="n">
        <f aca="false">O87-P88</f>
        <v>0</v>
      </c>
      <c r="P88" s="16" t="n">
        <f aca="false">MAXA(0,MINA(G88+H88+AH88,O87))</f>
        <v>0</v>
      </c>
      <c r="Q88" s="16" t="n">
        <f aca="false">O87*$C$10</f>
        <v>0</v>
      </c>
      <c r="R88" s="16" t="n">
        <f aca="false">P88+Q88</f>
        <v>0</v>
      </c>
      <c r="S88" s="14" t="n">
        <f aca="false">1/(1+$C$13)*S89</f>
        <v>0.226256657559026</v>
      </c>
      <c r="T88" s="14" t="n">
        <f aca="false">1/$C$13*(1-S88)</f>
        <v>10.5515251935221</v>
      </c>
      <c r="U88" s="16" t="n">
        <f aca="false">U87-V88</f>
        <v>67452248.3291906</v>
      </c>
      <c r="V88" s="16" t="n">
        <f aca="false">MAXA(0,MINA(G88+H88+AH88-P88,U87))</f>
        <v>39509286.9934254</v>
      </c>
      <c r="W88" s="16" t="n">
        <f aca="false">U87*$C$13</f>
        <v>7843489.38520744</v>
      </c>
      <c r="X88" s="16" t="n">
        <f aca="false">V88+W88</f>
        <v>47352776.3786329</v>
      </c>
      <c r="Y88" s="14" t="n">
        <f aca="false">1/(1+$C$16)*Y89</f>
        <v>0.180291602169916</v>
      </c>
      <c r="Z88" s="14" t="n">
        <f aca="false">1/$C$16*(1-Y88)</f>
        <v>9.6436282097657</v>
      </c>
      <c r="AA88" s="16" t="n">
        <f aca="false">AA87-AB88</f>
        <v>25000000</v>
      </c>
      <c r="AB88" s="16" t="n">
        <f aca="false">MAXA(0,MINA(+G88+H88+AH88-P88-V88,AA87))</f>
        <v>0</v>
      </c>
      <c r="AC88" s="16" t="n">
        <f aca="false">AA87*$C$16</f>
        <v>2125000</v>
      </c>
      <c r="AD88" s="16" t="n">
        <f aca="false">AB88+AC88</f>
        <v>2125000</v>
      </c>
      <c r="AE88" s="14" t="n">
        <f aca="false">1/(1+$C$19)*AE89</f>
        <v>0.163698064020428</v>
      </c>
      <c r="AF88" s="14" t="n">
        <f aca="false">1/$C$19*(1-AE88)</f>
        <v>9.29224373310635</v>
      </c>
      <c r="AG88" s="16" t="n">
        <f aca="false">AG87+AI88</f>
        <v>32578399.1916346</v>
      </c>
      <c r="AH88" s="16" t="n">
        <f aca="false">AG87*$C$19</f>
        <v>2689959.56628176</v>
      </c>
      <c r="AI88" s="16" t="n">
        <f aca="false">AG87*$C$19-AL88-AK88+AN88-AN88</f>
        <v>2689959.56628176</v>
      </c>
      <c r="AJ88" s="16" t="n">
        <f aca="false">AI88+AJ87</f>
        <v>17578399.1916346</v>
      </c>
      <c r="AK88" s="16" t="n">
        <f aca="false">IF(AA88&gt;0,0,MINA(G88+H88-AB88,AG87))</f>
        <v>0</v>
      </c>
      <c r="AL88" s="16" t="n">
        <f aca="false">IF(AA88&gt;0,0,+AG87*$C$19)</f>
        <v>0</v>
      </c>
      <c r="AM88" s="16" t="n">
        <f aca="false">AK88+AL88</f>
        <v>0</v>
      </c>
      <c r="AN88" s="16"/>
      <c r="AO88" s="16" t="n">
        <f aca="false">G88+H88+K88-R88-X88-AD88-AM88</f>
        <v>32263491.8945219</v>
      </c>
    </row>
    <row r="89" customFormat="false" ht="12.75" hidden="false" customHeight="false" outlineLevel="0" collapsed="false">
      <c r="A89" s="13" t="n">
        <f aca="false">A88+1</f>
        <v>10</v>
      </c>
      <c r="B89" s="14" t="n">
        <f aca="false">1/(1+$C$3)*B90</f>
        <v>0.148643628024144</v>
      </c>
      <c r="C89" s="14" t="n">
        <f aca="false">1/$C$3*(1-B89)</f>
        <v>8.51356371975857</v>
      </c>
      <c r="D89" s="15" t="n">
        <f aca="false">D88</f>
        <v>0.06</v>
      </c>
      <c r="E89" s="16" t="n">
        <f aca="false">E88-H89-G89</f>
        <v>401427077.741003</v>
      </c>
      <c r="F89" s="16" t="n">
        <f aca="false">E88/C88</f>
        <v>50417229.8312625</v>
      </c>
      <c r="G89" s="16" t="n">
        <f aca="false">(E88-H89)*D89</f>
        <v>25623004.9621917</v>
      </c>
      <c r="H89" s="16" t="n">
        <f aca="false">F89-K89</f>
        <v>8993125.09083007</v>
      </c>
      <c r="I89" s="16" t="n">
        <f aca="false">E88*$C$5</f>
        <v>2180216.03897013</v>
      </c>
      <c r="J89" s="16" t="n">
        <f aca="false">E88*C$3</f>
        <v>43604320.7794025</v>
      </c>
      <c r="K89" s="16" t="n">
        <f aca="false">J89-I89</f>
        <v>41424104.7404324</v>
      </c>
      <c r="L89" s="16" t="n">
        <f aca="false">MAXA(0,+E89-$C$7)</f>
        <v>397427077.741003</v>
      </c>
      <c r="M89" s="14" t="n">
        <f aca="false">1/(1+$C$10)*M90</f>
        <v>0.253209914934776</v>
      </c>
      <c r="N89" s="14" t="n">
        <f aca="false">1/$C$10*(1-M89)</f>
        <v>10.5048541998203</v>
      </c>
      <c r="O89" s="16" t="n">
        <f aca="false">O88-P89</f>
        <v>0</v>
      </c>
      <c r="P89" s="16" t="n">
        <f aca="false">MAXA(0,MINA(G89+H89+AH89,O88))</f>
        <v>0</v>
      </c>
      <c r="Q89" s="16" t="n">
        <f aca="false">O88*$C$10</f>
        <v>0</v>
      </c>
      <c r="R89" s="16" t="n">
        <f aca="false">P89+Q89</f>
        <v>0</v>
      </c>
      <c r="S89" s="14" t="n">
        <f aca="false">1/(1+$C$13)*S90</f>
        <v>0.242848058257829</v>
      </c>
      <c r="T89" s="14" t="n">
        <f aca="false">1/$C$13*(1-S89)</f>
        <v>10.3252685359631</v>
      </c>
      <c r="U89" s="16" t="n">
        <f aca="false">U88-V89</f>
        <v>29904062.3489217</v>
      </c>
      <c r="V89" s="16" t="n">
        <f aca="false">MAXA(0,MINA(G89+H89+AH89-P89,U88))</f>
        <v>37548185.9802689</v>
      </c>
      <c r="W89" s="16" t="n">
        <f aca="false">U88*$C$13</f>
        <v>4946273.36997955</v>
      </c>
      <c r="X89" s="16" t="n">
        <f aca="false">V89+W89</f>
        <v>42494459.3502484</v>
      </c>
      <c r="Y89" s="14" t="n">
        <f aca="false">1/(1+$C$16)*Y90</f>
        <v>0.195616388354359</v>
      </c>
      <c r="Z89" s="14" t="n">
        <f aca="false">1/$C$16*(1-Y89)</f>
        <v>9.46333660759578</v>
      </c>
      <c r="AA89" s="16" t="n">
        <f aca="false">AA88-AB89</f>
        <v>25000000</v>
      </c>
      <c r="AB89" s="16" t="n">
        <f aca="false">MAXA(0,MINA(+G89+H89+AH89-P89-V89,AA88))</f>
        <v>0</v>
      </c>
      <c r="AC89" s="16" t="n">
        <f aca="false">AA88*$C$16</f>
        <v>2125000</v>
      </c>
      <c r="AD89" s="16" t="n">
        <f aca="false">AB89+AC89</f>
        <v>2125000</v>
      </c>
      <c r="AE89" s="14" t="n">
        <f aca="false">1/(1+$C$19)*AE90</f>
        <v>0.178430889782267</v>
      </c>
      <c r="AF89" s="14" t="n">
        <f aca="false">1/$C$19*(1-AE89)</f>
        <v>9.12854566908592</v>
      </c>
      <c r="AG89" s="16" t="n">
        <f aca="false">AG88+AI89</f>
        <v>35510455.1188818</v>
      </c>
      <c r="AH89" s="16" t="n">
        <f aca="false">AG88*$C$19</f>
        <v>2932055.92724712</v>
      </c>
      <c r="AI89" s="16" t="n">
        <f aca="false">AG88*$C$19-AL89-AK89+AN89-AN89</f>
        <v>2932055.92724712</v>
      </c>
      <c r="AJ89" s="16" t="n">
        <f aca="false">AI89+AJ88</f>
        <v>20510455.1188818</v>
      </c>
      <c r="AK89" s="16" t="n">
        <f aca="false">IF(AA89&gt;0,0,MINA(G89+H89-AB89,AG88))</f>
        <v>0</v>
      </c>
      <c r="AL89" s="16" t="n">
        <f aca="false">IF(AA89&gt;0,0,+AG88*$C$19)</f>
        <v>0</v>
      </c>
      <c r="AM89" s="16" t="n">
        <f aca="false">AK89+AL89</f>
        <v>0</v>
      </c>
      <c r="AN89" s="16"/>
      <c r="AO89" s="16" t="n">
        <f aca="false">G89+H89+K89-R89-X89-AD89-AM89</f>
        <v>31420775.4432057</v>
      </c>
    </row>
    <row r="90" customFormat="false" ht="12.75" hidden="false" customHeight="false" outlineLevel="0" collapsed="false">
      <c r="A90" s="13" t="n">
        <f aca="false">A89+1</f>
        <v>11</v>
      </c>
      <c r="B90" s="14" t="n">
        <f aca="false">1/(1+$C$3)*B91</f>
        <v>0.163507990826558</v>
      </c>
      <c r="C90" s="14" t="n">
        <f aca="false">1/$C$3*(1-B90)</f>
        <v>8.36492009173442</v>
      </c>
      <c r="D90" s="15" t="n">
        <f aca="false">D89</f>
        <v>0.06</v>
      </c>
      <c r="E90" s="16" t="n">
        <f aca="false">E89-H90-G90</f>
        <v>368866505.629317</v>
      </c>
      <c r="F90" s="16" t="n">
        <f aca="false">E89/C89</f>
        <v>47151473.9249978</v>
      </c>
      <c r="G90" s="16" t="n">
        <f aca="false">(E89-H90)*D90</f>
        <v>23544670.5720841</v>
      </c>
      <c r="H90" s="16" t="n">
        <f aca="false">F90-K90</f>
        <v>9015901.53960249</v>
      </c>
      <c r="I90" s="16" t="n">
        <f aca="false">E89*$C$5</f>
        <v>2007135.38870502</v>
      </c>
      <c r="J90" s="16" t="n">
        <f aca="false">E89*C$3</f>
        <v>40142707.7741004</v>
      </c>
      <c r="K90" s="16" t="n">
        <f aca="false">J90-I90</f>
        <v>38135572.3853953</v>
      </c>
      <c r="L90" s="16" t="n">
        <f aca="false">MAXA(0,+E90-$C$7)</f>
        <v>364866505.629317</v>
      </c>
      <c r="M90" s="14" t="n">
        <f aca="false">1/(1+$C$10)*M91</f>
        <v>0.271210607787489</v>
      </c>
      <c r="N90" s="14" t="n">
        <f aca="false">1/$C$10*(1-M90)</f>
        <v>10.2516442848855</v>
      </c>
      <c r="O90" s="16" t="n">
        <f aca="false">O89-P90</f>
        <v>0</v>
      </c>
      <c r="P90" s="16" t="n">
        <f aca="false">MAXA(0,MINA(G90+H90+AH90,O89))</f>
        <v>0</v>
      </c>
      <c r="Q90" s="16" t="n">
        <f aca="false">O89*$C$10</f>
        <v>0</v>
      </c>
      <c r="R90" s="16" t="n">
        <f aca="false">P90+Q90</f>
        <v>0</v>
      </c>
      <c r="S90" s="14" t="n">
        <f aca="false">1/(1+$C$13)*S91</f>
        <v>0.260656106369875</v>
      </c>
      <c r="T90" s="14" t="n">
        <f aca="false">1/$C$13*(1-S90)</f>
        <v>10.0824204777052</v>
      </c>
      <c r="U90" s="16" t="n">
        <f aca="false">U89-V90</f>
        <v>0</v>
      </c>
      <c r="V90" s="16" t="n">
        <f aca="false">MAXA(0,MINA(G90+H90+AH90-P90,U89))</f>
        <v>29904062.3489217</v>
      </c>
      <c r="W90" s="16" t="n">
        <f aca="false">U89*$C$13</f>
        <v>2192864.89204643</v>
      </c>
      <c r="X90" s="16" t="n">
        <f aca="false">V90+W90</f>
        <v>32096927.2409682</v>
      </c>
      <c r="Y90" s="14" t="n">
        <f aca="false">1/(1+$C$16)*Y91</f>
        <v>0.212243781364479</v>
      </c>
      <c r="Z90" s="14" t="n">
        <f aca="false">1/$C$16*(1-Y90)</f>
        <v>9.26772021924142</v>
      </c>
      <c r="AA90" s="16" t="n">
        <f aca="false">AA89-AB90</f>
        <v>19147549.2765358</v>
      </c>
      <c r="AB90" s="16" t="n">
        <f aca="false">MAXA(0,MINA(+G90+H90+AH90-P90-V90,AA89))</f>
        <v>5852450.72346418</v>
      </c>
      <c r="AC90" s="16" t="n">
        <f aca="false">AA89*$C$16</f>
        <v>2125000</v>
      </c>
      <c r="AD90" s="16" t="n">
        <f aca="false">AB90+AC90</f>
        <v>7977450.72346418</v>
      </c>
      <c r="AE90" s="14" t="n">
        <f aca="false">1/(1+$C$19)*AE91</f>
        <v>0.194489669862671</v>
      </c>
      <c r="AF90" s="14" t="n">
        <f aca="false">1/$C$19*(1-AE90)</f>
        <v>8.95011477930366</v>
      </c>
      <c r="AG90" s="16" t="n">
        <f aca="false">AG89+AI90</f>
        <v>38706396.0795811</v>
      </c>
      <c r="AH90" s="16" t="n">
        <f aca="false">AG89*$C$19</f>
        <v>3195940.96069936</v>
      </c>
      <c r="AI90" s="16" t="n">
        <f aca="false">AG89*$C$19-AL90-AK90+AN90-AN90</f>
        <v>3195940.96069936</v>
      </c>
      <c r="AJ90" s="16" t="n">
        <f aca="false">AI90+AJ89</f>
        <v>23706396.0795811</v>
      </c>
      <c r="AK90" s="16" t="n">
        <f aca="false">IF(AA90&gt;0,0,MINA(G90+H90-AB90,AG89))</f>
        <v>0</v>
      </c>
      <c r="AL90" s="16" t="n">
        <f aca="false">IF(AA90&gt;0,0,+AG89*$C$19)</f>
        <v>0</v>
      </c>
      <c r="AM90" s="16" t="n">
        <f aca="false">AK90+AL90</f>
        <v>0</v>
      </c>
      <c r="AN90" s="16"/>
      <c r="AO90" s="16" t="n">
        <f aca="false">G90+H90+K90-R90-X90-AD90-AM90</f>
        <v>30621766.5326495</v>
      </c>
    </row>
    <row r="91" customFormat="false" ht="12.75" hidden="false" customHeight="false" outlineLevel="0" collapsed="false">
      <c r="A91" s="13" t="n">
        <f aca="false">A90+1</f>
        <v>12</v>
      </c>
      <c r="B91" s="14" t="n">
        <f aca="false">1/(1+$C$3)*B92</f>
        <v>0.179858789909214</v>
      </c>
      <c r="C91" s="14" t="n">
        <f aca="false">1/$C$3*(1-B91)</f>
        <v>8.20141210090786</v>
      </c>
      <c r="D91" s="15" t="n">
        <f aca="false">D90</f>
        <v>0.06</v>
      </c>
      <c r="E91" s="16" t="n">
        <f aca="false">E90-H91-G91</f>
        <v>338223268.832289</v>
      </c>
      <c r="F91" s="16" t="n">
        <f aca="false">E90/C90</f>
        <v>44096835.5446459</v>
      </c>
      <c r="G91" s="16" t="n">
        <f aca="false">(E90-H91)*D91</f>
        <v>21588719.2871674</v>
      </c>
      <c r="H91" s="16" t="n">
        <f aca="false">F91-K91</f>
        <v>9054517.50986078</v>
      </c>
      <c r="I91" s="16" t="n">
        <f aca="false">E90*$C$5</f>
        <v>1844332.52814658</v>
      </c>
      <c r="J91" s="16" t="n">
        <f aca="false">E90*C$3</f>
        <v>36886650.5629317</v>
      </c>
      <c r="K91" s="16" t="n">
        <f aca="false">J91-I91</f>
        <v>35042318.0347851</v>
      </c>
      <c r="L91" s="16" t="n">
        <f aca="false">MAXA(0,+E91-$C$7)</f>
        <v>334223268.832289</v>
      </c>
      <c r="M91" s="14" t="n">
        <f aca="false">1/(1+$C$10)*M92</f>
        <v>0.290490969895102</v>
      </c>
      <c r="N91" s="14" t="n">
        <f aca="false">1/$C$10*(1-M91)</f>
        <v>9.98043367709802</v>
      </c>
      <c r="O91" s="16" t="n">
        <f aca="false">O90-P91</f>
        <v>0</v>
      </c>
      <c r="P91" s="16" t="n">
        <f aca="false">MAXA(0,MINA(G91+H91+AH91,O90))</f>
        <v>0</v>
      </c>
      <c r="Q91" s="16" t="n">
        <f aca="false">O90*$C$10</f>
        <v>0</v>
      </c>
      <c r="R91" s="16" t="n">
        <f aca="false">P91+Q91</f>
        <v>0</v>
      </c>
      <c r="S91" s="14" t="n">
        <f aca="false">1/(1+$C$13)*S92</f>
        <v>0.279770018649978</v>
      </c>
      <c r="T91" s="14" t="n">
        <f aca="false">1/$C$13*(1-S91)</f>
        <v>9.82176437133536</v>
      </c>
      <c r="U91" s="16" t="n">
        <f aca="false">U90-V91</f>
        <v>0</v>
      </c>
      <c r="V91" s="16" t="n">
        <f aca="false">MAXA(0,MINA(G91+H91+AH91-P91,U90))</f>
        <v>0</v>
      </c>
      <c r="W91" s="16" t="n">
        <f aca="false">U90*$C$13</f>
        <v>0</v>
      </c>
      <c r="X91" s="16" t="n">
        <f aca="false">V91+W91</f>
        <v>0</v>
      </c>
      <c r="Y91" s="14" t="n">
        <f aca="false">1/(1+$C$16)*Y92</f>
        <v>0.23028450278046</v>
      </c>
      <c r="Z91" s="14" t="n">
        <f aca="false">1/$C$16*(1-Y91)</f>
        <v>9.05547643787694</v>
      </c>
      <c r="AA91" s="16" t="n">
        <f aca="false">AA90-AB91</f>
        <v>0</v>
      </c>
      <c r="AB91" s="16" t="n">
        <f aca="false">MAXA(0,MINA(+G91+H91+AH91-P91-V91,AA90))</f>
        <v>19147549.2765358</v>
      </c>
      <c r="AC91" s="16" t="n">
        <f aca="false">AA90*$C$16</f>
        <v>1627541.68850555</v>
      </c>
      <c r="AD91" s="16" t="n">
        <f aca="false">AB91+AC91</f>
        <v>20775090.9650414</v>
      </c>
      <c r="AE91" s="14" t="n">
        <f aca="false">1/(1+$C$19)*AE92</f>
        <v>0.211993740150311</v>
      </c>
      <c r="AF91" s="14" t="n">
        <f aca="false">1/$C$19*(1-AE91)</f>
        <v>8.75562510944098</v>
      </c>
      <c r="AG91" s="16" t="n">
        <f aca="false">AG90+AI91</f>
        <v>27210708.5590888</v>
      </c>
      <c r="AH91" s="16" t="n">
        <f aca="false">AG90*$C$19</f>
        <v>3483575.6471623</v>
      </c>
      <c r="AI91" s="16" t="n">
        <f aca="false">AG90*$C$19-AL91-AK91+AN91-AN91</f>
        <v>-11495687.5204923</v>
      </c>
      <c r="AJ91" s="16" t="n">
        <f aca="false">AI91+AJ90</f>
        <v>12210708.5590888</v>
      </c>
      <c r="AK91" s="16" t="n">
        <f aca="false">IF(AA91&gt;0,0,MINA(G91+H91-AB91,AG90))</f>
        <v>11495687.5204923</v>
      </c>
      <c r="AL91" s="16" t="n">
        <f aca="false">IF(AA91&gt;0,0,+AG90*$C$19)</f>
        <v>3483575.6471623</v>
      </c>
      <c r="AM91" s="16" t="n">
        <f aca="false">AK91+AL91</f>
        <v>14979263.1676546</v>
      </c>
      <c r="AN91" s="16"/>
      <c r="AO91" s="16" t="n">
        <f aca="false">G91+H91+K91-R91-X91-AD91-AM91</f>
        <v>29931200.6991173</v>
      </c>
    </row>
    <row r="92" customFormat="false" ht="12.75" hidden="false" customHeight="false" outlineLevel="0" collapsed="false">
      <c r="A92" s="13" t="n">
        <f aca="false">A91+1</f>
        <v>13</v>
      </c>
      <c r="B92" s="14" t="n">
        <f aca="false">1/(1+$C$3)*B93</f>
        <v>0.197844668900135</v>
      </c>
      <c r="C92" s="14" t="n">
        <f aca="false">1/$C$3*(1-B92)</f>
        <v>8.02155331099865</v>
      </c>
      <c r="D92" s="15" t="n">
        <f aca="false">D91</f>
        <v>0.06</v>
      </c>
      <c r="E92" s="16" t="n">
        <f aca="false">E91-H92-G92</f>
        <v>309367950.579383</v>
      </c>
      <c r="F92" s="16" t="n">
        <f aca="false">E91/C91</f>
        <v>41239638.329459</v>
      </c>
      <c r="G92" s="16" t="n">
        <f aca="false">(E91-H92)*D92</f>
        <v>19746890.4625138</v>
      </c>
      <c r="H92" s="16" t="n">
        <f aca="false">F92-K92</f>
        <v>9108427.79039156</v>
      </c>
      <c r="I92" s="16" t="n">
        <f aca="false">E91*$C$5</f>
        <v>1691116.34416144</v>
      </c>
      <c r="J92" s="16" t="n">
        <f aca="false">E91*C$3</f>
        <v>33822326.8832289</v>
      </c>
      <c r="K92" s="16" t="n">
        <f aca="false">J92-I92</f>
        <v>32131210.5390674</v>
      </c>
      <c r="L92" s="16" t="n">
        <f aca="false">MAXA(0,+E92-$C$7)</f>
        <v>305367950.579383</v>
      </c>
      <c r="M92" s="14" t="n">
        <f aca="false">1/(1+$C$10)*M93</f>
        <v>0.311141972944944</v>
      </c>
      <c r="N92" s="14" t="n">
        <f aca="false">1/$C$10*(1-M92)</f>
        <v>9.68994270720292</v>
      </c>
      <c r="O92" s="16" t="n">
        <f aca="false">O91-P92</f>
        <v>0</v>
      </c>
      <c r="P92" s="16" t="n">
        <f aca="false">MAXA(0,MINA(G92+H92+AH92,O91))</f>
        <v>0</v>
      </c>
      <c r="Q92" s="16" t="n">
        <f aca="false">O91*$C$10</f>
        <v>0</v>
      </c>
      <c r="R92" s="16" t="n">
        <f aca="false">P92+Q92</f>
        <v>0</v>
      </c>
      <c r="S92" s="14" t="n">
        <f aca="false">1/(1+$C$13)*S93</f>
        <v>0.300285554117581</v>
      </c>
      <c r="T92" s="14" t="n">
        <f aca="false">1/$C$13*(1-S92)</f>
        <v>9.54199435268538</v>
      </c>
      <c r="U92" s="16" t="n">
        <f aca="false">U91-V92</f>
        <v>0</v>
      </c>
      <c r="V92" s="16" t="n">
        <f aca="false">MAXA(0,MINA(G92+H92+AH92-P92,U91))</f>
        <v>0</v>
      </c>
      <c r="W92" s="16" t="n">
        <f aca="false">U91*$C$13</f>
        <v>0</v>
      </c>
      <c r="X92" s="16" t="n">
        <f aca="false">V92+W92</f>
        <v>0</v>
      </c>
      <c r="Y92" s="14" t="n">
        <f aca="false">1/(1+$C$16)*Y93</f>
        <v>0.249858685516799</v>
      </c>
      <c r="Z92" s="14" t="n">
        <f aca="false">1/$C$16*(1-Y92)</f>
        <v>8.82519193509648</v>
      </c>
      <c r="AA92" s="16" t="n">
        <f aca="false">AA91-AB92</f>
        <v>0</v>
      </c>
      <c r="AB92" s="16" t="n">
        <f aca="false">MAXA(0,MINA(+G92+H92+AH92-P92-V92,AA91))</f>
        <v>0</v>
      </c>
      <c r="AC92" s="16" t="n">
        <f aca="false">AA91*$C$16</f>
        <v>0</v>
      </c>
      <c r="AD92" s="16" t="n">
        <f aca="false">AB92+AC92</f>
        <v>0</v>
      </c>
      <c r="AE92" s="14" t="n">
        <f aca="false">1/(1+$C$19)*AE93</f>
        <v>0.23107317676384</v>
      </c>
      <c r="AF92" s="14" t="n">
        <f aca="false">1/$C$19*(1-AE92)</f>
        <v>8.54363136929067</v>
      </c>
      <c r="AG92" s="16" t="n">
        <f aca="false">AG91+AI92</f>
        <v>0</v>
      </c>
      <c r="AH92" s="16" t="n">
        <f aca="false">AG91*$C$19</f>
        <v>2448963.77031799</v>
      </c>
      <c r="AI92" s="16" t="n">
        <f aca="false">AG91*$C$19-AL92-AK92+AN92-AN92</f>
        <v>-27210708.5590888</v>
      </c>
      <c r="AJ92" s="16" t="n">
        <f aca="false">AI92+AJ91</f>
        <v>-15000000</v>
      </c>
      <c r="AK92" s="16" t="n">
        <f aca="false">IF(AA92&gt;0,0,MINA(G92+H92-AB92,AG91))</f>
        <v>27210708.5590888</v>
      </c>
      <c r="AL92" s="16" t="n">
        <f aca="false">IF(AA92&gt;0,0,+AG91*$C$19)</f>
        <v>2448963.77031799</v>
      </c>
      <c r="AM92" s="16" t="n">
        <f aca="false">AK92+AL92</f>
        <v>29659672.3294068</v>
      </c>
      <c r="AN92" s="16"/>
      <c r="AO92" s="16" t="n">
        <f aca="false">G92+H92+K92-R92-X92-AD92-AM92</f>
        <v>31326856.4625661</v>
      </c>
    </row>
    <row r="93" customFormat="false" ht="12.75" hidden="false" customHeight="false" outlineLevel="0" collapsed="false">
      <c r="A93" s="13" t="n">
        <f aca="false">A92+1</f>
        <v>14</v>
      </c>
      <c r="B93" s="14" t="n">
        <f aca="false">1/(1+$C$3)*B94</f>
        <v>0.217629135790149</v>
      </c>
      <c r="C93" s="14" t="n">
        <f aca="false">1/$C$3*(1-B93)</f>
        <v>7.82370864209851</v>
      </c>
      <c r="D93" s="15" t="n">
        <f aca="false">D92</f>
        <v>0.06</v>
      </c>
      <c r="E93" s="16" t="n">
        <f aca="false">E92-H93-G93</f>
        <v>282179369.029626</v>
      </c>
      <c r="F93" s="16" t="n">
        <f aca="false">E92/C92</f>
        <v>38567087.7678015</v>
      </c>
      <c r="G93" s="16" t="n">
        <f aca="false">(E92-H93)*D93</f>
        <v>18011449.0869974</v>
      </c>
      <c r="H93" s="16" t="n">
        <f aca="false">F93-K93</f>
        <v>9177132.46276004</v>
      </c>
      <c r="I93" s="16" t="n">
        <f aca="false">E92*$C$5</f>
        <v>1546839.75289692</v>
      </c>
      <c r="J93" s="16" t="n">
        <f aca="false">E92*C$3</f>
        <v>30936795.0579383</v>
      </c>
      <c r="K93" s="16" t="n">
        <f aca="false">J93-I93</f>
        <v>29389955.3050414</v>
      </c>
      <c r="L93" s="16" t="n">
        <f aca="false">MAXA(0,+E93-$C$7)</f>
        <v>278179369.029626</v>
      </c>
      <c r="M93" s="14" t="n">
        <f aca="false">1/(1+$C$10)*M94</f>
        <v>0.333261055801601</v>
      </c>
      <c r="N93" s="14" t="n">
        <f aca="false">1/$C$10*(1-M93)</f>
        <v>9.37880073425798</v>
      </c>
      <c r="O93" s="16" t="n">
        <f aca="false">O92-P93</f>
        <v>0</v>
      </c>
      <c r="P93" s="16" t="n">
        <f aca="false">MAXA(0,MINA(G93+H93+AH93,O92))</f>
        <v>0</v>
      </c>
      <c r="Q93" s="16" t="n">
        <f aca="false">O92*$C$10</f>
        <v>0</v>
      </c>
      <c r="R93" s="16" t="n">
        <f aca="false">P93+Q93</f>
        <v>0</v>
      </c>
      <c r="S93" s="14" t="n">
        <f aca="false">1/(1+$C$13)*S94</f>
        <v>0.322305493801023</v>
      </c>
      <c r="T93" s="14" t="n">
        <f aca="false">1/$C$13*(1-S93)</f>
        <v>9.2417087985678</v>
      </c>
      <c r="U93" s="16" t="n">
        <f aca="false">U92-V93</f>
        <v>0</v>
      </c>
      <c r="V93" s="16" t="n">
        <f aca="false">MAXA(0,MINA(G93+H93+AH93-P93,U92))</f>
        <v>0</v>
      </c>
      <c r="W93" s="16" t="n">
        <f aca="false">U92*$C$13</f>
        <v>0</v>
      </c>
      <c r="X93" s="16" t="n">
        <f aca="false">V93+W93</f>
        <v>0</v>
      </c>
      <c r="Y93" s="14" t="n">
        <f aca="false">1/(1+$C$16)*Y94</f>
        <v>0.271096673785727</v>
      </c>
      <c r="Z93" s="14" t="n">
        <f aca="false">1/$C$16*(1-Y93)</f>
        <v>8.57533324957968</v>
      </c>
      <c r="AA93" s="16" t="n">
        <f aca="false">AA92-AB93</f>
        <v>0</v>
      </c>
      <c r="AB93" s="16" t="n">
        <f aca="false">MAXA(0,MINA(+G93+H93+AH93-P93-V93,AA92))</f>
        <v>0</v>
      </c>
      <c r="AC93" s="16" t="n">
        <f aca="false">AA92*$C$16</f>
        <v>0</v>
      </c>
      <c r="AD93" s="16" t="n">
        <f aca="false">AB93+AC93</f>
        <v>0</v>
      </c>
      <c r="AE93" s="14" t="n">
        <f aca="false">1/(1+$C$19)*AE94</f>
        <v>0.251869762672585</v>
      </c>
      <c r="AF93" s="14" t="n">
        <f aca="false">1/$C$19*(1-AE93)</f>
        <v>8.31255819252683</v>
      </c>
      <c r="AG93" s="16" t="n">
        <f aca="false">AG92+AI93</f>
        <v>0</v>
      </c>
      <c r="AH93" s="16" t="n">
        <f aca="false">AG92*$C$19</f>
        <v>0</v>
      </c>
      <c r="AI93" s="16" t="n">
        <f aca="false">AG92*$C$19-AL93-AK93+AN93-AN93</f>
        <v>0</v>
      </c>
      <c r="AJ93" s="16" t="n">
        <f aca="false">AI93+AJ92</f>
        <v>-15000000</v>
      </c>
      <c r="AK93" s="16" t="n">
        <f aca="false">IF(AA93&gt;0,0,MINA(G93+H93-AB93,AG92))</f>
        <v>0</v>
      </c>
      <c r="AL93" s="16" t="n">
        <f aca="false">IF(AA93&gt;0,0,+AG92*$C$19)</f>
        <v>0</v>
      </c>
      <c r="AM93" s="16" t="n">
        <f aca="false">AK93+AL93</f>
        <v>0</v>
      </c>
      <c r="AN93" s="16"/>
      <c r="AO93" s="16" t="n">
        <f aca="false">G93+H93+K93-R93-X93-AD93-AM93</f>
        <v>56578536.8547989</v>
      </c>
    </row>
    <row r="94" customFormat="false" ht="12.75" hidden="false" customHeight="false" outlineLevel="0" collapsed="false">
      <c r="A94" s="13" t="n">
        <f aca="false">A93+1</f>
        <v>15</v>
      </c>
      <c r="B94" s="14" t="n">
        <f aca="false">1/(1+$C$3)*B95</f>
        <v>0.239392049369163</v>
      </c>
      <c r="C94" s="14" t="n">
        <f aca="false">1/$C$3*(1-B94)</f>
        <v>7.60607950630837</v>
      </c>
      <c r="D94" s="15" t="n">
        <f aca="false">D93</f>
        <v>0.06</v>
      </c>
      <c r="E94" s="16" t="n">
        <f aca="false">E93-H94-G94</f>
        <v>256544043.963539</v>
      </c>
      <c r="F94" s="16" t="n">
        <f aca="false">E93/C93</f>
        <v>36067213.3815477</v>
      </c>
      <c r="G94" s="16" t="n">
        <f aca="false">(E93-H94)*D94</f>
        <v>16375151.7423536</v>
      </c>
      <c r="H94" s="16" t="n">
        <f aca="false">F94-K94</f>
        <v>9260173.32373324</v>
      </c>
      <c r="I94" s="16" t="n">
        <f aca="false">E93*$C$5</f>
        <v>1410896.84514813</v>
      </c>
      <c r="J94" s="16" t="n">
        <f aca="false">E93*C$3</f>
        <v>28217936.9029626</v>
      </c>
      <c r="K94" s="16" t="n">
        <f aca="false">J94-I94</f>
        <v>26807040.0578145</v>
      </c>
      <c r="L94" s="16" t="n">
        <f aca="false">MAXA(0,+E94-$C$7)</f>
        <v>252544043.963539</v>
      </c>
      <c r="M94" s="14" t="n">
        <f aca="false">1/(1+$C$10)*M95</f>
        <v>0.356952584258536</v>
      </c>
      <c r="N94" s="14" t="n">
        <f aca="false">1/$C$10*(1-M94)</f>
        <v>9.04553967845637</v>
      </c>
      <c r="O94" s="16" t="n">
        <f aca="false">O93-P94</f>
        <v>0</v>
      </c>
      <c r="P94" s="16" t="n">
        <f aca="false">MAXA(0,MINA(G94+H94+AH94,O93))</f>
        <v>0</v>
      </c>
      <c r="Q94" s="16" t="n">
        <f aca="false">O93*$C$10</f>
        <v>0</v>
      </c>
      <c r="R94" s="16" t="n">
        <f aca="false">P94+Q94</f>
        <v>0</v>
      </c>
      <c r="S94" s="14" t="n">
        <f aca="false">1/(1+$C$13)*S95</f>
        <v>0.345940155661453</v>
      </c>
      <c r="T94" s="14" t="n">
        <f aca="false">1/$C$13*(1-S94)</f>
        <v>8.91940330476677</v>
      </c>
      <c r="U94" s="16" t="n">
        <f aca="false">U93-V94</f>
        <v>0</v>
      </c>
      <c r="V94" s="16" t="n">
        <f aca="false">MAXA(0,MINA(G94+H94+AH94-P94,U93))</f>
        <v>0</v>
      </c>
      <c r="W94" s="16" t="n">
        <f aca="false">U93*$C$13</f>
        <v>0</v>
      </c>
      <c r="X94" s="16" t="n">
        <f aca="false">V94+W94</f>
        <v>0</v>
      </c>
      <c r="Y94" s="14" t="n">
        <f aca="false">1/(1+$C$16)*Y95</f>
        <v>0.294139891057514</v>
      </c>
      <c r="Z94" s="14" t="n">
        <f aca="false">1/$C$16*(1-Y94)</f>
        <v>8.30423657579396</v>
      </c>
      <c r="AA94" s="16" t="n">
        <f aca="false">AA93-AB94</f>
        <v>0</v>
      </c>
      <c r="AB94" s="16" t="n">
        <f aca="false">MAXA(0,MINA(+G94+H94+AH94-P94-V94,AA93))</f>
        <v>0</v>
      </c>
      <c r="AC94" s="16" t="n">
        <f aca="false">AA93*$C$16</f>
        <v>0</v>
      </c>
      <c r="AD94" s="16" t="n">
        <f aca="false">AB94+AC94</f>
        <v>0</v>
      </c>
      <c r="AE94" s="14" t="n">
        <f aca="false">1/(1+$C$19)*AE95</f>
        <v>0.274538041313118</v>
      </c>
      <c r="AF94" s="14" t="n">
        <f aca="false">1/$C$19*(1-AE94)</f>
        <v>8.06068842985425</v>
      </c>
      <c r="AG94" s="16" t="n">
        <f aca="false">AG93+AI94</f>
        <v>0</v>
      </c>
      <c r="AH94" s="16" t="n">
        <f aca="false">AG93*$C$19</f>
        <v>0</v>
      </c>
      <c r="AI94" s="16" t="n">
        <f aca="false">AG93*$C$19-AL94-AK94+AN94-AN94</f>
        <v>0</v>
      </c>
      <c r="AJ94" s="16" t="n">
        <f aca="false">AI94+AJ93</f>
        <v>-15000000</v>
      </c>
      <c r="AK94" s="16" t="n">
        <f aca="false">IF(AA94&gt;0,0,MINA(G94+H94-AB94,AG93))</f>
        <v>0</v>
      </c>
      <c r="AL94" s="16" t="n">
        <f aca="false">IF(AA94&gt;0,0,+AG93*$C$19)</f>
        <v>0</v>
      </c>
      <c r="AM94" s="16" t="n">
        <f aca="false">AK94+AL94</f>
        <v>0</v>
      </c>
      <c r="AN94" s="16"/>
      <c r="AO94" s="16" t="n">
        <f aca="false">G94+H94+K94-R94-X94-AD94-AM94</f>
        <v>52442365.1239013</v>
      </c>
    </row>
    <row r="95" customFormat="false" ht="12.75" hidden="false" customHeight="false" outlineLevel="0" collapsed="false">
      <c r="A95" s="13" t="n">
        <f aca="false">A94+1</f>
        <v>16</v>
      </c>
      <c r="B95" s="14" t="n">
        <f aca="false">1/(1+$C$3)*B96</f>
        <v>0.26333125430608</v>
      </c>
      <c r="C95" s="14" t="n">
        <f aca="false">1/$C$3*(1-B95)</f>
        <v>7.3666874569392</v>
      </c>
      <c r="D95" s="15" t="n">
        <f aca="false">D94</f>
        <v>0.06</v>
      </c>
      <c r="E95" s="16" t="n">
        <f aca="false">E94-H95-G95</f>
        <v>232355698.917695</v>
      </c>
      <c r="F95" s="16" t="n">
        <f aca="false">E94/C94</f>
        <v>33728814.3978465</v>
      </c>
      <c r="G95" s="16" t="n">
        <f aca="false">(E94-H95)*D95</f>
        <v>14831214.8245337</v>
      </c>
      <c r="H95" s="16" t="n">
        <f aca="false">F95-K95</f>
        <v>9357130.22131032</v>
      </c>
      <c r="I95" s="16" t="n">
        <f aca="false">E94*$C$5</f>
        <v>1282720.2198177</v>
      </c>
      <c r="J95" s="16" t="n">
        <f aca="false">E94*C$3</f>
        <v>25654404.3963539</v>
      </c>
      <c r="K95" s="16" t="n">
        <f aca="false">J95-I95</f>
        <v>24371684.1765362</v>
      </c>
      <c r="L95" s="16" t="n">
        <f aca="false">MAXA(0,+E95-$C$7)</f>
        <v>228355698.917695</v>
      </c>
      <c r="M95" s="14" t="n">
        <f aca="false">1/(1+$C$10)*M96</f>
        <v>0.382328343473476</v>
      </c>
      <c r="N95" s="14" t="n">
        <f aca="false">1/$C$10*(1-M95)</f>
        <v>8.68858709419784</v>
      </c>
      <c r="O95" s="16" t="n">
        <f aca="false">O94-P95</f>
        <v>0</v>
      </c>
      <c r="P95" s="16" t="n">
        <f aca="false">MAXA(0,MINA(G95+H95+AH95,O94))</f>
        <v>0</v>
      </c>
      <c r="Q95" s="16" t="n">
        <f aca="false">O94*$C$10</f>
        <v>0</v>
      </c>
      <c r="R95" s="16" t="n">
        <f aca="false">P95+Q95</f>
        <v>0</v>
      </c>
      <c r="S95" s="14" t="n">
        <f aca="false">1/(1+$C$13)*S96</f>
        <v>0.371307947276107</v>
      </c>
      <c r="T95" s="14" t="n">
        <f aca="false">1/$C$13*(1-S95)</f>
        <v>8.57346314910532</v>
      </c>
      <c r="U95" s="16" t="n">
        <f aca="false">U94-V95</f>
        <v>0</v>
      </c>
      <c r="V95" s="16" t="n">
        <f aca="false">MAXA(0,MINA(G95+H95+AH95-P95,U94))</f>
        <v>0</v>
      </c>
      <c r="W95" s="16" t="n">
        <f aca="false">U94*$C$13</f>
        <v>0</v>
      </c>
      <c r="X95" s="16" t="n">
        <f aca="false">V95+W95</f>
        <v>0</v>
      </c>
      <c r="Y95" s="14" t="n">
        <f aca="false">1/(1+$C$16)*Y96</f>
        <v>0.319141781797402</v>
      </c>
      <c r="Z95" s="14" t="n">
        <f aca="false">1/$C$16*(1-Y95)</f>
        <v>8.01009668473644</v>
      </c>
      <c r="AA95" s="16" t="n">
        <f aca="false">AA94-AB95</f>
        <v>0</v>
      </c>
      <c r="AB95" s="16" t="n">
        <f aca="false">MAXA(0,MINA(+G95+H95+AH95-P95-V95,AA94))</f>
        <v>0</v>
      </c>
      <c r="AC95" s="16" t="n">
        <f aca="false">AA94*$C$16</f>
        <v>0</v>
      </c>
      <c r="AD95" s="16" t="n">
        <f aca="false">AB95+AC95</f>
        <v>0</v>
      </c>
      <c r="AE95" s="14" t="n">
        <f aca="false">1/(1+$C$19)*AE96</f>
        <v>0.299246465031298</v>
      </c>
      <c r="AF95" s="14" t="n">
        <f aca="false">1/$C$19*(1-AE95)</f>
        <v>7.78615038854113</v>
      </c>
      <c r="AG95" s="16" t="n">
        <f aca="false">AG94+AI95</f>
        <v>0</v>
      </c>
      <c r="AH95" s="16" t="n">
        <f aca="false">AG94*$C$19</f>
        <v>0</v>
      </c>
      <c r="AI95" s="16" t="n">
        <f aca="false">AG94*$C$19-AL95-AK95+AN95-AN95</f>
        <v>0</v>
      </c>
      <c r="AJ95" s="16" t="n">
        <f aca="false">AI95+AJ94</f>
        <v>-15000000</v>
      </c>
      <c r="AK95" s="16" t="n">
        <f aca="false">IF(AA95&gt;0,0,MINA(G95+H95-AB95,AG94))</f>
        <v>0</v>
      </c>
      <c r="AL95" s="16" t="n">
        <f aca="false">IF(AA95&gt;0,0,+AG94*$C$19)</f>
        <v>0</v>
      </c>
      <c r="AM95" s="16" t="n">
        <f aca="false">AK95+AL95</f>
        <v>0</v>
      </c>
      <c r="AN95" s="16"/>
      <c r="AO95" s="16" t="n">
        <f aca="false">G95+H95+K95-R95-X95-AD95-AM95</f>
        <v>48560029.2223803</v>
      </c>
    </row>
    <row r="96" customFormat="false" ht="12.75" hidden="false" customHeight="false" outlineLevel="0" collapsed="false">
      <c r="A96" s="13" t="n">
        <f aca="false">A95+1</f>
        <v>17</v>
      </c>
      <c r="B96" s="14" t="n">
        <f aca="false">1/(1+$C$3)*B97</f>
        <v>0.289664379736688</v>
      </c>
      <c r="C96" s="14" t="n">
        <f aca="false">1/$C$3*(1-B96)</f>
        <v>7.10335620263312</v>
      </c>
      <c r="D96" s="15" t="n">
        <f aca="false">D95</f>
        <v>0.06</v>
      </c>
      <c r="E96" s="16" t="n">
        <f aca="false">E95-H96-G96</f>
        <v>209514796.836243</v>
      </c>
      <c r="F96" s="16" t="n">
        <f aca="false">E95/C95</f>
        <v>31541408.574192</v>
      </c>
      <c r="G96" s="16" t="n">
        <f aca="false">(E95-H96)*D96</f>
        <v>13373284.904441</v>
      </c>
      <c r="H96" s="16" t="n">
        <f aca="false">F96-K96</f>
        <v>9467617.177011</v>
      </c>
      <c r="I96" s="16" t="n">
        <f aca="false">E95*$C$5</f>
        <v>1161778.49458848</v>
      </c>
      <c r="J96" s="16" t="n">
        <f aca="false">E95*C$3</f>
        <v>23235569.8917695</v>
      </c>
      <c r="K96" s="16" t="n">
        <f aca="false">J96-I96</f>
        <v>22073791.397181</v>
      </c>
      <c r="L96" s="16" t="n">
        <f aca="false">MAXA(0,+E96-$C$7)</f>
        <v>205514796.836243</v>
      </c>
      <c r="M96" s="14" t="n">
        <f aca="false">1/(1+$C$10)*M97</f>
        <v>0.409508065411005</v>
      </c>
      <c r="N96" s="14" t="n">
        <f aca="false">1/$C$10*(1-M96)</f>
        <v>8.30625875072436</v>
      </c>
      <c r="O96" s="16" t="n">
        <f aca="false">O95-P96</f>
        <v>0</v>
      </c>
      <c r="P96" s="16" t="n">
        <f aca="false">MAXA(0,MINA(G96+H96+AH96,O95))</f>
        <v>0</v>
      </c>
      <c r="Q96" s="16" t="n">
        <f aca="false">O95*$C$10</f>
        <v>0</v>
      </c>
      <c r="R96" s="16" t="n">
        <f aca="false">P96+Q96</f>
        <v>0</v>
      </c>
      <c r="S96" s="14" t="n">
        <f aca="false">1/(1+$C$13)*S97</f>
        <v>0.398535959049864</v>
      </c>
      <c r="T96" s="14" t="n">
        <f aca="false">1/$C$13*(1-S96)</f>
        <v>8.20215520182922</v>
      </c>
      <c r="U96" s="16" t="n">
        <f aca="false">U95-V96</f>
        <v>0</v>
      </c>
      <c r="V96" s="16" t="n">
        <f aca="false">MAXA(0,MINA(G96+H96+AH96-P96,U95))</f>
        <v>0</v>
      </c>
      <c r="W96" s="16" t="n">
        <f aca="false">U95*$C$13</f>
        <v>0</v>
      </c>
      <c r="X96" s="16" t="n">
        <f aca="false">V96+W96</f>
        <v>0</v>
      </c>
      <c r="Y96" s="14" t="n">
        <f aca="false">1/(1+$C$16)*Y97</f>
        <v>0.346268833250182</v>
      </c>
      <c r="Z96" s="14" t="n">
        <f aca="false">1/$C$16*(1-Y96)</f>
        <v>7.69095490293904</v>
      </c>
      <c r="AA96" s="16" t="n">
        <f aca="false">AA95-AB96</f>
        <v>0</v>
      </c>
      <c r="AB96" s="16" t="n">
        <f aca="false">MAXA(0,MINA(+G96+H96+AH96-P96-V96,AA95))</f>
        <v>0</v>
      </c>
      <c r="AC96" s="16" t="n">
        <f aca="false">AA95*$C$16</f>
        <v>0</v>
      </c>
      <c r="AD96" s="16" t="n">
        <f aca="false">AB96+AC96</f>
        <v>0</v>
      </c>
      <c r="AE96" s="14" t="n">
        <f aca="false">1/(1+$C$19)*AE97</f>
        <v>0.326178646884115</v>
      </c>
      <c r="AF96" s="14" t="n">
        <f aca="false">1/$C$19*(1-AE96)</f>
        <v>7.48690392350983</v>
      </c>
      <c r="AG96" s="16" t="n">
        <f aca="false">AG95+AI96</f>
        <v>0</v>
      </c>
      <c r="AH96" s="16" t="n">
        <f aca="false">AG95*$C$19</f>
        <v>0</v>
      </c>
      <c r="AI96" s="16" t="n">
        <f aca="false">AG95*$C$19-AL96-AK96+AN96-AN96</f>
        <v>0</v>
      </c>
      <c r="AJ96" s="16" t="n">
        <f aca="false">AI96+AJ95</f>
        <v>-15000000</v>
      </c>
      <c r="AK96" s="16" t="n">
        <f aca="false">IF(AA96&gt;0,0,MINA(G96+H96-AB96,AG95))</f>
        <v>0</v>
      </c>
      <c r="AL96" s="16" t="n">
        <f aca="false">IF(AA96&gt;0,0,+AG95*$C$19)</f>
        <v>0</v>
      </c>
      <c r="AM96" s="16" t="n">
        <f aca="false">AK96+AL96</f>
        <v>0</v>
      </c>
      <c r="AN96" s="16"/>
      <c r="AO96" s="16" t="n">
        <f aca="false">G96+H96+K96-R96-X96-AD96-AM96</f>
        <v>44914693.4786331</v>
      </c>
    </row>
    <row r="97" customFormat="false" ht="12.75" hidden="false" customHeight="false" outlineLevel="0" collapsed="false">
      <c r="A97" s="13" t="n">
        <f aca="false">A96+1</f>
        <v>18</v>
      </c>
      <c r="B97" s="14" t="n">
        <f aca="false">1/(1+$C$3)*B98</f>
        <v>0.318630817710357</v>
      </c>
      <c r="C97" s="14" t="n">
        <f aca="false">1/$C$3*(1-B97)</f>
        <v>6.81369182289643</v>
      </c>
      <c r="D97" s="15" t="n">
        <f aca="false">D96</f>
        <v>0.06</v>
      </c>
      <c r="E97" s="16" t="n">
        <f aca="false">E96-H97-G97</f>
        <v>187928107.605893</v>
      </c>
      <c r="F97" s="16" t="n">
        <f aca="false">E96/C96</f>
        <v>29495183.8060125</v>
      </c>
      <c r="G97" s="16" t="n">
        <f aca="false">(E96-H97)*D97</f>
        <v>11995411.1237804</v>
      </c>
      <c r="H97" s="16" t="n">
        <f aca="false">F97-K97</f>
        <v>9591278.10656942</v>
      </c>
      <c r="I97" s="16" t="n">
        <f aca="false">E96*$C$5</f>
        <v>1047573.98418122</v>
      </c>
      <c r="J97" s="16" t="n">
        <f aca="false">E96*C$3</f>
        <v>20951479.6836243</v>
      </c>
      <c r="K97" s="16" t="n">
        <f aca="false">J97-I97</f>
        <v>19903905.6994431</v>
      </c>
      <c r="L97" s="16" t="n">
        <f aca="false">MAXA(0,+E97-$C$7)</f>
        <v>183928107.605893</v>
      </c>
      <c r="M97" s="14" t="n">
        <f aca="false">1/(1+$C$10)*M98</f>
        <v>0.438619993781074</v>
      </c>
      <c r="N97" s="14" t="n">
        <f aca="false">1/$C$10*(1-M97)</f>
        <v>7.89675068531336</v>
      </c>
      <c r="O97" s="16" t="n">
        <f aca="false">O96-P97</f>
        <v>0</v>
      </c>
      <c r="P97" s="16" t="n">
        <f aca="false">MAXA(0,MINA(G97+H97+AH97,O96))</f>
        <v>0</v>
      </c>
      <c r="Q97" s="16" t="n">
        <f aca="false">O96*$C$10</f>
        <v>0</v>
      </c>
      <c r="R97" s="16" t="n">
        <f aca="false">P97+Q97</f>
        <v>0</v>
      </c>
      <c r="S97" s="14" t="n">
        <f aca="false">1/(1+$C$13)*S98</f>
        <v>0.42776060092699</v>
      </c>
      <c r="T97" s="14" t="n">
        <f aca="false">1/$C$13*(1-S97)</f>
        <v>7.80361924277935</v>
      </c>
      <c r="U97" s="16" t="n">
        <f aca="false">U96-V97</f>
        <v>0</v>
      </c>
      <c r="V97" s="16" t="n">
        <f aca="false">MAXA(0,MINA(G97+H97+AH97-P97,U96))</f>
        <v>0</v>
      </c>
      <c r="W97" s="16" t="n">
        <f aca="false">U96*$C$13</f>
        <v>0</v>
      </c>
      <c r="X97" s="16" t="n">
        <f aca="false">V97+W97</f>
        <v>0</v>
      </c>
      <c r="Y97" s="14" t="n">
        <f aca="false">1/(1+$C$16)*Y98</f>
        <v>0.375701684076447</v>
      </c>
      <c r="Z97" s="14" t="n">
        <f aca="false">1/$C$16*(1-Y97)</f>
        <v>7.34468606968886</v>
      </c>
      <c r="AA97" s="16" t="n">
        <f aca="false">AA96-AB97</f>
        <v>0</v>
      </c>
      <c r="AB97" s="16" t="n">
        <f aca="false">MAXA(0,MINA(+G97+H97+AH97-P97-V97,AA96))</f>
        <v>0</v>
      </c>
      <c r="AC97" s="16" t="n">
        <f aca="false">AA96*$C$16</f>
        <v>0</v>
      </c>
      <c r="AD97" s="16" t="n">
        <f aca="false">AB97+AC97</f>
        <v>0</v>
      </c>
      <c r="AE97" s="14" t="n">
        <f aca="false">1/(1+$C$19)*AE98</f>
        <v>0.355534725103686</v>
      </c>
      <c r="AF97" s="14" t="n">
        <f aca="false">1/$C$19*(1-AE97)</f>
        <v>7.16072527662572</v>
      </c>
      <c r="AG97" s="16" t="n">
        <f aca="false">AG96+AI97</f>
        <v>0</v>
      </c>
      <c r="AH97" s="16" t="n">
        <f aca="false">AG96*$C$19</f>
        <v>0</v>
      </c>
      <c r="AI97" s="16" t="n">
        <f aca="false">AG96*$C$19-AL97-AK97+AN97-AN97</f>
        <v>0</v>
      </c>
      <c r="AJ97" s="16" t="n">
        <f aca="false">AI97+AJ96</f>
        <v>-15000000</v>
      </c>
      <c r="AK97" s="16" t="n">
        <f aca="false">IF(AA97&gt;0,0,MINA(G97+H97-AB97,AG96))</f>
        <v>0</v>
      </c>
      <c r="AL97" s="16" t="n">
        <f aca="false">IF(AA97&gt;0,0,+AG96*$C$19)</f>
        <v>0</v>
      </c>
      <c r="AM97" s="16" t="n">
        <f aca="false">AK97+AL97</f>
        <v>0</v>
      </c>
      <c r="AN97" s="16"/>
      <c r="AO97" s="16" t="n">
        <f aca="false">G97+H97+K97-R97-X97-AD97-AM97</f>
        <v>41490594.9297929</v>
      </c>
    </row>
    <row r="98" customFormat="false" ht="12.75" hidden="false" customHeight="false" outlineLevel="0" collapsed="false">
      <c r="A98" s="13" t="n">
        <f aca="false">A97+1</f>
        <v>19</v>
      </c>
      <c r="B98" s="14" t="n">
        <f aca="false">1/(1+$C$3)*B99</f>
        <v>0.350493899481392</v>
      </c>
      <c r="C98" s="14" t="n">
        <f aca="false">1/$C$3*(1-B98)</f>
        <v>6.49506100518608</v>
      </c>
      <c r="D98" s="15" t="n">
        <f aca="false">D97</f>
        <v>0.06</v>
      </c>
      <c r="E98" s="16" t="n">
        <f aca="false">E97-H98-G98</f>
        <v>167508306.210347</v>
      </c>
      <c r="F98" s="16" t="n">
        <f aca="false">E97/C97</f>
        <v>27580952.0727644</v>
      </c>
      <c r="G98" s="16" t="n">
        <f aca="false">(E97-H98)*D98</f>
        <v>10692019.5453413</v>
      </c>
      <c r="H98" s="16" t="n">
        <f aca="false">F98-K98</f>
        <v>9727781.85020455</v>
      </c>
      <c r="I98" s="16" t="n">
        <f aca="false">E97*$C$5</f>
        <v>939640.538029466</v>
      </c>
      <c r="J98" s="16" t="n">
        <f aca="false">E97*C$3</f>
        <v>18792810.7605893</v>
      </c>
      <c r="K98" s="16" t="n">
        <f aca="false">J98-I98</f>
        <v>17853170.2225599</v>
      </c>
      <c r="L98" s="16" t="n">
        <f aca="false">MAXA(0,+E98-$C$7)</f>
        <v>163508306.210347</v>
      </c>
      <c r="M98" s="14" t="n">
        <f aca="false">1/(1+$C$10)*M99</f>
        <v>0.46980148913897</v>
      </c>
      <c r="N98" s="14" t="n">
        <f aca="false">1/$C$10*(1-M98)</f>
        <v>7.45813069153228</v>
      </c>
      <c r="O98" s="16" t="n">
        <f aca="false">O97-P98</f>
        <v>0</v>
      </c>
      <c r="P98" s="16" t="n">
        <f aca="false">MAXA(0,MINA(G98+H98+AH98,O97))</f>
        <v>0</v>
      </c>
      <c r="Q98" s="16" t="n">
        <f aca="false">O97*$C$10</f>
        <v>0</v>
      </c>
      <c r="R98" s="16" t="n">
        <f aca="false">P98+Q98</f>
        <v>0</v>
      </c>
      <c r="S98" s="14" t="n">
        <f aca="false">1/(1+$C$13)*S99</f>
        <v>0.459128285792966</v>
      </c>
      <c r="T98" s="14" t="n">
        <f aca="false">1/$C$13*(1-S98)</f>
        <v>7.37585864185236</v>
      </c>
      <c r="U98" s="16" t="n">
        <f aca="false">U97-V98</f>
        <v>0</v>
      </c>
      <c r="V98" s="16" t="n">
        <f aca="false">MAXA(0,MINA(G98+H98+AH98-P98,U97))</f>
        <v>0</v>
      </c>
      <c r="W98" s="16" t="n">
        <f aca="false">U97*$C$13</f>
        <v>0</v>
      </c>
      <c r="X98" s="16" t="n">
        <f aca="false">V98+W98</f>
        <v>0</v>
      </c>
      <c r="Y98" s="14" t="n">
        <f aca="false">1/(1+$C$16)*Y99</f>
        <v>0.407636327222945</v>
      </c>
      <c r="Z98" s="14" t="n">
        <f aca="false">1/$C$16*(1-Y98)</f>
        <v>6.96898438561241</v>
      </c>
      <c r="AA98" s="16" t="n">
        <f aca="false">AA97-AB98</f>
        <v>0</v>
      </c>
      <c r="AB98" s="16" t="n">
        <f aca="false">MAXA(0,MINA(+G98+H98+AH98-P98-V98,AA97))</f>
        <v>0</v>
      </c>
      <c r="AC98" s="16" t="n">
        <f aca="false">AA97*$C$16</f>
        <v>0</v>
      </c>
      <c r="AD98" s="16" t="n">
        <f aca="false">AB98+AC98</f>
        <v>0</v>
      </c>
      <c r="AE98" s="14" t="n">
        <f aca="false">1/(1+$C$19)*AE99</f>
        <v>0.387532850363017</v>
      </c>
      <c r="AF98" s="14" t="n">
        <f aca="false">1/$C$19*(1-AE98)</f>
        <v>6.80519055152203</v>
      </c>
      <c r="AG98" s="16" t="n">
        <f aca="false">AG97+AI98</f>
        <v>0</v>
      </c>
      <c r="AH98" s="16" t="n">
        <f aca="false">AG97*$C$19</f>
        <v>0</v>
      </c>
      <c r="AI98" s="16" t="n">
        <f aca="false">AG97*$C$19-AL98-AK98+AN98-AN98</f>
        <v>0</v>
      </c>
      <c r="AJ98" s="16" t="n">
        <f aca="false">AI98+AJ97</f>
        <v>-15000000</v>
      </c>
      <c r="AK98" s="16" t="n">
        <f aca="false">IF(AA98&gt;0,0,MINA(G98+H98-AB98,AG97))</f>
        <v>0</v>
      </c>
      <c r="AL98" s="16" t="n">
        <f aca="false">IF(AA98&gt;0,0,+AG97*$C$19)</f>
        <v>0</v>
      </c>
      <c r="AM98" s="16" t="n">
        <f aca="false">AK98+AL98</f>
        <v>0</v>
      </c>
      <c r="AN98" s="16"/>
      <c r="AO98" s="16" t="n">
        <f aca="false">G98+H98+K98-R98-X98-AD98-AM98</f>
        <v>38272971.6181057</v>
      </c>
    </row>
    <row r="99" customFormat="false" ht="12.75" hidden="false" customHeight="false" outlineLevel="0" collapsed="false">
      <c r="A99" s="13" t="n">
        <f aca="false">A98+1</f>
        <v>20</v>
      </c>
      <c r="B99" s="14" t="n">
        <f aca="false">1/(1+$C$3)*B100</f>
        <v>0.385543289429532</v>
      </c>
      <c r="C99" s="14" t="n">
        <f aca="false">1/$C$3*(1-B99)</f>
        <v>6.14456710570468</v>
      </c>
      <c r="D99" s="15" t="n">
        <f aca="false">D98</f>
        <v>0.06</v>
      </c>
      <c r="E99" s="16" t="n">
        <f aca="false">E98-H99-G99</f>
        <v>148173600.751306</v>
      </c>
      <c r="F99" s="16" t="n">
        <f aca="false">E98/C98</f>
        <v>25790105.1393663</v>
      </c>
      <c r="G99" s="16" t="n">
        <f aca="false">(E98-H99)*D99</f>
        <v>9457889.40965784</v>
      </c>
      <c r="H99" s="16" t="n">
        <f aca="false">F99-K99</f>
        <v>9876816.04938335</v>
      </c>
      <c r="I99" s="16" t="n">
        <f aca="false">E98*$C$5</f>
        <v>837541.531051737</v>
      </c>
      <c r="J99" s="16" t="n">
        <f aca="false">E98*C$3</f>
        <v>16750830.6210347</v>
      </c>
      <c r="K99" s="16" t="n">
        <f aca="false">J99-I99</f>
        <v>15913289.089983</v>
      </c>
      <c r="L99" s="16" t="n">
        <f aca="false">MAXA(0,+E99-$C$7)</f>
        <v>144173600.751306</v>
      </c>
      <c r="M99" s="14" t="n">
        <f aca="false">1/(1+$C$10)*M100</f>
        <v>0.50319967700186</v>
      </c>
      <c r="N99" s="14" t="n">
        <f aca="false">1/$C$10*(1-M99)</f>
        <v>6.98832920239331</v>
      </c>
      <c r="O99" s="16" t="n">
        <f aca="false">O98-P99</f>
        <v>0</v>
      </c>
      <c r="P99" s="16" t="n">
        <f aca="false">MAXA(0,MINA(G99+H99+AH99,O98))</f>
        <v>0</v>
      </c>
      <c r="Q99" s="16" t="n">
        <f aca="false">O98*$C$10</f>
        <v>0</v>
      </c>
      <c r="R99" s="16" t="n">
        <f aca="false">P99+Q99</f>
        <v>0</v>
      </c>
      <c r="S99" s="14" t="n">
        <f aca="false">1/(1+$C$13)*S100</f>
        <v>0.492796162990165</v>
      </c>
      <c r="T99" s="14" t="n">
        <f aca="false">1/$C$13*(1-S99)</f>
        <v>6.9167303560594</v>
      </c>
      <c r="U99" s="16" t="n">
        <f aca="false">U98-V99</f>
        <v>0</v>
      </c>
      <c r="V99" s="16" t="n">
        <f aca="false">MAXA(0,MINA(G99+H99+AH99-P99,U98))</f>
        <v>0</v>
      </c>
      <c r="W99" s="16" t="n">
        <f aca="false">U98*$C$13</f>
        <v>0</v>
      </c>
      <c r="X99" s="16" t="n">
        <f aca="false">V99+W99</f>
        <v>0</v>
      </c>
      <c r="Y99" s="14" t="n">
        <f aca="false">1/(1+$C$16)*Y100</f>
        <v>0.442285415036895</v>
      </c>
      <c r="Z99" s="14" t="n">
        <f aca="false">1/$C$16*(1-Y99)</f>
        <v>6.56134805838947</v>
      </c>
      <c r="AA99" s="16" t="n">
        <f aca="false">AA98-AB99</f>
        <v>0</v>
      </c>
      <c r="AB99" s="16" t="n">
        <f aca="false">MAXA(0,MINA(+G99+H99+AH99-P99-V99,AA98))</f>
        <v>0</v>
      </c>
      <c r="AC99" s="16" t="n">
        <f aca="false">AA98*$C$16</f>
        <v>0</v>
      </c>
      <c r="AD99" s="16" t="n">
        <f aca="false">AB99+AC99</f>
        <v>0</v>
      </c>
      <c r="AE99" s="14" t="n">
        <f aca="false">1/(1+$C$19)*AE100</f>
        <v>0.422410806895689</v>
      </c>
      <c r="AF99" s="14" t="n">
        <f aca="false">1/$C$19*(1-AE99)</f>
        <v>6.41765770115901</v>
      </c>
      <c r="AG99" s="16" t="n">
        <f aca="false">AG98+AI99</f>
        <v>0</v>
      </c>
      <c r="AH99" s="16" t="n">
        <f aca="false">AG98*$C$19</f>
        <v>0</v>
      </c>
      <c r="AI99" s="16" t="n">
        <f aca="false">AG98*$C$19-AL99-AK99+AN99-AN99</f>
        <v>0</v>
      </c>
      <c r="AJ99" s="16" t="n">
        <f aca="false">AI99+AJ98</f>
        <v>-15000000</v>
      </c>
      <c r="AK99" s="16" t="n">
        <f aca="false">IF(AA99&gt;0,0,MINA(G99+H99-AB99,AG98))</f>
        <v>0</v>
      </c>
      <c r="AL99" s="16" t="n">
        <f aca="false">IF(AA99&gt;0,0,+AG98*$C$19)</f>
        <v>0</v>
      </c>
      <c r="AM99" s="16" t="n">
        <f aca="false">AK99+AL99</f>
        <v>0</v>
      </c>
      <c r="AN99" s="16"/>
      <c r="AO99" s="16" t="n">
        <f aca="false">G99+H99+K99-R99-X99-AD99-AM99</f>
        <v>35247994.5490242</v>
      </c>
    </row>
    <row r="100" customFormat="false" ht="12.75" hidden="false" customHeight="false" outlineLevel="0" collapsed="false">
      <c r="A100" s="13" t="n">
        <f aca="false">A99+1</f>
        <v>21</v>
      </c>
      <c r="B100" s="14" t="n">
        <f aca="false">1/(1+$C$3)*B101</f>
        <v>0.424097618372485</v>
      </c>
      <c r="C100" s="14" t="n">
        <f aca="false">1/$C$3*(1-B100)</f>
        <v>5.75902381627515</v>
      </c>
      <c r="D100" s="15" t="n">
        <f aca="false">D99</f>
        <v>0.06</v>
      </c>
      <c r="E100" s="16" t="n">
        <f aca="false">E99-H100-G100</f>
        <v>129847390.357811</v>
      </c>
      <c r="F100" s="16" t="n">
        <f aca="false">E99/C99</f>
        <v>24114571.1654349</v>
      </c>
      <c r="G100" s="16" t="n">
        <f aca="false">(E99-H100)*D100</f>
        <v>8288131.29943472</v>
      </c>
      <c r="H100" s="16" t="n">
        <f aca="false">F100-K100</f>
        <v>10038079.0940609</v>
      </c>
      <c r="I100" s="16" t="n">
        <f aca="false">E99*$C$5</f>
        <v>740868.003756531</v>
      </c>
      <c r="J100" s="16" t="n">
        <f aca="false">E99*C$3</f>
        <v>14817360.0751306</v>
      </c>
      <c r="K100" s="16" t="n">
        <f aca="false">J100-I100</f>
        <v>14076492.0713741</v>
      </c>
      <c r="L100" s="16" t="n">
        <f aca="false">MAXA(0,+E100-$C$7)</f>
        <v>125847390.357811</v>
      </c>
      <c r="M100" s="14" t="n">
        <f aca="false">1/(1+$C$10)*M101</f>
        <v>0.538972142039922</v>
      </c>
      <c r="N100" s="14" t="n">
        <f aca="false">1/$C$10*(1-M100)</f>
        <v>6.48512952539145</v>
      </c>
      <c r="O100" s="16" t="n">
        <f aca="false">O99-P100</f>
        <v>0</v>
      </c>
      <c r="P100" s="16" t="n">
        <f aca="false">MAXA(0,MINA(G100+H100+AH100,O99))</f>
        <v>0</v>
      </c>
      <c r="Q100" s="16" t="n">
        <f aca="false">O99*$C$10</f>
        <v>0</v>
      </c>
      <c r="R100" s="16" t="n">
        <f aca="false">P100+Q100</f>
        <v>0</v>
      </c>
      <c r="S100" s="14" t="n">
        <f aca="false">1/(1+$C$13)*S101</f>
        <v>0.528932905622233</v>
      </c>
      <c r="T100" s="14" t="n">
        <f aca="false">1/$C$13*(1-S100)</f>
        <v>6.42393419306923</v>
      </c>
      <c r="U100" s="16" t="n">
        <f aca="false">U99-V100</f>
        <v>0</v>
      </c>
      <c r="V100" s="16" t="n">
        <f aca="false">MAXA(0,MINA(G100+H100+AH100-P100,U99))</f>
        <v>0</v>
      </c>
      <c r="W100" s="16" t="n">
        <f aca="false">U99*$C$13</f>
        <v>0</v>
      </c>
      <c r="X100" s="16" t="n">
        <f aca="false">V100+W100</f>
        <v>0</v>
      </c>
      <c r="Y100" s="14" t="n">
        <f aca="false">1/(1+$C$16)*Y101</f>
        <v>0.479879675315031</v>
      </c>
      <c r="Z100" s="14" t="n">
        <f aca="false">1/$C$16*(1-Y100)</f>
        <v>6.11906264335257</v>
      </c>
      <c r="AA100" s="16" t="n">
        <f aca="false">AA99-AB100</f>
        <v>0</v>
      </c>
      <c r="AB100" s="16" t="n">
        <f aca="false">MAXA(0,MINA(+G100+H100+AH100-P100-V100,AA99))</f>
        <v>0</v>
      </c>
      <c r="AC100" s="16" t="n">
        <f aca="false">AA99*$C$16</f>
        <v>0</v>
      </c>
      <c r="AD100" s="16" t="n">
        <f aca="false">AB100+AC100</f>
        <v>0</v>
      </c>
      <c r="AE100" s="14" t="n">
        <f aca="false">1/(1+$C$19)*AE101</f>
        <v>0.460427779516301</v>
      </c>
      <c r="AF100" s="14" t="n">
        <f aca="false">1/$C$19*(1-AE100)</f>
        <v>5.99524689426332</v>
      </c>
      <c r="AG100" s="16" t="n">
        <f aca="false">AG99+AI100</f>
        <v>0</v>
      </c>
      <c r="AH100" s="16" t="n">
        <f aca="false">AG99*$C$19</f>
        <v>0</v>
      </c>
      <c r="AI100" s="16" t="n">
        <f aca="false">AG99*$C$19-AL100-AK100+AN100-AN100</f>
        <v>0</v>
      </c>
      <c r="AJ100" s="16" t="n">
        <f aca="false">AI100+AJ99</f>
        <v>-15000000</v>
      </c>
      <c r="AK100" s="16" t="n">
        <f aca="false">IF(AA100&gt;0,0,MINA(G100+H100-AB100,AG99))</f>
        <v>0</v>
      </c>
      <c r="AL100" s="16" t="n">
        <f aca="false">IF(AA100&gt;0,0,+AG99*$C$19)</f>
        <v>0</v>
      </c>
      <c r="AM100" s="16" t="n">
        <f aca="false">AK100+AL100</f>
        <v>0</v>
      </c>
      <c r="AN100" s="16"/>
      <c r="AO100" s="16" t="n">
        <f aca="false">G100+H100+K100-R100-X100-AD100-AM100</f>
        <v>32402702.4648697</v>
      </c>
    </row>
    <row r="101" customFormat="false" ht="12.75" hidden="false" customHeight="false" outlineLevel="0" collapsed="false">
      <c r="A101" s="13" t="n">
        <f aca="false">A100+1</f>
        <v>22</v>
      </c>
      <c r="B101" s="14" t="n">
        <f aca="false">1/(1+$C$3)*B102</f>
        <v>0.466507380209733</v>
      </c>
      <c r="C101" s="14" t="n">
        <f aca="false">1/$C$3*(1-B101)</f>
        <v>5.33492619790267</v>
      </c>
      <c r="D101" s="15" t="n">
        <f aca="false">D100</f>
        <v>0.06</v>
      </c>
      <c r="E101" s="16" t="n">
        <f aca="false">E100-H101-G101</f>
        <v>112457954.287715</v>
      </c>
      <c r="F101" s="16" t="n">
        <f aca="false">E100/C100</f>
        <v>22546770.8591269</v>
      </c>
      <c r="G101" s="16" t="n">
        <f aca="false">(E100-H101)*D101</f>
        <v>7178167.29496054</v>
      </c>
      <c r="H101" s="16" t="n">
        <f aca="false">F101-K101</f>
        <v>10211268.7751349</v>
      </c>
      <c r="I101" s="16" t="n">
        <f aca="false">E100*$C$5</f>
        <v>649236.951789053</v>
      </c>
      <c r="J101" s="16" t="n">
        <f aca="false">E100*C$3</f>
        <v>12984739.0357811</v>
      </c>
      <c r="K101" s="16" t="n">
        <f aca="false">J101-I101</f>
        <v>12335502.083992</v>
      </c>
      <c r="L101" s="16" t="n">
        <f aca="false">MAXA(0,+E101-$C$7)</f>
        <v>108457954.287715</v>
      </c>
      <c r="M101" s="14" t="n">
        <f aca="false">1/(1+$C$10)*M102</f>
        <v>0.57728767161754</v>
      </c>
      <c r="N101" s="14" t="n">
        <f aca="false">1/$C$10*(1-M101)</f>
        <v>5.94615738335153</v>
      </c>
      <c r="O101" s="16" t="n">
        <f aca="false">O100-P101</f>
        <v>0</v>
      </c>
      <c r="P101" s="16" t="n">
        <f aca="false">MAXA(0,MINA(G101+H101+AH101,O100))</f>
        <v>0</v>
      </c>
      <c r="Q101" s="16" t="n">
        <f aca="false">O100*$C$10</f>
        <v>0</v>
      </c>
      <c r="R101" s="16" t="n">
        <f aca="false">P101+Q101</f>
        <v>0</v>
      </c>
      <c r="S101" s="14" t="n">
        <f aca="false">1/(1+$C$13)*S102</f>
        <v>0.567719555591512</v>
      </c>
      <c r="T101" s="14" t="n">
        <f aca="false">1/$C$13*(1-S101)</f>
        <v>5.895001287447</v>
      </c>
      <c r="U101" s="16" t="n">
        <f aca="false">U100-V101</f>
        <v>0</v>
      </c>
      <c r="V101" s="16" t="n">
        <f aca="false">MAXA(0,MINA(G101+H101+AH101-P101,U100))</f>
        <v>0</v>
      </c>
      <c r="W101" s="16" t="n">
        <f aca="false">U100*$C$13</f>
        <v>0</v>
      </c>
      <c r="X101" s="16" t="n">
        <f aca="false">V101+W101</f>
        <v>0</v>
      </c>
      <c r="Y101" s="14" t="n">
        <f aca="false">1/(1+$C$16)*Y102</f>
        <v>0.520669447716809</v>
      </c>
      <c r="Z101" s="14" t="n">
        <f aca="false">1/$C$16*(1-Y101)</f>
        <v>5.63918296803754</v>
      </c>
      <c r="AA101" s="16" t="n">
        <f aca="false">AA100-AB101</f>
        <v>0</v>
      </c>
      <c r="AB101" s="16" t="n">
        <f aca="false">MAXA(0,MINA(+G101+H101+AH101-P101-V101,AA100))</f>
        <v>0</v>
      </c>
      <c r="AC101" s="16" t="n">
        <f aca="false">AA100*$C$16</f>
        <v>0</v>
      </c>
      <c r="AD101" s="16" t="n">
        <f aca="false">AB101+AC101</f>
        <v>0</v>
      </c>
      <c r="AE101" s="14" t="n">
        <f aca="false">1/(1+$C$19)*AE102</f>
        <v>0.501866279672768</v>
      </c>
      <c r="AF101" s="14" t="n">
        <f aca="false">1/$C$19*(1-AE101)</f>
        <v>5.53481911474702</v>
      </c>
      <c r="AG101" s="16" t="n">
        <f aca="false">AG100+AI101</f>
        <v>0</v>
      </c>
      <c r="AH101" s="16" t="n">
        <f aca="false">AG100*$C$19</f>
        <v>0</v>
      </c>
      <c r="AI101" s="16" t="n">
        <f aca="false">AG100*$C$19-AL101-AK101+AN101-AN101</f>
        <v>0</v>
      </c>
      <c r="AJ101" s="16" t="n">
        <f aca="false">AI101+AJ100</f>
        <v>-15000000</v>
      </c>
      <c r="AK101" s="16" t="n">
        <f aca="false">IF(AA101&gt;0,0,MINA(G101+H101-AB101,AG100))</f>
        <v>0</v>
      </c>
      <c r="AL101" s="16" t="n">
        <f aca="false">IF(AA101&gt;0,0,+AG100*$C$19)</f>
        <v>0</v>
      </c>
      <c r="AM101" s="16" t="n">
        <f aca="false">AK101+AL101</f>
        <v>0</v>
      </c>
      <c r="AN101" s="16"/>
      <c r="AO101" s="16" t="n">
        <f aca="false">G101+H101+K101-R101-X101-AD101-AM101</f>
        <v>29724938.1540875</v>
      </c>
    </row>
    <row r="102" customFormat="false" ht="12.75" hidden="false" customHeight="false" outlineLevel="0" collapsed="false">
      <c r="A102" s="13" t="n">
        <f aca="false">A101+1</f>
        <v>23</v>
      </c>
      <c r="B102" s="14" t="n">
        <f aca="false">1/(1+$C$3)*B103</f>
        <v>0.513158118230707</v>
      </c>
      <c r="C102" s="14" t="n">
        <f aca="false">1/$C$3*(1-B102)</f>
        <v>4.86841881769293</v>
      </c>
      <c r="D102" s="15" t="n">
        <f aca="false">D101</f>
        <v>0.06</v>
      </c>
      <c r="E102" s="16" t="n">
        <f aca="false">E101-H102-G102</f>
        <v>95938175.8340072</v>
      </c>
      <c r="F102" s="16" t="n">
        <f aca="false">E101/C101</f>
        <v>21079570.759934</v>
      </c>
      <c r="G102" s="16" t="n">
        <f aca="false">(E101-H102)*D102</f>
        <v>6123713.35110684</v>
      </c>
      <c r="H102" s="16" t="n">
        <f aca="false">F102-K102</f>
        <v>10396065.1026011</v>
      </c>
      <c r="I102" s="16" t="n">
        <f aca="false">E101*$C$5</f>
        <v>562289.771438576</v>
      </c>
      <c r="J102" s="16" t="n">
        <f aca="false">E101*C$3</f>
        <v>11245795.4287715</v>
      </c>
      <c r="K102" s="16" t="n">
        <f aca="false">J102-I102</f>
        <v>10683505.6573329</v>
      </c>
      <c r="L102" s="16" t="n">
        <f aca="false">MAXA(0,+E102-$C$7)</f>
        <v>91938175.8340072</v>
      </c>
      <c r="M102" s="14" t="n">
        <f aca="false">1/(1+$C$10)*M103</f>
        <v>0.618327052192831</v>
      </c>
      <c r="N102" s="14" t="n">
        <f aca="false">1/$C$10*(1-M102)</f>
        <v>5.36886971173399</v>
      </c>
      <c r="O102" s="16" t="n">
        <f aca="false">O101-P102</f>
        <v>0</v>
      </c>
      <c r="P102" s="16" t="n">
        <f aca="false">MAXA(0,MINA(G102+H102+AH102,O101))</f>
        <v>0</v>
      </c>
      <c r="Q102" s="16" t="n">
        <f aca="false">O101*$C$10</f>
        <v>0</v>
      </c>
      <c r="R102" s="16" t="n">
        <f aca="false">P102+Q102</f>
        <v>0</v>
      </c>
      <c r="S102" s="14" t="n">
        <f aca="false">1/(1+$C$13)*S103</f>
        <v>0.609350430603037</v>
      </c>
      <c r="T102" s="14" t="n">
        <f aca="false">1/$C$13*(1-S102)</f>
        <v>5.32728173185549</v>
      </c>
      <c r="U102" s="16" t="n">
        <f aca="false">U101-V102</f>
        <v>0</v>
      </c>
      <c r="V102" s="16" t="n">
        <f aca="false">MAXA(0,MINA(G102+H102+AH102-P102,U101))</f>
        <v>0</v>
      </c>
      <c r="W102" s="16" t="n">
        <f aca="false">U101*$C$13</f>
        <v>0</v>
      </c>
      <c r="X102" s="16" t="n">
        <f aca="false">V102+W102</f>
        <v>0</v>
      </c>
      <c r="Y102" s="14" t="n">
        <f aca="false">1/(1+$C$16)*Y103</f>
        <v>0.564926350772738</v>
      </c>
      <c r="Z102" s="14" t="n">
        <f aca="false">1/$C$16*(1-Y102)</f>
        <v>5.11851352032073</v>
      </c>
      <c r="AA102" s="16" t="n">
        <f aca="false">AA101-AB102</f>
        <v>0</v>
      </c>
      <c r="AB102" s="16" t="n">
        <f aca="false">MAXA(0,MINA(+G102+H102+AH102-P102-V102,AA101))</f>
        <v>0</v>
      </c>
      <c r="AC102" s="16" t="n">
        <f aca="false">AA101*$C$16</f>
        <v>0</v>
      </c>
      <c r="AD102" s="16" t="n">
        <f aca="false">AB102+AC102</f>
        <v>0</v>
      </c>
      <c r="AE102" s="14" t="n">
        <f aca="false">1/(1+$C$19)*AE103</f>
        <v>0.547034244843317</v>
      </c>
      <c r="AF102" s="14" t="n">
        <f aca="false">1/$C$19*(1-AE102)</f>
        <v>5.03295283507425</v>
      </c>
      <c r="AG102" s="16" t="n">
        <f aca="false">AG101+AI102</f>
        <v>0</v>
      </c>
      <c r="AH102" s="16" t="n">
        <f aca="false">AG101*$C$19</f>
        <v>0</v>
      </c>
      <c r="AI102" s="16" t="n">
        <f aca="false">AG101*$C$19-AL102-AK102+AN102-AN102</f>
        <v>0</v>
      </c>
      <c r="AJ102" s="16" t="n">
        <f aca="false">AI102+AJ101</f>
        <v>-15000000</v>
      </c>
      <c r="AK102" s="16" t="n">
        <f aca="false">IF(AA102&gt;0,0,MINA(G102+H102-AB102,AG101))</f>
        <v>0</v>
      </c>
      <c r="AL102" s="16" t="n">
        <f aca="false">IF(AA102&gt;0,0,+AG101*$C$19)</f>
        <v>0</v>
      </c>
      <c r="AM102" s="16" t="n">
        <f aca="false">AK102+AL102</f>
        <v>0</v>
      </c>
      <c r="AN102" s="16"/>
      <c r="AO102" s="16" t="n">
        <f aca="false">G102+H102+K102-R102-X102-AD102-AM102</f>
        <v>27203284.1110409</v>
      </c>
    </row>
    <row r="103" customFormat="false" ht="12.75" hidden="false" customHeight="false" outlineLevel="0" collapsed="false">
      <c r="A103" s="13" t="n">
        <f aca="false">A102+1</f>
        <v>24</v>
      </c>
      <c r="B103" s="14" t="n">
        <f aca="false">1/(1+$C$3)*B104</f>
        <v>0.564473930053777</v>
      </c>
      <c r="C103" s="14" t="n">
        <f aca="false">1/$C$3*(1-B103)</f>
        <v>4.35526069946223</v>
      </c>
      <c r="D103" s="15" t="n">
        <f aca="false">D102</f>
        <v>0.06</v>
      </c>
      <c r="E103" s="16" t="n">
        <f aca="false">E102-H103-G103</f>
        <v>80225309.1752486</v>
      </c>
      <c r="F103" s="16" t="n">
        <f aca="false">E102/C102</f>
        <v>19706228.9475479</v>
      </c>
      <c r="G103" s="16" t="n">
        <f aca="false">(E102-H103)*D103</f>
        <v>5120764.4154414</v>
      </c>
      <c r="H103" s="16" t="n">
        <f aca="false">F103-K103</f>
        <v>10592102.2433172</v>
      </c>
      <c r="I103" s="16" t="n">
        <f aca="false">E102*$C$5</f>
        <v>479690.879170036</v>
      </c>
      <c r="J103" s="16" t="n">
        <f aca="false">E102*C$3</f>
        <v>9593817.58340072</v>
      </c>
      <c r="K103" s="16" t="n">
        <f aca="false">J103-I103</f>
        <v>9114126.70423068</v>
      </c>
      <c r="L103" s="16" t="n">
        <f aca="false">MAXA(0,+E103-$C$7)</f>
        <v>76225309.1752486</v>
      </c>
      <c r="M103" s="14" t="n">
        <f aca="false">1/(1+$C$10)*M104</f>
        <v>0.662283922333219</v>
      </c>
      <c r="N103" s="14" t="n">
        <f aca="false">1/$C$10*(1-M103)</f>
        <v>4.75054265954116</v>
      </c>
      <c r="O103" s="16" t="n">
        <f aca="false">O102-P103</f>
        <v>0</v>
      </c>
      <c r="P103" s="16" t="n">
        <f aca="false">MAXA(0,MINA(G103+H103+AH103,O102))</f>
        <v>0</v>
      </c>
      <c r="Q103" s="16" t="n">
        <f aca="false">O102*$C$10</f>
        <v>0</v>
      </c>
      <c r="R103" s="16" t="n">
        <f aca="false">P103+Q103</f>
        <v>0</v>
      </c>
      <c r="S103" s="14" t="n">
        <f aca="false">1/(1+$C$13)*S104</f>
        <v>0.654034097679158</v>
      </c>
      <c r="T103" s="14" t="n">
        <f aca="false">1/$C$13*(1-S103)</f>
        <v>4.71793130125245</v>
      </c>
      <c r="U103" s="16" t="n">
        <f aca="false">U102-V103</f>
        <v>0</v>
      </c>
      <c r="V103" s="16" t="n">
        <f aca="false">MAXA(0,MINA(G103+H103+AH103-P103,U102))</f>
        <v>0</v>
      </c>
      <c r="W103" s="16" t="n">
        <f aca="false">U102*$C$13</f>
        <v>0</v>
      </c>
      <c r="X103" s="16" t="n">
        <f aca="false">V103+W103</f>
        <v>0</v>
      </c>
      <c r="Y103" s="14" t="n">
        <f aca="false">1/(1+$C$16)*Y104</f>
        <v>0.61294509058842</v>
      </c>
      <c r="Z103" s="14" t="n">
        <f aca="false">1/$C$16*(1-Y103)</f>
        <v>4.553587169548</v>
      </c>
      <c r="AA103" s="16" t="n">
        <f aca="false">AA102-AB103</f>
        <v>0</v>
      </c>
      <c r="AB103" s="16" t="n">
        <f aca="false">MAXA(0,MINA(+G103+H103+AH103-P103-V103,AA102))</f>
        <v>0</v>
      </c>
      <c r="AC103" s="16" t="n">
        <f aca="false">AA102*$C$16</f>
        <v>0</v>
      </c>
      <c r="AD103" s="16" t="n">
        <f aca="false">AB103+AC103</f>
        <v>0</v>
      </c>
      <c r="AE103" s="14" t="n">
        <f aca="false">1/(1+$C$19)*AE104</f>
        <v>0.596267326879216</v>
      </c>
      <c r="AF103" s="14" t="n">
        <f aca="false">1/$C$19*(1-AE103)</f>
        <v>4.48591859023094</v>
      </c>
      <c r="AG103" s="16" t="n">
        <f aca="false">AG102+AI103</f>
        <v>0</v>
      </c>
      <c r="AH103" s="16" t="n">
        <f aca="false">AG102*$C$19</f>
        <v>0</v>
      </c>
      <c r="AI103" s="16" t="n">
        <f aca="false">AG102*$C$19-AL103-AK103+AN103-AN103</f>
        <v>0</v>
      </c>
      <c r="AJ103" s="16" t="n">
        <f aca="false">AI103+AJ102</f>
        <v>-15000000</v>
      </c>
      <c r="AK103" s="16" t="n">
        <f aca="false">IF(AA103&gt;0,0,MINA(G103+H103-AB103,AG102))</f>
        <v>0</v>
      </c>
      <c r="AL103" s="16" t="n">
        <f aca="false">IF(AA103&gt;0,0,+AG102*$C$19)</f>
        <v>0</v>
      </c>
      <c r="AM103" s="16" t="n">
        <f aca="false">AK103+AL103</f>
        <v>0</v>
      </c>
      <c r="AN103" s="16"/>
      <c r="AO103" s="16" t="n">
        <f aca="false">G103+H103+K103-R103-X103-AD103-AM103</f>
        <v>24826993.3629893</v>
      </c>
    </row>
    <row r="104" customFormat="false" ht="12.75" hidden="false" customHeight="false" outlineLevel="0" collapsed="false">
      <c r="A104" s="13" t="n">
        <f aca="false">A103+1</f>
        <v>25</v>
      </c>
      <c r="B104" s="14" t="n">
        <f aca="false">1/(1+$C$3)*B105</f>
        <v>0.620921323059155</v>
      </c>
      <c r="C104" s="14" t="n">
        <f aca="false">1/$C$3*(1-B104)</f>
        <v>3.79078676940845</v>
      </c>
      <c r="D104" s="15" t="n">
        <f aca="false">D103</f>
        <v>0.06</v>
      </c>
      <c r="E104" s="16" t="n">
        <f aca="false">E103-H104-G104</f>
        <v>65260807.0402803</v>
      </c>
      <c r="F104" s="16" t="n">
        <f aca="false">E103/C103</f>
        <v>18420323.0785139</v>
      </c>
      <c r="G104" s="16" t="n">
        <f aca="false">(E103-H104)*D104</f>
        <v>4165583.428103</v>
      </c>
      <c r="H104" s="16" t="n">
        <f aca="false">F104-K104</f>
        <v>10798918.7068653</v>
      </c>
      <c r="I104" s="16" t="n">
        <f aca="false">E103*$C$5</f>
        <v>401126.545876243</v>
      </c>
      <c r="J104" s="16" t="n">
        <f aca="false">E103*C$3</f>
        <v>8022530.91752486</v>
      </c>
      <c r="K104" s="16" t="n">
        <f aca="false">J104-I104</f>
        <v>7621404.37164862</v>
      </c>
      <c r="L104" s="16" t="n">
        <f aca="false">MAXA(0,+E104-$C$7)</f>
        <v>61260807.0402803</v>
      </c>
      <c r="M104" s="14" t="n">
        <f aca="false">1/(1+$C$10)*M105</f>
        <v>0.709365686371888</v>
      </c>
      <c r="N104" s="14" t="n">
        <f aca="false">1/$C$10*(1-M104)</f>
        <v>4.08825873720794</v>
      </c>
      <c r="O104" s="16" t="n">
        <f aca="false">O103-P104</f>
        <v>0</v>
      </c>
      <c r="P104" s="16" t="n">
        <f aca="false">MAXA(0,MINA(G104+H104+AH104,O103))</f>
        <v>0</v>
      </c>
      <c r="Q104" s="16" t="n">
        <f aca="false">O103*$C$10</f>
        <v>0</v>
      </c>
      <c r="R104" s="16" t="n">
        <f aca="false">P104+Q104</f>
        <v>0</v>
      </c>
      <c r="S104" s="14" t="n">
        <f aca="false">1/(1+$C$13)*S105</f>
        <v>0.701994418061971</v>
      </c>
      <c r="T104" s="14" t="n">
        <f aca="false">1/$C$13*(1-S104)</f>
        <v>4.06389720357329</v>
      </c>
      <c r="U104" s="16" t="n">
        <f aca="false">U103-V104</f>
        <v>0</v>
      </c>
      <c r="V104" s="16" t="n">
        <f aca="false">MAXA(0,MINA(G104+H104+AH104-P104,U103))</f>
        <v>0</v>
      </c>
      <c r="W104" s="16" t="n">
        <f aca="false">U103*$C$13</f>
        <v>0</v>
      </c>
      <c r="X104" s="16" t="n">
        <f aca="false">V104+W104</f>
        <v>0</v>
      </c>
      <c r="Y104" s="14" t="n">
        <f aca="false">1/(1+$C$16)*Y105</f>
        <v>0.665045423288436</v>
      </c>
      <c r="Z104" s="14" t="n">
        <f aca="false">1/$C$16*(1-Y104)</f>
        <v>3.94064207895958</v>
      </c>
      <c r="AA104" s="16" t="n">
        <f aca="false">AA103-AB104</f>
        <v>0</v>
      </c>
      <c r="AB104" s="16" t="n">
        <f aca="false">MAXA(0,MINA(+G104+H104+AH104-P104-V104,AA103))</f>
        <v>0</v>
      </c>
      <c r="AC104" s="16" t="n">
        <f aca="false">AA103*$C$16</f>
        <v>0</v>
      </c>
      <c r="AD104" s="16" t="n">
        <f aca="false">AB104+AC104</f>
        <v>0</v>
      </c>
      <c r="AE104" s="14" t="n">
        <f aca="false">1/(1+$C$19)*AE105</f>
        <v>0.649931386298345</v>
      </c>
      <c r="AF104" s="14" t="n">
        <f aca="false">1/$C$19*(1-AE104)</f>
        <v>3.88965126335172</v>
      </c>
      <c r="AG104" s="16" t="n">
        <f aca="false">AG103+AI104</f>
        <v>0</v>
      </c>
      <c r="AH104" s="16" t="n">
        <f aca="false">AG103*$C$19</f>
        <v>0</v>
      </c>
      <c r="AI104" s="16" t="n">
        <f aca="false">AG103*$C$19-AL104-AK104+AN104-AN104</f>
        <v>0</v>
      </c>
      <c r="AJ104" s="16" t="n">
        <f aca="false">AI104+AJ103</f>
        <v>-15000000</v>
      </c>
      <c r="AK104" s="16" t="n">
        <f aca="false">IF(AA104&gt;0,0,MINA(G104+H104-AB104,AG103))</f>
        <v>0</v>
      </c>
      <c r="AL104" s="16" t="n">
        <f aca="false">IF(AA104&gt;0,0,+AG103*$C$19)</f>
        <v>0</v>
      </c>
      <c r="AM104" s="16" t="n">
        <f aca="false">AK104+AL104</f>
        <v>0</v>
      </c>
      <c r="AN104" s="16"/>
      <c r="AO104" s="16" t="n">
        <f aca="false">G104+H104+K104-R104-X104-AD104-AM104</f>
        <v>22585906.5066169</v>
      </c>
    </row>
    <row r="105" customFormat="false" ht="12.75" hidden="false" customHeight="false" outlineLevel="0" collapsed="false">
      <c r="A105" s="13" t="n">
        <f aca="false">A104+1</f>
        <v>26</v>
      </c>
      <c r="B105" s="14" t="n">
        <f aca="false">1/(1+$C$3)*B106</f>
        <v>0.683013455365071</v>
      </c>
      <c r="C105" s="14" t="n">
        <f aca="false">1/$C$3*(1-B105)</f>
        <v>3.1698654463493</v>
      </c>
      <c r="D105" s="15" t="n">
        <f aca="false">D104</f>
        <v>0.06</v>
      </c>
      <c r="E105" s="16" t="n">
        <f aca="false">E104-H105-G105</f>
        <v>50990250.3842141</v>
      </c>
      <c r="F105" s="16" t="n">
        <f aca="false">E104/C104</f>
        <v>17215636.4918579</v>
      </c>
      <c r="G105" s="16" t="n">
        <f aca="false">(E104-H105)*D105</f>
        <v>3254696.83303494</v>
      </c>
      <c r="H105" s="16" t="n">
        <f aca="false">F105-K105</f>
        <v>11015859.8230313</v>
      </c>
      <c r="I105" s="16" t="n">
        <f aca="false">E104*$C$5</f>
        <v>326304.035201402</v>
      </c>
      <c r="J105" s="16" t="n">
        <f aca="false">E104*C$3</f>
        <v>6526080.70402803</v>
      </c>
      <c r="K105" s="16" t="n">
        <f aca="false">J105-I105</f>
        <v>6199776.66882663</v>
      </c>
      <c r="L105" s="16" t="n">
        <f aca="false">MAXA(0,+E105-$C$7)</f>
        <v>46990250.3842141</v>
      </c>
      <c r="M105" s="14" t="n">
        <f aca="false">1/(1+$C$10)*M106</f>
        <v>0.759794493016065</v>
      </c>
      <c r="N105" s="14" t="n">
        <f aca="false">1/$C$10*(1-M105)</f>
        <v>3.37889305083605</v>
      </c>
      <c r="O105" s="16" t="n">
        <f aca="false">O104-P105</f>
        <v>0</v>
      </c>
      <c r="P105" s="16" t="n">
        <f aca="false">MAXA(0,MINA(G105+H105+AH105,O104))</f>
        <v>0</v>
      </c>
      <c r="Q105" s="16" t="n">
        <f aca="false">O104*$C$10</f>
        <v>0</v>
      </c>
      <c r="R105" s="16" t="n">
        <f aca="false">P105+Q105</f>
        <v>0</v>
      </c>
      <c r="S105" s="14" t="n">
        <f aca="false">1/(1+$C$13)*S106</f>
        <v>0.753471668738455</v>
      </c>
      <c r="T105" s="14" t="n">
        <f aca="false">1/$C$13*(1-S105)</f>
        <v>3.36190278551132</v>
      </c>
      <c r="U105" s="16" t="n">
        <f aca="false">U104-V105</f>
        <v>0</v>
      </c>
      <c r="V105" s="16" t="n">
        <f aca="false">MAXA(0,MINA(G105+H105+AH105-P105,U104))</f>
        <v>0</v>
      </c>
      <c r="W105" s="16" t="n">
        <f aca="false">U104*$C$13</f>
        <v>0</v>
      </c>
      <c r="X105" s="16" t="n">
        <f aca="false">V105+W105</f>
        <v>0</v>
      </c>
      <c r="Y105" s="14" t="n">
        <f aca="false">1/(1+$C$16)*Y106</f>
        <v>0.721574284267953</v>
      </c>
      <c r="Z105" s="14" t="n">
        <f aca="false">1/$C$16*(1-Y105)</f>
        <v>3.27559665567114</v>
      </c>
      <c r="AA105" s="16" t="n">
        <f aca="false">AA104-AB105</f>
        <v>0</v>
      </c>
      <c r="AB105" s="16" t="n">
        <f aca="false">MAXA(0,MINA(+G105+H105+AH105-P105-V105,AA104))</f>
        <v>0</v>
      </c>
      <c r="AC105" s="16" t="n">
        <f aca="false">AA104*$C$16</f>
        <v>0</v>
      </c>
      <c r="AD105" s="16" t="n">
        <f aca="false">AB105+AC105</f>
        <v>0</v>
      </c>
      <c r="AE105" s="14" t="n">
        <f aca="false">1/(1+$C$19)*AE106</f>
        <v>0.708425211065196</v>
      </c>
      <c r="AF105" s="14" t="n">
        <f aca="false">1/$C$19*(1-AE105)</f>
        <v>3.23971987705337</v>
      </c>
      <c r="AG105" s="16" t="n">
        <f aca="false">AG104+AI105</f>
        <v>0</v>
      </c>
      <c r="AH105" s="16" t="n">
        <f aca="false">AG104*$C$19</f>
        <v>0</v>
      </c>
      <c r="AI105" s="16" t="n">
        <f aca="false">AG104*$C$19-AL105-AK105+AN105-AN105</f>
        <v>0</v>
      </c>
      <c r="AJ105" s="16" t="n">
        <f aca="false">AI105+AJ104</f>
        <v>-15000000</v>
      </c>
      <c r="AK105" s="16" t="n">
        <f aca="false">IF(AA105&gt;0,0,MINA(G105+H105-AB105,AG104))</f>
        <v>0</v>
      </c>
      <c r="AL105" s="16" t="n">
        <f aca="false">IF(AA105&gt;0,0,+AG104*$C$19)</f>
        <v>0</v>
      </c>
      <c r="AM105" s="16" t="n">
        <f aca="false">AK105+AL105</f>
        <v>0</v>
      </c>
      <c r="AN105" s="16"/>
      <c r="AO105" s="16" t="n">
        <f aca="false">G105+H105+K105-R105-X105-AD105-AM105</f>
        <v>20470333.3248929</v>
      </c>
    </row>
    <row r="106" customFormat="false" ht="12.75" hidden="false" customHeight="false" outlineLevel="0" collapsed="false">
      <c r="A106" s="13" t="n">
        <f aca="false">A105+1</f>
        <v>27</v>
      </c>
      <c r="B106" s="14" t="n">
        <f aca="false">1/(1+$C$3)*B107</f>
        <v>0.751314800901578</v>
      </c>
      <c r="C106" s="14" t="n">
        <f aca="false">1/$C$3*(1-B106)</f>
        <v>2.48685199098422</v>
      </c>
      <c r="D106" s="15" t="n">
        <f aca="false">D105</f>
        <v>0.06</v>
      </c>
      <c r="E106" s="16" t="n">
        <f aca="false">E105-H106-G106</f>
        <v>37363485.5667814</v>
      </c>
      <c r="F106" s="16" t="n">
        <f aca="false">E105/C105</f>
        <v>16085935.2698832</v>
      </c>
      <c r="G106" s="16" t="n">
        <f aca="false">(E105-H106)*D106</f>
        <v>2384903.33404988</v>
      </c>
      <c r="H106" s="16" t="n">
        <f aca="false">F106-K106</f>
        <v>11241861.4833828</v>
      </c>
      <c r="I106" s="16" t="n">
        <f aca="false">E105*$C$5</f>
        <v>254951.25192107</v>
      </c>
      <c r="J106" s="16" t="n">
        <f aca="false">E105*C$3</f>
        <v>5099025.03842141</v>
      </c>
      <c r="K106" s="16" t="n">
        <f aca="false">J106-I106</f>
        <v>4844073.78650034</v>
      </c>
      <c r="L106" s="16" t="n">
        <f aca="false">MAXA(0,+E106-$C$7)</f>
        <v>33363485.5667814</v>
      </c>
      <c r="M106" s="14" t="n">
        <f aca="false">1/(1+$C$10)*M107</f>
        <v>0.813808283524578</v>
      </c>
      <c r="N106" s="14" t="n">
        <f aca="false">1/$C$10*(1-M106)</f>
        <v>2.61909855781998</v>
      </c>
      <c r="O106" s="16" t="n">
        <f aca="false">O105-P106</f>
        <v>0</v>
      </c>
      <c r="P106" s="16" t="n">
        <f aca="false">MAXA(0,MINA(G106+H106+AH106,O105))</f>
        <v>0</v>
      </c>
      <c r="Q106" s="16" t="n">
        <f aca="false">O105*$C$10</f>
        <v>0</v>
      </c>
      <c r="R106" s="16" t="n">
        <f aca="false">P106+Q106</f>
        <v>0</v>
      </c>
      <c r="S106" s="14" t="n">
        <f aca="false">1/(1+$C$13)*S107</f>
        <v>0.808723746207046</v>
      </c>
      <c r="T106" s="14" t="n">
        <f aca="false">1/$C$13*(1-S106)</f>
        <v>2.60843111677287</v>
      </c>
      <c r="U106" s="16" t="n">
        <f aca="false">U105-V106</f>
        <v>0</v>
      </c>
      <c r="V106" s="16" t="n">
        <f aca="false">MAXA(0,MINA(G106+H106+AH106-P106,U105))</f>
        <v>0</v>
      </c>
      <c r="W106" s="16" t="n">
        <f aca="false">U105*$C$13</f>
        <v>0</v>
      </c>
      <c r="X106" s="16" t="n">
        <f aca="false">V106+W106</f>
        <v>0</v>
      </c>
      <c r="Y106" s="14" t="n">
        <f aca="false">1/(1+$C$16)*Y107</f>
        <v>0.782908098430729</v>
      </c>
      <c r="Z106" s="14" t="n">
        <f aca="false">1/$C$16*(1-Y106)</f>
        <v>2.55402237140319</v>
      </c>
      <c r="AA106" s="16" t="n">
        <f aca="false">AA105-AB106</f>
        <v>0</v>
      </c>
      <c r="AB106" s="16" t="n">
        <f aca="false">MAXA(0,MINA(+G106+H106+AH106-P106-V106,AA105))</f>
        <v>0</v>
      </c>
      <c r="AC106" s="16" t="n">
        <f aca="false">AA105*$C$16</f>
        <v>0</v>
      </c>
      <c r="AD106" s="16" t="n">
        <f aca="false">AB106+AC106</f>
        <v>0</v>
      </c>
      <c r="AE106" s="14" t="n">
        <f aca="false">1/(1+$C$19)*AE107</f>
        <v>0.772183480061064</v>
      </c>
      <c r="AF106" s="14" t="n">
        <f aca="false">1/$C$19*(1-AE106)</f>
        <v>2.53129466598818</v>
      </c>
      <c r="AG106" s="16" t="n">
        <f aca="false">AG105+AI106</f>
        <v>0</v>
      </c>
      <c r="AH106" s="16" t="n">
        <f aca="false">AG105*$C$19</f>
        <v>0</v>
      </c>
      <c r="AI106" s="16" t="n">
        <f aca="false">AG105*$C$19-AL106-AK106+AN106-AN106</f>
        <v>0</v>
      </c>
      <c r="AJ106" s="16" t="n">
        <f aca="false">AI106+AJ105</f>
        <v>-15000000</v>
      </c>
      <c r="AK106" s="16" t="n">
        <f aca="false">IF(AA106&gt;0,0,MINA(G106+H106-AB106,AG105))</f>
        <v>0</v>
      </c>
      <c r="AL106" s="16" t="n">
        <f aca="false">IF(AA106&gt;0,0,+AG105*$C$19)</f>
        <v>0</v>
      </c>
      <c r="AM106" s="16" t="n">
        <f aca="false">AK106+AL106</f>
        <v>0</v>
      </c>
      <c r="AN106" s="16"/>
      <c r="AO106" s="16" t="n">
        <f aca="false">G106+H106+K106-R106-X106-AD106-AM106</f>
        <v>18470838.6039331</v>
      </c>
    </row>
    <row r="107" customFormat="false" ht="12.75" hidden="false" customHeight="false" outlineLevel="0" collapsed="false">
      <c r="A107" s="13" t="n">
        <f aca="false">A106+1</f>
        <v>28</v>
      </c>
      <c r="B107" s="14" t="n">
        <f aca="false">1/(1+$C$3)*B108</f>
        <v>0.826446280991735</v>
      </c>
      <c r="C107" s="14" t="n">
        <f aca="false">1/$C$3*(1-B107)</f>
        <v>1.73553719008265</v>
      </c>
      <c r="D107" s="15" t="n">
        <f aca="false">D106</f>
        <v>0.06</v>
      </c>
      <c r="E107" s="16" t="n">
        <f aca="false">E106-H107-G107</f>
        <v>24335289.6721289</v>
      </c>
      <c r="F107" s="16" t="n">
        <f aca="false">E106/C106</f>
        <v>15024410.6614459</v>
      </c>
      <c r="G107" s="16" t="n">
        <f aca="false">(E106-H107)*D107</f>
        <v>1553316.36205078</v>
      </c>
      <c r="H107" s="16" t="n">
        <f aca="false">F107-K107</f>
        <v>11474879.5326017</v>
      </c>
      <c r="I107" s="16" t="n">
        <f aca="false">E106*$C$5</f>
        <v>186817.427833907</v>
      </c>
      <c r="J107" s="16" t="n">
        <f aca="false">E106*C$3</f>
        <v>3736348.55667814</v>
      </c>
      <c r="K107" s="16" t="n">
        <f aca="false">J107-I107</f>
        <v>3549531.12884423</v>
      </c>
      <c r="L107" s="16" t="n">
        <f aca="false">MAXA(0,+E107-$C$7)</f>
        <v>20335289.6721289</v>
      </c>
      <c r="M107" s="14" t="n">
        <f aca="false">1/(1+$C$10)*M108</f>
        <v>0.87166191440034</v>
      </c>
      <c r="N107" s="14" t="n">
        <f aca="false">1/$C$10*(1-M107)</f>
        <v>1.8052902742954</v>
      </c>
      <c r="O107" s="16" t="n">
        <f aca="false">O106-P107</f>
        <v>0</v>
      </c>
      <c r="P107" s="16" t="n">
        <f aca="false">MAXA(0,MINA(G107+H107+AH107,O106))</f>
        <v>0</v>
      </c>
      <c r="Q107" s="16" t="n">
        <f aca="false">O106*$C$10</f>
        <v>0</v>
      </c>
      <c r="R107" s="16" t="n">
        <f aca="false">P107+Q107</f>
        <v>0</v>
      </c>
      <c r="S107" s="14" t="n">
        <f aca="false">1/(1+$C$13)*S108</f>
        <v>0.868027458516408</v>
      </c>
      <c r="T107" s="14" t="n">
        <f aca="false">1/$C$13*(1-S107)</f>
        <v>1.79970737056582</v>
      </c>
      <c r="U107" s="16" t="n">
        <f aca="false">U106-V107</f>
        <v>0</v>
      </c>
      <c r="V107" s="16" t="n">
        <f aca="false">MAXA(0,MINA(G107+H107+AH107-P107,U106))</f>
        <v>0</v>
      </c>
      <c r="W107" s="16" t="n">
        <f aca="false">U106*$C$13</f>
        <v>0</v>
      </c>
      <c r="X107" s="16" t="n">
        <f aca="false">V107+W107</f>
        <v>0</v>
      </c>
      <c r="Y107" s="14" t="n">
        <f aca="false">1/(1+$C$16)*Y108</f>
        <v>0.849455286797341</v>
      </c>
      <c r="Z107" s="14" t="n">
        <f aca="false">1/$C$16*(1-Y107)</f>
        <v>1.77111427297246</v>
      </c>
      <c r="AA107" s="16" t="n">
        <f aca="false">AA106-AB107</f>
        <v>0</v>
      </c>
      <c r="AB107" s="16" t="n">
        <f aca="false">MAXA(0,MINA(+G107+H107+AH107-P107-V107,AA106))</f>
        <v>0</v>
      </c>
      <c r="AC107" s="16" t="n">
        <f aca="false">AA106*$C$16</f>
        <v>0</v>
      </c>
      <c r="AD107" s="16" t="n">
        <f aca="false">AB107+AC107</f>
        <v>0</v>
      </c>
      <c r="AE107" s="14" t="n">
        <f aca="false">1/(1+$C$19)*AE108</f>
        <v>0.84167999326656</v>
      </c>
      <c r="AF107" s="14" t="n">
        <f aca="false">1/$C$19*(1-AE107)</f>
        <v>1.75911118592711</v>
      </c>
      <c r="AG107" s="16" t="n">
        <f aca="false">AG106+AI107</f>
        <v>0</v>
      </c>
      <c r="AH107" s="16" t="n">
        <f aca="false">AG106*$C$19</f>
        <v>0</v>
      </c>
      <c r="AI107" s="16" t="n">
        <f aca="false">AG106*$C$19-AL107-AK107+AN107-AN107</f>
        <v>0</v>
      </c>
      <c r="AJ107" s="16" t="n">
        <f aca="false">AI107+AJ106</f>
        <v>-15000000</v>
      </c>
      <c r="AK107" s="16" t="n">
        <f aca="false">IF(AA107&gt;0,0,MINA(G107+H107-AB107,AG106))</f>
        <v>0</v>
      </c>
      <c r="AL107" s="16" t="n">
        <f aca="false">IF(AA107&gt;0,0,+AG106*$C$19)</f>
        <v>0</v>
      </c>
      <c r="AM107" s="16" t="n">
        <f aca="false">AK107+AL107</f>
        <v>0</v>
      </c>
      <c r="AN107" s="16"/>
      <c r="AO107" s="16" t="n">
        <f aca="false">G107+H107+K107-R107-X107-AD107-AM107</f>
        <v>16577727.0234967</v>
      </c>
    </row>
    <row r="108" customFormat="false" ht="12.75" hidden="false" customHeight="false" outlineLevel="0" collapsed="false">
      <c r="A108" s="13" t="n">
        <f aca="false">A107+1</f>
        <v>29</v>
      </c>
      <c r="B108" s="14" t="n">
        <f aca="false">1/(1+$C$3)*B109</f>
        <v>0.909090909090909</v>
      </c>
      <c r="C108" s="14" t="n">
        <f aca="false">1/$C$3*(1-B108)</f>
        <v>0.909090909090909</v>
      </c>
      <c r="D108" s="15" t="n">
        <f aca="false">D107</f>
        <v>0.06</v>
      </c>
      <c r="E108" s="16" t="n">
        <f aca="false">E107-H108-G108</f>
        <v>11867857.2437702</v>
      </c>
      <c r="F108" s="16" t="n">
        <f aca="false">E107/C107</f>
        <v>14021762.1444171</v>
      </c>
      <c r="G108" s="16" t="n">
        <f aca="false">(E107-H108)*D108</f>
        <v>757522.802793842</v>
      </c>
      <c r="H108" s="16" t="n">
        <f aca="false">F108-K108</f>
        <v>11709909.6255649</v>
      </c>
      <c r="I108" s="16" t="n">
        <f aca="false">E107*$C$5</f>
        <v>121676.448360645</v>
      </c>
      <c r="J108" s="16" t="n">
        <f aca="false">E107*C$3</f>
        <v>2433528.96721289</v>
      </c>
      <c r="K108" s="16" t="n">
        <f aca="false">J108-I108</f>
        <v>2311852.51885225</v>
      </c>
      <c r="L108" s="16" t="n">
        <f aca="false">MAXA(0,+E108-$C$7)</f>
        <v>7867857.24377019</v>
      </c>
      <c r="M108" s="14" t="n">
        <f aca="false">1/(1+$C$10)*M109</f>
        <v>0.93362835989506</v>
      </c>
      <c r="N108" s="14" t="n">
        <f aca="false">1/$C$10*(1-M108)</f>
        <v>0.933628359895061</v>
      </c>
      <c r="O108" s="16" t="n">
        <f aca="false">O107-P108</f>
        <v>0</v>
      </c>
      <c r="P108" s="16" t="n">
        <f aca="false">MAXA(0,MINA(G108+H108+AH108,O107))</f>
        <v>0</v>
      </c>
      <c r="Q108" s="16" t="n">
        <f aca="false">O107*$C$10</f>
        <v>0</v>
      </c>
      <c r="R108" s="16" t="n">
        <f aca="false">P108+Q108</f>
        <v>0</v>
      </c>
      <c r="S108" s="14" t="n">
        <f aca="false">1/(1+$C$13)*S109</f>
        <v>0.931679912049416</v>
      </c>
      <c r="T108" s="14" t="n">
        <f aca="false">1/$C$13*(1-S108)</f>
        <v>0.931679912049416</v>
      </c>
      <c r="U108" s="16" t="n">
        <f aca="false">U107-V108</f>
        <v>0</v>
      </c>
      <c r="V108" s="16" t="n">
        <f aca="false">MAXA(0,MINA(G108+H108+AH108-P108,U107))</f>
        <v>0</v>
      </c>
      <c r="W108" s="16" t="n">
        <f aca="false">U107*$C$13</f>
        <v>0</v>
      </c>
      <c r="X108" s="16" t="n">
        <f aca="false">V108+W108</f>
        <v>0</v>
      </c>
      <c r="Y108" s="14" t="n">
        <f aca="false">1/(1+$C$16)*Y109</f>
        <v>0.921658986175115</v>
      </c>
      <c r="Z108" s="14" t="n">
        <f aca="false">1/$C$16*(1-Y108)</f>
        <v>0.921658986175115</v>
      </c>
      <c r="AA108" s="16" t="n">
        <f aca="false">AA107-AB108</f>
        <v>0</v>
      </c>
      <c r="AB108" s="16" t="n">
        <f aca="false">MAXA(0,MINA(+G108+H108+AH108-P108-V108,AA107))</f>
        <v>0</v>
      </c>
      <c r="AC108" s="16" t="n">
        <f aca="false">AA107*$C$16</f>
        <v>0</v>
      </c>
      <c r="AD108" s="16" t="n">
        <f aca="false">AB108+AC108</f>
        <v>0</v>
      </c>
      <c r="AE108" s="14" t="n">
        <f aca="false">1/(1+$C$19)*AE109</f>
        <v>0.91743119266055</v>
      </c>
      <c r="AF108" s="14" t="n">
        <f aca="false">1/$C$19*(1-AE108)</f>
        <v>0.917431192660551</v>
      </c>
      <c r="AG108" s="16" t="n">
        <f aca="false">AG107+AI108</f>
        <v>0</v>
      </c>
      <c r="AH108" s="16" t="n">
        <f aca="false">AG107*$C$19</f>
        <v>0</v>
      </c>
      <c r="AI108" s="16" t="n">
        <f aca="false">AG107*$C$19-AL108-AK108+AN108-AN108</f>
        <v>0</v>
      </c>
      <c r="AJ108" s="16" t="n">
        <f aca="false">AI108+AJ107</f>
        <v>-15000000</v>
      </c>
      <c r="AK108" s="16" t="n">
        <f aca="false">IF(AA108&gt;0,0,MINA(G108+H108-AB108,AG107))</f>
        <v>0</v>
      </c>
      <c r="AL108" s="16" t="n">
        <f aca="false">IF(AA108&gt;0,0,+AG107*$C$19)</f>
        <v>0</v>
      </c>
      <c r="AM108" s="16" t="n">
        <f aca="false">AK108+AL108</f>
        <v>0</v>
      </c>
      <c r="AN108" s="16"/>
      <c r="AO108" s="16" t="n">
        <f aca="false">G108+H108+K108-R108-X108-AD108-AM108</f>
        <v>14779284.947211</v>
      </c>
    </row>
    <row r="109" customFormat="false" ht="12.75" hidden="false" customHeight="false" outlineLevel="0" collapsed="false">
      <c r="A109" s="13" t="n">
        <f aca="false">A108+1</f>
        <v>30</v>
      </c>
      <c r="B109" s="14" t="n">
        <v>1</v>
      </c>
      <c r="C109" s="14" t="n">
        <f aca="false">1/$C$3*(1-B109)</f>
        <v>0</v>
      </c>
      <c r="D109" s="15" t="n">
        <f aca="false">D108</f>
        <v>0.06</v>
      </c>
      <c r="E109" s="16" t="n">
        <f aca="false">E108-H109-G109</f>
        <v>-55778.9290457154</v>
      </c>
      <c r="F109" s="16" t="n">
        <f aca="false">E108/C108</f>
        <v>13054642.9681472</v>
      </c>
      <c r="G109" s="16" t="n">
        <f aca="false">(E108-H109)*D109</f>
        <v>-3560.35717313077</v>
      </c>
      <c r="H109" s="16" t="n">
        <f aca="false">F109-K109</f>
        <v>11927196.529989</v>
      </c>
      <c r="I109" s="16" t="n">
        <f aca="false">E108*$C$5</f>
        <v>59339.2862188509</v>
      </c>
      <c r="J109" s="16" t="n">
        <f aca="false">E108*C$3</f>
        <v>1186785.72437702</v>
      </c>
      <c r="K109" s="16" t="n">
        <f aca="false">J109-I109</f>
        <v>1127446.43815817</v>
      </c>
      <c r="L109" s="16" t="n">
        <f aca="false">MAXA(0,+E109-$C$7)</f>
        <v>0</v>
      </c>
      <c r="M109" s="14" t="n">
        <v>1</v>
      </c>
      <c r="N109" s="14" t="n">
        <f aca="false">1/$C$10*(1-M109)</f>
        <v>0</v>
      </c>
      <c r="O109" s="16" t="n">
        <f aca="false">O108-P109</f>
        <v>0</v>
      </c>
      <c r="P109" s="16" t="n">
        <f aca="false">MAXA(0,MINA(G109+H109+AH109,O108))</f>
        <v>0</v>
      </c>
      <c r="Q109" s="16" t="n">
        <f aca="false">O108*$C$10</f>
        <v>0</v>
      </c>
      <c r="R109" s="16" t="n">
        <f aca="false">P109+Q109</f>
        <v>0</v>
      </c>
      <c r="S109" s="14" t="n">
        <v>1</v>
      </c>
      <c r="T109" s="14" t="n">
        <f aca="false">1/$C$13*(1-S109)</f>
        <v>0</v>
      </c>
      <c r="U109" s="16" t="n">
        <f aca="false">U108-V109</f>
        <v>0</v>
      </c>
      <c r="V109" s="16" t="n">
        <f aca="false">MAXA(0,MINA(G109+H109+AH109-P109,U108))</f>
        <v>0</v>
      </c>
      <c r="W109" s="16" t="n">
        <f aca="false">U108*$C$13</f>
        <v>0</v>
      </c>
      <c r="X109" s="16" t="n">
        <f aca="false">V109+W109</f>
        <v>0</v>
      </c>
      <c r="Y109" s="14" t="n">
        <v>1</v>
      </c>
      <c r="Z109" s="14" t="n">
        <f aca="false">1/$C$16*(1-Y109)</f>
        <v>0</v>
      </c>
      <c r="AA109" s="16" t="n">
        <f aca="false">AA108-AB109</f>
        <v>0</v>
      </c>
      <c r="AB109" s="16" t="n">
        <f aca="false">MAXA(0,MINA(+G109+H109+AH109-P109-V109,AA108))</f>
        <v>0</v>
      </c>
      <c r="AC109" s="16" t="n">
        <f aca="false">AA108*$C$16</f>
        <v>0</v>
      </c>
      <c r="AD109" s="16" t="n">
        <f aca="false">AB109+AC109</f>
        <v>0</v>
      </c>
      <c r="AE109" s="14" t="n">
        <v>1</v>
      </c>
      <c r="AF109" s="14" t="n">
        <f aca="false">1/$C$19*(1-AE109)</f>
        <v>0</v>
      </c>
      <c r="AG109" s="16" t="n">
        <f aca="false">AG108+AI109</f>
        <v>0</v>
      </c>
      <c r="AH109" s="16" t="n">
        <f aca="false">AG108*$C$19</f>
        <v>0</v>
      </c>
      <c r="AI109" s="16" t="n">
        <f aca="false">AG108*$C$19-AL109-AK109+AN109-AN109</f>
        <v>0</v>
      </c>
      <c r="AJ109" s="16" t="n">
        <f aca="false">AI109+AJ108</f>
        <v>-15000000</v>
      </c>
      <c r="AK109" s="16" t="n">
        <f aca="false">IF(AA109&gt;0,0,MINA(G109+H109-AB109,AG108))</f>
        <v>0</v>
      </c>
      <c r="AL109" s="16" t="n">
        <f aca="false">IF(AA109&gt;0,0,+AG108*$C$19)</f>
        <v>0</v>
      </c>
      <c r="AM109" s="16" t="n">
        <f aca="false">AK109+AL109</f>
        <v>0</v>
      </c>
      <c r="AN109" s="16" t="n">
        <f aca="false">-AN79</f>
        <v>4000000</v>
      </c>
      <c r="AO109" s="16" t="n">
        <f aca="false">G109+H109+K109-R109-X109-AD109-AM109</f>
        <v>13051082.6109741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113"/>
  <sheetViews>
    <sheetView showFormulas="false" showGridLines="true" showRowColHeaders="true" showZeros="true" rightToLeft="false" tabSelected="false" showOutlineSymbols="true" defaultGridColor="true" view="normal" topLeftCell="AE24" colorId="64" zoomScale="100" zoomScaleNormal="100" zoomScalePageLayoutView="100" workbookViewId="0">
      <selection pane="topLeft" activeCell="AP8" activeCellId="0" sqref="AP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1" width="11.7"/>
    <col collapsed="false" customWidth="true" hidden="false" outlineLevel="0" max="4" min="4" style="1" width="14.28"/>
    <col collapsed="false" customWidth="true" hidden="false" outlineLevel="0" max="5" min="5" style="1" width="11.7"/>
    <col collapsed="false" customWidth="true" hidden="false" outlineLevel="0" max="29" min="9" style="1" width="12.28"/>
  </cols>
  <sheetData>
    <row r="1" customFormat="false" ht="12.75" hidden="false" customHeight="false" outlineLevel="0" collapsed="false">
      <c r="I1" s="5"/>
    </row>
    <row r="2" customFormat="false" ht="12.75" hidden="false" customHeight="false" outlineLevel="0" collapsed="false">
      <c r="A2" s="1" t="s">
        <v>90</v>
      </c>
      <c r="D2" s="4" t="n">
        <v>1.4</v>
      </c>
      <c r="E2" s="18" t="n">
        <v>0.8</v>
      </c>
      <c r="F2" s="18" t="n">
        <v>1</v>
      </c>
      <c r="I2" s="18" t="n">
        <v>0</v>
      </c>
      <c r="J2" s="18" t="n">
        <v>0.25</v>
      </c>
      <c r="K2" s="18" t="n">
        <v>0.5</v>
      </c>
      <c r="L2" s="18" t="n">
        <v>0.75</v>
      </c>
      <c r="M2" s="18" t="n">
        <v>1</v>
      </c>
      <c r="N2" s="18" t="n">
        <v>1.25</v>
      </c>
      <c r="O2" s="18" t="n">
        <v>1.5</v>
      </c>
      <c r="P2" s="18" t="n">
        <v>1.75</v>
      </c>
      <c r="Q2" s="18" t="n">
        <v>2</v>
      </c>
      <c r="R2" s="18" t="n">
        <v>2.25</v>
      </c>
      <c r="S2" s="18" t="n">
        <v>2.5</v>
      </c>
      <c r="T2" s="18" t="n">
        <v>2.75</v>
      </c>
      <c r="U2" s="18" t="n">
        <v>3</v>
      </c>
      <c r="V2" s="18" t="n">
        <v>3.25</v>
      </c>
      <c r="W2" s="18" t="n">
        <v>3.5</v>
      </c>
      <c r="X2" s="18" t="n">
        <v>3.75</v>
      </c>
      <c r="Y2" s="18" t="n">
        <v>4</v>
      </c>
      <c r="Z2" s="18" t="n">
        <v>4.25</v>
      </c>
      <c r="AA2" s="18" t="n">
        <v>4.5</v>
      </c>
      <c r="AB2" s="18" t="n">
        <v>4.75</v>
      </c>
      <c r="AC2" s="18" t="n">
        <v>5</v>
      </c>
    </row>
    <row r="3" customFormat="false" ht="12.75" hidden="false" customHeight="false" outlineLevel="0" collapsed="false">
      <c r="A3" s="1" t="s">
        <v>91</v>
      </c>
      <c r="C3" s="19" t="n">
        <f aca="false">Tranches!C15</f>
        <v>25000000</v>
      </c>
      <c r="D3" s="21" t="n">
        <f aca="false">C3*D2</f>
        <v>35000000</v>
      </c>
      <c r="E3" s="19" t="n">
        <f aca="false">C3*E2</f>
        <v>20000000</v>
      </c>
      <c r="F3" s="1" t="n">
        <f aca="false">+C3*F2</f>
        <v>25000000</v>
      </c>
      <c r="I3" s="1" t="n">
        <v>1</v>
      </c>
      <c r="J3" s="1" t="n">
        <v>2</v>
      </c>
      <c r="K3" s="1" t="n">
        <v>3</v>
      </c>
      <c r="L3" s="1" t="n">
        <v>4</v>
      </c>
      <c r="M3" s="1" t="n">
        <v>5</v>
      </c>
      <c r="N3" s="1" t="n">
        <v>6</v>
      </c>
      <c r="O3" s="1" t="n">
        <v>7</v>
      </c>
      <c r="P3" s="1" t="n">
        <v>8</v>
      </c>
      <c r="Q3" s="1" t="n">
        <v>9</v>
      </c>
      <c r="R3" s="1" t="n">
        <v>10</v>
      </c>
      <c r="S3" s="1" t="n">
        <v>11</v>
      </c>
      <c r="T3" s="1" t="n">
        <v>12</v>
      </c>
      <c r="U3" s="1" t="n">
        <v>13</v>
      </c>
      <c r="V3" s="1" t="n">
        <v>14</v>
      </c>
      <c r="W3" s="1" t="n">
        <v>15</v>
      </c>
      <c r="X3" s="1" t="n">
        <v>16</v>
      </c>
      <c r="Y3" s="1" t="n">
        <v>17</v>
      </c>
      <c r="Z3" s="1" t="n">
        <v>18</v>
      </c>
      <c r="AA3" s="1" t="n">
        <v>19</v>
      </c>
      <c r="AB3" s="1" t="n">
        <v>20</v>
      </c>
      <c r="AC3" s="1" t="n">
        <v>21</v>
      </c>
    </row>
    <row r="4" customFormat="false" ht="12.75" hidden="false" customHeight="false" outlineLevel="0" collapsed="false">
      <c r="B4" s="1" t="s">
        <v>92</v>
      </c>
      <c r="D4" s="1" t="s">
        <v>8</v>
      </c>
      <c r="E4" s="1" t="s">
        <v>9</v>
      </c>
      <c r="F4" s="1" t="s">
        <v>93</v>
      </c>
      <c r="I4" s="19" t="n">
        <f aca="false">-$F$3</f>
        <v>-25000000</v>
      </c>
      <c r="J4" s="19" t="n">
        <f aca="false">-$F$3</f>
        <v>-25000000</v>
      </c>
      <c r="K4" s="19" t="n">
        <f aca="false">-$F$3</f>
        <v>-25000000</v>
      </c>
      <c r="L4" s="19" t="n">
        <f aca="false">-$F$3</f>
        <v>-25000000</v>
      </c>
      <c r="M4" s="19" t="n">
        <f aca="false">-$F$3</f>
        <v>-25000000</v>
      </c>
      <c r="N4" s="19" t="n">
        <f aca="false">-$F$3</f>
        <v>-25000000</v>
      </c>
      <c r="O4" s="19" t="n">
        <f aca="false">-$F$3</f>
        <v>-25000000</v>
      </c>
      <c r="P4" s="19" t="n">
        <f aca="false">-$F$3</f>
        <v>-25000000</v>
      </c>
      <c r="Q4" s="19" t="n">
        <f aca="false">-$F$3</f>
        <v>-25000000</v>
      </c>
      <c r="R4" s="19" t="n">
        <f aca="false">-$F$3</f>
        <v>-25000000</v>
      </c>
      <c r="S4" s="19" t="n">
        <f aca="false">-$F$3</f>
        <v>-25000000</v>
      </c>
      <c r="T4" s="19" t="n">
        <f aca="false">-$F$3</f>
        <v>-25000000</v>
      </c>
      <c r="U4" s="19" t="n">
        <f aca="false">-$F$3</f>
        <v>-25000000</v>
      </c>
      <c r="V4" s="19" t="n">
        <f aca="false">-$F$3</f>
        <v>-25000000</v>
      </c>
      <c r="W4" s="19" t="n">
        <f aca="false">-$F$3</f>
        <v>-25000000</v>
      </c>
      <c r="X4" s="19" t="n">
        <f aca="false">-$F$3</f>
        <v>-25000000</v>
      </c>
      <c r="Y4" s="19" t="n">
        <f aca="false">-$F$3</f>
        <v>-25000000</v>
      </c>
      <c r="Z4" s="19" t="n">
        <f aca="false">-$F$3</f>
        <v>-25000000</v>
      </c>
      <c r="AA4" s="19" t="n">
        <f aca="false">-$F$3</f>
        <v>-25000000</v>
      </c>
      <c r="AB4" s="19" t="n">
        <f aca="false">-$F$3</f>
        <v>-25000000</v>
      </c>
      <c r="AC4" s="19" t="n">
        <f aca="false">-$F$3</f>
        <v>-25000000</v>
      </c>
    </row>
    <row r="5" customFormat="false" ht="12.75" hidden="false" customHeight="false" outlineLevel="0" collapsed="false">
      <c r="A5" s="1" t="n">
        <v>1</v>
      </c>
      <c r="B5" s="18" t="n">
        <v>0</v>
      </c>
      <c r="C5" s="4" t="n">
        <f aca="false">$I$36</f>
        <v>0.0849999999999999</v>
      </c>
      <c r="D5" s="4" t="n">
        <v>0.0479376139903351</v>
      </c>
      <c r="E5" s="4" t="n">
        <v>0.112870336884893</v>
      </c>
      <c r="F5" s="4" t="n">
        <v>0.0850000000000001</v>
      </c>
      <c r="H5" s="1" t="n">
        <v>1</v>
      </c>
      <c r="I5" s="1" t="n">
        <v>2125000</v>
      </c>
      <c r="J5" s="1" t="n">
        <v>2125000</v>
      </c>
      <c r="K5" s="1" t="n">
        <v>2125000</v>
      </c>
      <c r="L5" s="1" t="n">
        <v>2125000</v>
      </c>
      <c r="M5" s="1" t="n">
        <v>2125000</v>
      </c>
      <c r="N5" s="1" t="n">
        <v>2125000</v>
      </c>
      <c r="O5" s="1" t="n">
        <v>2125000</v>
      </c>
      <c r="P5" s="1" t="n">
        <v>2125000</v>
      </c>
      <c r="Q5" s="1" t="n">
        <v>2125000</v>
      </c>
      <c r="R5" s="1" t="n">
        <v>2125000</v>
      </c>
      <c r="S5" s="1" t="n">
        <v>2125000</v>
      </c>
      <c r="T5" s="1" t="n">
        <v>2125000</v>
      </c>
      <c r="U5" s="1" t="n">
        <v>2125000</v>
      </c>
      <c r="V5" s="1" t="n">
        <v>2125000</v>
      </c>
      <c r="W5" s="1" t="n">
        <v>2125000</v>
      </c>
      <c r="X5" s="1" t="n">
        <v>2125000</v>
      </c>
      <c r="Y5" s="1" t="n">
        <v>2125000</v>
      </c>
      <c r="Z5" s="1" t="n">
        <v>2125000</v>
      </c>
      <c r="AA5" s="1" t="n">
        <v>2125000</v>
      </c>
      <c r="AB5" s="1" t="n">
        <v>2125000</v>
      </c>
      <c r="AC5" s="1" t="n">
        <v>2125000</v>
      </c>
    </row>
    <row r="6" customFormat="false" ht="12.75" hidden="false" customHeight="false" outlineLevel="0" collapsed="false">
      <c r="A6" s="1" t="n">
        <v>2</v>
      </c>
      <c r="B6" s="18" t="n">
        <f aca="false">B5+0.25</f>
        <v>0.25</v>
      </c>
      <c r="C6" s="4" t="n">
        <f aca="false">$J$36</f>
        <v>0.0850000000000001</v>
      </c>
      <c r="D6" s="4" t="n">
        <v>0.0452897429506429</v>
      </c>
      <c r="E6" s="4" t="n">
        <v>0.114601494265555</v>
      </c>
      <c r="F6" s="4" t="n">
        <v>0.0850000000000001</v>
      </c>
      <c r="H6" s="1" t="n">
        <v>2</v>
      </c>
      <c r="I6" s="1" t="n">
        <v>2125000</v>
      </c>
      <c r="J6" s="1" t="n">
        <v>2125000</v>
      </c>
      <c r="K6" s="1" t="n">
        <v>2125000</v>
      </c>
      <c r="L6" s="1" t="n">
        <v>2125000</v>
      </c>
      <c r="M6" s="1" t="n">
        <v>2125000</v>
      </c>
      <c r="N6" s="1" t="n">
        <v>2125000</v>
      </c>
      <c r="O6" s="1" t="n">
        <v>2125000</v>
      </c>
      <c r="P6" s="1" t="n">
        <v>2125000</v>
      </c>
      <c r="Q6" s="1" t="n">
        <v>2125000</v>
      </c>
      <c r="R6" s="1" t="n">
        <v>2125000</v>
      </c>
      <c r="S6" s="1" t="n">
        <v>2125000</v>
      </c>
      <c r="T6" s="1" t="n">
        <v>2125000</v>
      </c>
      <c r="U6" s="1" t="n">
        <v>2125000</v>
      </c>
      <c r="V6" s="1" t="n">
        <v>2125000</v>
      </c>
      <c r="W6" s="1" t="n">
        <v>2125000</v>
      </c>
      <c r="X6" s="1" t="n">
        <v>2125000</v>
      </c>
      <c r="Y6" s="1" t="n">
        <v>2125000</v>
      </c>
      <c r="Z6" s="1" t="n">
        <v>2125000</v>
      </c>
      <c r="AA6" s="1" t="n">
        <v>2125000</v>
      </c>
      <c r="AB6" s="1" t="n">
        <v>2125000</v>
      </c>
      <c r="AC6" s="1" t="n">
        <v>2125000</v>
      </c>
    </row>
    <row r="7" customFormat="false" ht="12.75" hidden="false" customHeight="false" outlineLevel="0" collapsed="false">
      <c r="A7" s="1" t="n">
        <v>3</v>
      </c>
      <c r="B7" s="18" t="n">
        <f aca="false">B6+0.25</f>
        <v>0.5</v>
      </c>
      <c r="C7" s="4" t="n">
        <f aca="false">$K$36</f>
        <v>0.0850000000000001</v>
      </c>
      <c r="D7" s="4" t="n">
        <v>0.0426659093035946</v>
      </c>
      <c r="E7" s="4" t="n">
        <v>0.116354802396872</v>
      </c>
      <c r="F7" s="4" t="n">
        <v>0.0850000000000005</v>
      </c>
      <c r="H7" s="1" t="n">
        <v>3</v>
      </c>
      <c r="I7" s="1" t="n">
        <v>2125000</v>
      </c>
      <c r="J7" s="1" t="n">
        <v>2125000</v>
      </c>
      <c r="K7" s="1" t="n">
        <v>2125000</v>
      </c>
      <c r="L7" s="1" t="n">
        <v>2125000</v>
      </c>
      <c r="M7" s="1" t="n">
        <v>2125000</v>
      </c>
      <c r="N7" s="1" t="n">
        <v>2125000</v>
      </c>
      <c r="O7" s="1" t="n">
        <v>2125000</v>
      </c>
      <c r="P7" s="1" t="n">
        <v>2125000</v>
      </c>
      <c r="Q7" s="1" t="n">
        <v>2125000</v>
      </c>
      <c r="R7" s="1" t="n">
        <v>2125000</v>
      </c>
      <c r="S7" s="1" t="n">
        <v>2125000</v>
      </c>
      <c r="T7" s="1" t="n">
        <v>2125000</v>
      </c>
      <c r="U7" s="1" t="n">
        <v>2125000</v>
      </c>
      <c r="V7" s="1" t="n">
        <v>2125000</v>
      </c>
      <c r="W7" s="1" t="n">
        <v>2125000</v>
      </c>
      <c r="X7" s="1" t="n">
        <v>2125000</v>
      </c>
      <c r="Y7" s="1" t="n">
        <v>2125000</v>
      </c>
      <c r="Z7" s="1" t="n">
        <v>2125000</v>
      </c>
      <c r="AA7" s="1" t="n">
        <v>2125000</v>
      </c>
      <c r="AB7" s="1" t="n">
        <v>2125000</v>
      </c>
      <c r="AC7" s="1" t="n">
        <v>2125000</v>
      </c>
    </row>
    <row r="8" customFormat="false" ht="12.75" hidden="false" customHeight="false" outlineLevel="0" collapsed="false">
      <c r="A8" s="1" t="n">
        <v>4</v>
      </c>
      <c r="B8" s="18" t="n">
        <f aca="false">B7+0.25</f>
        <v>0.75</v>
      </c>
      <c r="C8" s="4" t="n">
        <f aca="false">$L$36</f>
        <v>0.085</v>
      </c>
      <c r="D8" s="4" t="n">
        <v>0.0398567840358459</v>
      </c>
      <c r="E8" s="4" t="n">
        <v>0.118262524353331</v>
      </c>
      <c r="F8" s="4" t="n">
        <v>0.0850000000000003</v>
      </c>
      <c r="H8" s="1" t="n">
        <v>4</v>
      </c>
      <c r="I8" s="1" t="n">
        <v>2125000</v>
      </c>
      <c r="J8" s="1" t="n">
        <v>2125000</v>
      </c>
      <c r="K8" s="1" t="n">
        <v>2125000</v>
      </c>
      <c r="L8" s="1" t="n">
        <v>2125000</v>
      </c>
      <c r="M8" s="1" t="n">
        <v>2125000</v>
      </c>
      <c r="N8" s="1" t="n">
        <v>2125000</v>
      </c>
      <c r="O8" s="1" t="n">
        <v>2125000</v>
      </c>
      <c r="P8" s="1" t="n">
        <v>2125000</v>
      </c>
      <c r="Q8" s="1" t="n">
        <v>2125000</v>
      </c>
      <c r="R8" s="1" t="n">
        <v>2125000</v>
      </c>
      <c r="S8" s="1" t="n">
        <v>2125000</v>
      </c>
      <c r="T8" s="1" t="n">
        <v>2125000</v>
      </c>
      <c r="U8" s="1" t="n">
        <v>2125000</v>
      </c>
      <c r="V8" s="1" t="n">
        <v>2125000</v>
      </c>
      <c r="W8" s="1" t="n">
        <v>2125000</v>
      </c>
      <c r="X8" s="1" t="n">
        <v>3561166.15963704</v>
      </c>
      <c r="Y8" s="1" t="n">
        <v>6014405.94085103</v>
      </c>
      <c r="Z8" s="1" t="n">
        <v>8381887.11575438</v>
      </c>
      <c r="AA8" s="1" t="n">
        <v>10665354.570762</v>
      </c>
      <c r="AB8" s="1" t="n">
        <v>12866539.6312501</v>
      </c>
      <c r="AC8" s="1" t="n">
        <v>14987160.061556</v>
      </c>
    </row>
    <row r="9" customFormat="false" ht="12.75" hidden="false" customHeight="false" outlineLevel="0" collapsed="false">
      <c r="A9" s="1" t="n">
        <v>5</v>
      </c>
      <c r="B9" s="18" t="n">
        <f aca="false">B8+0.25</f>
        <v>1</v>
      </c>
      <c r="C9" s="4" t="n">
        <f aca="false">$M$36</f>
        <v>0.085</v>
      </c>
      <c r="D9" s="4" t="n">
        <v>0.0370592856482858</v>
      </c>
      <c r="E9" s="4" t="n">
        <v>0.12018183875209</v>
      </c>
      <c r="F9" s="4" t="n">
        <v>0.085</v>
      </c>
      <c r="H9" s="1" t="n">
        <v>5</v>
      </c>
      <c r="I9" s="1" t="n">
        <v>2125000</v>
      </c>
      <c r="J9" s="1" t="n">
        <v>2125000</v>
      </c>
      <c r="K9" s="1" t="n">
        <v>2125000</v>
      </c>
      <c r="L9" s="1" t="n">
        <v>2125000</v>
      </c>
      <c r="M9" s="1" t="n">
        <v>2125000</v>
      </c>
      <c r="N9" s="1" t="n">
        <v>2125000</v>
      </c>
      <c r="O9" s="1" t="n">
        <v>2125000</v>
      </c>
      <c r="P9" s="1" t="n">
        <v>2125000</v>
      </c>
      <c r="Q9" s="1" t="n">
        <v>2125000</v>
      </c>
      <c r="R9" s="1" t="n">
        <v>2125000</v>
      </c>
      <c r="S9" s="1" t="n">
        <v>2220442.74046936</v>
      </c>
      <c r="T9" s="1" t="n">
        <v>5520021.91195836</v>
      </c>
      <c r="U9" s="1" t="n">
        <v>8657857.15779833</v>
      </c>
      <c r="V9" s="1" t="n">
        <v>11639558.9934091</v>
      </c>
      <c r="W9" s="1" t="n">
        <v>14470620.7485138</v>
      </c>
      <c r="X9" s="1" t="n">
        <v>15598179.2815249</v>
      </c>
      <c r="Y9" s="1" t="n">
        <v>15482211.9473429</v>
      </c>
      <c r="Z9" s="1" t="n">
        <v>15324439.4714098</v>
      </c>
      <c r="AA9" s="1" t="n">
        <v>15128003.2148195</v>
      </c>
      <c r="AB9" s="1" t="n">
        <v>14895947.054655</v>
      </c>
      <c r="AC9" s="1" t="n">
        <v>13169556.3332117</v>
      </c>
    </row>
    <row r="10" customFormat="false" ht="12.75" hidden="false" customHeight="false" outlineLevel="0" collapsed="false">
      <c r="A10" s="1" t="n">
        <v>6</v>
      </c>
      <c r="B10" s="18" t="n">
        <f aca="false">B9+0.25</f>
        <v>1.25</v>
      </c>
      <c r="C10" s="4" t="n">
        <f aca="false">$N$36</f>
        <v>0.0850000000000001</v>
      </c>
      <c r="D10" s="4" t="n">
        <v>0.0341511825236739</v>
      </c>
      <c r="E10" s="4" t="n">
        <v>0.122210831733257</v>
      </c>
      <c r="F10" s="4" t="n">
        <v>0.085</v>
      </c>
      <c r="H10" s="1" t="n">
        <v>6</v>
      </c>
      <c r="I10" s="1" t="n">
        <v>2125000</v>
      </c>
      <c r="J10" s="1" t="n">
        <v>2125000</v>
      </c>
      <c r="K10" s="1" t="n">
        <v>2125000</v>
      </c>
      <c r="L10" s="1" t="n">
        <v>2125000</v>
      </c>
      <c r="M10" s="1" t="n">
        <v>2125000</v>
      </c>
      <c r="N10" s="1" t="n">
        <v>2125000</v>
      </c>
      <c r="O10" s="1" t="n">
        <v>2125000</v>
      </c>
      <c r="P10" s="1" t="n">
        <v>2125000</v>
      </c>
      <c r="Q10" s="1" t="n">
        <v>5329869.27904684</v>
      </c>
      <c r="R10" s="1" t="n">
        <v>9283777.36516682</v>
      </c>
      <c r="S10" s="1" t="n">
        <v>12882770.2686413</v>
      </c>
      <c r="T10" s="1" t="n">
        <v>12766341.9577547</v>
      </c>
      <c r="U10" s="1" t="n">
        <v>12598459.6883467</v>
      </c>
      <c r="V10" s="1" t="n">
        <v>12384593.1115209</v>
      </c>
      <c r="W10" s="1" t="n">
        <v>12129918.4735266</v>
      </c>
      <c r="X10" s="1" t="n">
        <v>10815909.7722668</v>
      </c>
      <c r="Y10" s="1" t="n">
        <v>8053719.12841457</v>
      </c>
      <c r="Z10" s="1" t="n">
        <v>5437844.23867639</v>
      </c>
      <c r="AA10" s="1" t="n">
        <v>2962822.60235545</v>
      </c>
      <c r="AB10" s="1" t="n">
        <v>623313.453300876</v>
      </c>
      <c r="AC10" s="1" t="n">
        <v>0</v>
      </c>
    </row>
    <row r="11" customFormat="false" ht="12.75" hidden="false" customHeight="false" outlineLevel="0" collapsed="false">
      <c r="A11" s="1" t="n">
        <v>7</v>
      </c>
      <c r="B11" s="18" t="n">
        <f aca="false">B10+0.25</f>
        <v>1.5</v>
      </c>
      <c r="C11" s="4" t="n">
        <f aca="false">$O$36</f>
        <v>0.085</v>
      </c>
      <c r="D11" s="4" t="n">
        <v>0.0312661228062314</v>
      </c>
      <c r="E11" s="4" t="n">
        <v>0.124239100588066</v>
      </c>
      <c r="F11" s="4" t="n">
        <v>0.085</v>
      </c>
      <c r="H11" s="1" t="n">
        <v>7</v>
      </c>
      <c r="I11" s="1" t="n">
        <v>2125000</v>
      </c>
      <c r="J11" s="1" t="n">
        <v>2125000</v>
      </c>
      <c r="K11" s="1" t="n">
        <v>2125000</v>
      </c>
      <c r="L11" s="1" t="n">
        <v>2125000</v>
      </c>
      <c r="M11" s="1" t="n">
        <v>2125000</v>
      </c>
      <c r="N11" s="1" t="n">
        <v>2125000</v>
      </c>
      <c r="O11" s="1" t="n">
        <v>5406474.84705215</v>
      </c>
      <c r="P11" s="1" t="n">
        <v>10220355.1965925</v>
      </c>
      <c r="Q11" s="1" t="n">
        <v>11185894.5164803</v>
      </c>
      <c r="R11" s="1" t="n">
        <v>10991182.3330475</v>
      </c>
      <c r="S11" s="1" t="n">
        <v>10743999.8045022</v>
      </c>
      <c r="T11" s="1" t="n">
        <v>10452089.5294053</v>
      </c>
      <c r="U11" s="1" t="n">
        <v>8070653.47055469</v>
      </c>
      <c r="V11" s="1" t="n">
        <v>4792564.76298385</v>
      </c>
      <c r="W11" s="1" t="n">
        <v>1736090.07055445</v>
      </c>
      <c r="X11" s="1" t="n">
        <v>0</v>
      </c>
      <c r="Y11" s="1" t="n">
        <v>0</v>
      </c>
      <c r="Z11" s="1" t="n">
        <v>0</v>
      </c>
      <c r="AA11" s="1" t="n">
        <v>0</v>
      </c>
      <c r="AB11" s="1" t="n">
        <v>0</v>
      </c>
      <c r="AC11" s="1" t="n">
        <v>0</v>
      </c>
    </row>
    <row r="12" customFormat="false" ht="12.75" hidden="false" customHeight="false" outlineLevel="0" collapsed="false">
      <c r="A12" s="1" t="n">
        <v>8</v>
      </c>
      <c r="B12" s="18" t="n">
        <f aca="false">B11+0.25</f>
        <v>1.75</v>
      </c>
      <c r="C12" s="4" t="n">
        <f aca="false">$P$36</f>
        <v>0.085</v>
      </c>
      <c r="D12" s="4" t="n">
        <v>0.0284813529724383</v>
      </c>
      <c r="E12" s="4" t="n">
        <v>0.126183061011499</v>
      </c>
      <c r="F12" s="4" t="n">
        <v>0.0850000000000001</v>
      </c>
      <c r="H12" s="1" t="n">
        <v>8</v>
      </c>
      <c r="I12" s="1" t="n">
        <v>2125000</v>
      </c>
      <c r="J12" s="1" t="n">
        <v>2125000</v>
      </c>
      <c r="K12" s="1" t="n">
        <v>2125000</v>
      </c>
      <c r="L12" s="1" t="n">
        <v>2125000</v>
      </c>
      <c r="M12" s="1" t="n">
        <v>2229569.71548637</v>
      </c>
      <c r="N12" s="1" t="n">
        <v>8259086.15385885</v>
      </c>
      <c r="O12" s="1" t="n">
        <v>10187943.4608104</v>
      </c>
      <c r="P12" s="1" t="n">
        <v>9955152.26783887</v>
      </c>
      <c r="Q12" s="1" t="n">
        <v>9664641.66094828</v>
      </c>
      <c r="R12" s="1" t="n">
        <v>9077700.48493498</v>
      </c>
      <c r="S12" s="1" t="n">
        <v>4987161.13315221</v>
      </c>
      <c r="T12" s="1" t="n">
        <v>1226429.50709632</v>
      </c>
      <c r="U12" s="1" t="n">
        <v>0</v>
      </c>
      <c r="V12" s="1" t="n">
        <v>0</v>
      </c>
      <c r="W12" s="1" t="n">
        <v>0</v>
      </c>
      <c r="X12" s="1" t="n">
        <v>0</v>
      </c>
      <c r="Y12" s="1" t="n">
        <v>0</v>
      </c>
      <c r="Z12" s="1" t="n">
        <v>0</v>
      </c>
      <c r="AA12" s="1" t="n">
        <v>0</v>
      </c>
      <c r="AB12" s="1" t="n">
        <v>0</v>
      </c>
      <c r="AC12" s="1" t="n">
        <v>0</v>
      </c>
    </row>
    <row r="13" customFormat="false" ht="12.75" hidden="false" customHeight="false" outlineLevel="0" collapsed="false">
      <c r="A13" s="1" t="n">
        <v>9</v>
      </c>
      <c r="B13" s="18" t="n">
        <f aca="false">B12+0.25</f>
        <v>2</v>
      </c>
      <c r="C13" s="4" t="n">
        <f aca="false">$Q$36</f>
        <v>0.0849999999999999</v>
      </c>
      <c r="D13" s="4" t="n">
        <v>0.0257669250612999</v>
      </c>
      <c r="E13" s="4" t="n">
        <v>0.128148124793704</v>
      </c>
      <c r="F13" s="4" t="n">
        <v>0.0850000000000001</v>
      </c>
      <c r="H13" s="1" t="n">
        <v>9</v>
      </c>
      <c r="I13" s="1" t="n">
        <v>2125000</v>
      </c>
      <c r="J13" s="1" t="n">
        <v>2125000</v>
      </c>
      <c r="K13" s="1" t="n">
        <v>2125000</v>
      </c>
      <c r="L13" s="1" t="n">
        <v>2747875.72056603</v>
      </c>
      <c r="M13" s="1" t="n">
        <v>9659547.202857</v>
      </c>
      <c r="N13" s="1" t="n">
        <v>9421532.46136124</v>
      </c>
      <c r="O13" s="1" t="n">
        <v>9113321.4497702</v>
      </c>
      <c r="P13" s="1" t="n">
        <v>8749914.16721868</v>
      </c>
      <c r="Q13" s="1" t="n">
        <v>4184232.57353447</v>
      </c>
      <c r="R13" s="1" t="n">
        <v>0</v>
      </c>
      <c r="S13" s="1" t="n">
        <v>0</v>
      </c>
      <c r="T13" s="1" t="n">
        <v>0</v>
      </c>
      <c r="U13" s="1" t="n">
        <v>0</v>
      </c>
      <c r="V13" s="1" t="n">
        <v>0</v>
      </c>
      <c r="W13" s="1" t="n">
        <v>0</v>
      </c>
      <c r="X13" s="1" t="n">
        <v>0</v>
      </c>
      <c r="Y13" s="1" t="n">
        <v>0</v>
      </c>
      <c r="Z13" s="1" t="n">
        <v>0</v>
      </c>
      <c r="AA13" s="1" t="n">
        <v>0</v>
      </c>
      <c r="AB13" s="1" t="n">
        <v>0</v>
      </c>
      <c r="AC13" s="1" t="n">
        <v>0</v>
      </c>
    </row>
    <row r="14" customFormat="false" ht="12.75" hidden="false" customHeight="false" outlineLevel="0" collapsed="false">
      <c r="A14" s="1" t="n">
        <v>10</v>
      </c>
      <c r="B14" s="18" t="n">
        <f aca="false">B13+0.25</f>
        <v>2.25</v>
      </c>
      <c r="C14" s="4" t="n">
        <f aca="false">$R$36</f>
        <v>0.0850000000000001</v>
      </c>
      <c r="D14" s="4" t="n">
        <v>0.0228538334404752</v>
      </c>
      <c r="E14" s="4" t="n">
        <v>0.130209259889985</v>
      </c>
      <c r="F14" s="4" t="n">
        <v>0.0849999999999999</v>
      </c>
      <c r="H14" s="1" t="n">
        <v>10</v>
      </c>
      <c r="I14" s="1" t="n">
        <v>2125000</v>
      </c>
      <c r="J14" s="1" t="n">
        <v>2125000</v>
      </c>
      <c r="K14" s="1" t="n">
        <v>2125000</v>
      </c>
      <c r="L14" s="1" t="n">
        <v>9238770.47734438</v>
      </c>
      <c r="M14" s="1" t="n">
        <v>8941816.53223996</v>
      </c>
      <c r="N14" s="1" t="n">
        <v>8571980.55041426</v>
      </c>
      <c r="O14" s="1" t="n">
        <v>5859380.47524607</v>
      </c>
      <c r="P14" s="1" t="n">
        <v>379007.969441233</v>
      </c>
      <c r="Q14" s="1" t="n">
        <v>0</v>
      </c>
      <c r="R14" s="1" t="n">
        <v>0</v>
      </c>
      <c r="S14" s="1" t="n">
        <v>0</v>
      </c>
      <c r="T14" s="1" t="n">
        <v>0</v>
      </c>
      <c r="U14" s="1" t="n">
        <v>0</v>
      </c>
      <c r="V14" s="1" t="n">
        <v>0</v>
      </c>
      <c r="W14" s="1" t="n">
        <v>0</v>
      </c>
      <c r="X14" s="1" t="n">
        <v>0</v>
      </c>
      <c r="Y14" s="1" t="n">
        <v>0</v>
      </c>
      <c r="Z14" s="1" t="n">
        <v>0</v>
      </c>
      <c r="AA14" s="1" t="n">
        <v>0</v>
      </c>
      <c r="AB14" s="1" t="n">
        <v>0</v>
      </c>
      <c r="AC14" s="1" t="n">
        <v>0</v>
      </c>
    </row>
    <row r="15" customFormat="false" ht="12.75" hidden="false" customHeight="false" outlineLevel="0" collapsed="false">
      <c r="A15" s="1" t="n">
        <v>11</v>
      </c>
      <c r="B15" s="18" t="n">
        <f aca="false">B14+0.25</f>
        <v>2.5</v>
      </c>
      <c r="C15" s="4" t="n">
        <f aca="false">$S$36</f>
        <v>0.0850000000000001</v>
      </c>
      <c r="D15" s="4" t="n">
        <v>0.0207835901322242</v>
      </c>
      <c r="E15" s="4" t="n">
        <v>0.131694500130812</v>
      </c>
      <c r="F15" s="4" t="n">
        <v>0.0849999999999999</v>
      </c>
      <c r="H15" s="1" t="n">
        <v>11</v>
      </c>
      <c r="I15" s="1" t="n">
        <v>2125000</v>
      </c>
      <c r="J15" s="1" t="n">
        <v>2125000</v>
      </c>
      <c r="K15" s="1" t="n">
        <v>8513399.65569024</v>
      </c>
      <c r="L15" s="1" t="n">
        <v>8698709.29963472</v>
      </c>
      <c r="M15" s="1" t="n">
        <v>8274907.77418494</v>
      </c>
      <c r="N15" s="1" t="n">
        <v>3705364.13983756</v>
      </c>
      <c r="O15" s="1" t="n">
        <v>0</v>
      </c>
      <c r="P15" s="1" t="n">
        <v>0</v>
      </c>
      <c r="Q15" s="1" t="n">
        <v>0</v>
      </c>
      <c r="R15" s="1" t="n">
        <v>0</v>
      </c>
      <c r="S15" s="1" t="n">
        <v>0</v>
      </c>
      <c r="T15" s="1" t="n">
        <v>0</v>
      </c>
      <c r="U15" s="1" t="n">
        <v>0</v>
      </c>
      <c r="V15" s="1" t="n">
        <v>0</v>
      </c>
      <c r="W15" s="1" t="n">
        <v>0</v>
      </c>
      <c r="X15" s="1" t="n">
        <v>0</v>
      </c>
      <c r="Y15" s="1" t="n">
        <v>0</v>
      </c>
      <c r="Z15" s="1" t="n">
        <v>0</v>
      </c>
      <c r="AA15" s="1" t="n">
        <v>0</v>
      </c>
      <c r="AB15" s="1" t="n">
        <v>0</v>
      </c>
      <c r="AC15" s="1" t="n">
        <v>0</v>
      </c>
    </row>
    <row r="16" customFormat="false" ht="12.75" hidden="false" customHeight="false" outlineLevel="0" collapsed="false">
      <c r="A16" s="1" t="n">
        <v>12</v>
      </c>
      <c r="B16" s="18" t="n">
        <f aca="false">B15+0.25</f>
        <v>2.75</v>
      </c>
      <c r="C16" s="4" t="n">
        <f aca="false">$T$36</f>
        <v>0.085</v>
      </c>
      <c r="D16" s="4" t="n">
        <v>0.0176666607064626</v>
      </c>
      <c r="E16" s="4" t="n">
        <v>0.133978679016273</v>
      </c>
      <c r="F16" s="4" t="n">
        <v>0.0849999999999999</v>
      </c>
      <c r="H16" s="1" t="n">
        <v>12</v>
      </c>
      <c r="I16" s="1" t="n">
        <v>2125000</v>
      </c>
      <c r="J16" s="1" t="n">
        <v>5243311.7246018</v>
      </c>
      <c r="K16" s="1" t="n">
        <v>8662503.68707266</v>
      </c>
      <c r="L16" s="1" t="n">
        <v>8188572.39509885</v>
      </c>
      <c r="M16" s="1" t="n">
        <v>2658709.16880608</v>
      </c>
      <c r="N16" s="1" t="n">
        <v>0</v>
      </c>
      <c r="O16" s="1" t="n">
        <v>0</v>
      </c>
      <c r="P16" s="1" t="n">
        <v>0</v>
      </c>
      <c r="Q16" s="1" t="n">
        <v>0</v>
      </c>
      <c r="R16" s="1" t="n">
        <v>0</v>
      </c>
      <c r="S16" s="1" t="n">
        <v>0</v>
      </c>
      <c r="T16" s="1" t="n">
        <v>0</v>
      </c>
      <c r="U16" s="1" t="n">
        <v>0</v>
      </c>
      <c r="V16" s="1" t="n">
        <v>0</v>
      </c>
      <c r="W16" s="1" t="n">
        <v>0</v>
      </c>
      <c r="X16" s="1" t="n">
        <v>0</v>
      </c>
      <c r="Y16" s="1" t="n">
        <v>0</v>
      </c>
      <c r="Z16" s="1" t="n">
        <v>0</v>
      </c>
      <c r="AA16" s="1" t="n">
        <v>0</v>
      </c>
      <c r="AB16" s="1" t="n">
        <v>0</v>
      </c>
      <c r="AC16" s="1" t="n">
        <v>0</v>
      </c>
    </row>
    <row r="17" customFormat="false" ht="12.75" hidden="false" customHeight="false" outlineLevel="0" collapsed="false">
      <c r="A17" s="1" t="n">
        <v>13</v>
      </c>
      <c r="B17" s="18" t="n">
        <f aca="false">B16+0.25</f>
        <v>3</v>
      </c>
      <c r="C17" s="4" t="n">
        <f aca="false">$U$36</f>
        <v>0.0850000000000001</v>
      </c>
      <c r="D17" s="4" t="n">
        <v>0.0151181672242032</v>
      </c>
      <c r="E17" s="4" t="n">
        <v>0.135843566382558</v>
      </c>
      <c r="F17" s="4" t="n">
        <v>0.0850000000000001</v>
      </c>
      <c r="H17" s="1" t="n">
        <v>13</v>
      </c>
      <c r="I17" s="1" t="n">
        <v>2125000</v>
      </c>
      <c r="J17" s="1" t="n">
        <v>8819055.94129056</v>
      </c>
      <c r="K17" s="1" t="n">
        <v>8296625.8276455</v>
      </c>
      <c r="L17" s="1" t="n">
        <v>2857729.61584273</v>
      </c>
      <c r="M17" s="1" t="n">
        <v>0</v>
      </c>
      <c r="N17" s="1" t="n">
        <v>0</v>
      </c>
      <c r="O17" s="1" t="n">
        <v>0</v>
      </c>
      <c r="P17" s="1" t="n">
        <v>0</v>
      </c>
      <c r="Q17" s="1" t="n">
        <v>0</v>
      </c>
      <c r="R17" s="1" t="n">
        <v>0</v>
      </c>
      <c r="S17" s="1" t="n">
        <v>0</v>
      </c>
      <c r="T17" s="1" t="n">
        <v>0</v>
      </c>
      <c r="U17" s="1" t="n">
        <v>0</v>
      </c>
      <c r="V17" s="1" t="n">
        <v>0</v>
      </c>
      <c r="W17" s="1" t="n">
        <v>0</v>
      </c>
      <c r="X17" s="1" t="n">
        <v>0</v>
      </c>
      <c r="Y17" s="1" t="n">
        <v>0</v>
      </c>
      <c r="Z17" s="1" t="n">
        <v>0</v>
      </c>
      <c r="AA17" s="1" t="n">
        <v>0</v>
      </c>
      <c r="AB17" s="1" t="n">
        <v>0</v>
      </c>
      <c r="AC17" s="1" t="n">
        <v>0</v>
      </c>
    </row>
    <row r="18" customFormat="false" ht="12.75" hidden="false" customHeight="false" outlineLevel="0" collapsed="false">
      <c r="A18" s="1" t="n">
        <v>14</v>
      </c>
      <c r="B18" s="18" t="n">
        <f aca="false">B17+0.25</f>
        <v>3.25</v>
      </c>
      <c r="C18" s="4" t="n">
        <f aca="false">$V$36</f>
        <v>0.085</v>
      </c>
      <c r="D18" s="4" t="n">
        <v>0.0128938952857231</v>
      </c>
      <c r="E18" s="4" t="n">
        <v>0.137469043430298</v>
      </c>
      <c r="F18" s="4" t="n">
        <v>0.085</v>
      </c>
      <c r="H18" s="1" t="n">
        <v>14</v>
      </c>
      <c r="I18" s="1" t="n">
        <v>6408997.94327973</v>
      </c>
      <c r="J18" s="1" t="n">
        <v>8597185.95634212</v>
      </c>
      <c r="K18" s="1" t="n">
        <v>4572839.79262363</v>
      </c>
      <c r="L18" s="1" t="n">
        <v>0</v>
      </c>
      <c r="M18" s="1" t="n">
        <v>0</v>
      </c>
      <c r="N18" s="1" t="n">
        <v>0</v>
      </c>
      <c r="O18" s="1" t="n">
        <v>0</v>
      </c>
      <c r="P18" s="1" t="n">
        <v>0</v>
      </c>
      <c r="Q18" s="1" t="n">
        <v>0</v>
      </c>
      <c r="R18" s="1" t="n">
        <v>0</v>
      </c>
      <c r="S18" s="1" t="n">
        <v>0</v>
      </c>
      <c r="T18" s="1" t="n">
        <v>0</v>
      </c>
      <c r="U18" s="1" t="n">
        <v>0</v>
      </c>
      <c r="V18" s="1" t="n">
        <v>0</v>
      </c>
      <c r="W18" s="1" t="n">
        <v>0</v>
      </c>
      <c r="X18" s="1" t="n">
        <v>0</v>
      </c>
      <c r="Y18" s="1" t="n">
        <v>0</v>
      </c>
      <c r="Z18" s="1" t="n">
        <v>0</v>
      </c>
      <c r="AA18" s="1" t="n">
        <v>0</v>
      </c>
      <c r="AB18" s="1" t="n">
        <v>0</v>
      </c>
      <c r="AC18" s="1" t="n">
        <v>0</v>
      </c>
    </row>
    <row r="19" customFormat="false" ht="12.75" hidden="false" customHeight="false" outlineLevel="0" collapsed="false">
      <c r="A19" s="1" t="n">
        <v>15</v>
      </c>
      <c r="B19" s="18" t="n">
        <f aca="false">B18+0.25</f>
        <v>3.5</v>
      </c>
      <c r="C19" s="4" t="n">
        <f aca="false">$W$36</f>
        <v>0.0850000000000001</v>
      </c>
      <c r="D19" s="4" t="n">
        <v>0.0106345169105077</v>
      </c>
      <c r="E19" s="4" t="n">
        <v>0.139081529008955</v>
      </c>
      <c r="F19" s="4" t="n">
        <v>0.0850000000000001</v>
      </c>
      <c r="H19" s="1" t="n">
        <v>15</v>
      </c>
      <c r="I19" s="1" t="n">
        <v>9102459.68891328</v>
      </c>
      <c r="J19" s="1" t="n">
        <v>8239282.57768915</v>
      </c>
      <c r="K19" s="1" t="n">
        <v>0</v>
      </c>
      <c r="L19" s="1" t="n">
        <v>0</v>
      </c>
      <c r="M19" s="1" t="n">
        <v>0</v>
      </c>
      <c r="N19" s="1" t="n">
        <v>0</v>
      </c>
      <c r="O19" s="1" t="n">
        <v>0</v>
      </c>
      <c r="P19" s="1" t="n">
        <v>0</v>
      </c>
      <c r="Q19" s="1" t="n">
        <v>0</v>
      </c>
      <c r="R19" s="1" t="n">
        <v>0</v>
      </c>
      <c r="S19" s="1" t="n">
        <v>0</v>
      </c>
      <c r="T19" s="1" t="n">
        <v>0</v>
      </c>
      <c r="U19" s="1" t="n">
        <v>0</v>
      </c>
      <c r="V19" s="1" t="n">
        <v>0</v>
      </c>
      <c r="W19" s="1" t="n">
        <v>0</v>
      </c>
      <c r="X19" s="1" t="n">
        <v>0</v>
      </c>
      <c r="Y19" s="1" t="n">
        <v>0</v>
      </c>
      <c r="Z19" s="1" t="n">
        <v>0</v>
      </c>
      <c r="AA19" s="1" t="n">
        <v>0</v>
      </c>
      <c r="AB19" s="1" t="n">
        <v>0</v>
      </c>
      <c r="AC19" s="1" t="n">
        <v>0</v>
      </c>
    </row>
    <row r="20" customFormat="false" ht="12.75" hidden="false" customHeight="false" outlineLevel="0" collapsed="false">
      <c r="A20" s="1" t="n">
        <v>16</v>
      </c>
      <c r="B20" s="18" t="n">
        <f aca="false">B19+0.25</f>
        <v>3.75</v>
      </c>
      <c r="C20" s="4" t="n">
        <f aca="false">$X$36</f>
        <v>0.085</v>
      </c>
      <c r="D20" s="4" t="n">
        <v>0.008146671453987</v>
      </c>
      <c r="E20" s="4" t="n">
        <v>0.140919367872531</v>
      </c>
      <c r="F20" s="4" t="n">
        <v>0.085</v>
      </c>
      <c r="H20" s="1" t="n">
        <v>16</v>
      </c>
      <c r="I20" s="1" t="n">
        <v>9040770.20404461</v>
      </c>
      <c r="J20" s="1" t="n">
        <v>0</v>
      </c>
      <c r="K20" s="1" t="n">
        <v>0</v>
      </c>
      <c r="L20" s="1" t="n">
        <v>0</v>
      </c>
      <c r="M20" s="1" t="n">
        <v>0</v>
      </c>
      <c r="N20" s="1" t="n">
        <v>0</v>
      </c>
      <c r="O20" s="1" t="n">
        <v>0</v>
      </c>
      <c r="P20" s="1" t="n">
        <v>0</v>
      </c>
      <c r="Q20" s="1" t="n">
        <v>0</v>
      </c>
      <c r="R20" s="1" t="n">
        <v>0</v>
      </c>
      <c r="S20" s="1" t="n">
        <v>0</v>
      </c>
      <c r="T20" s="1" t="n">
        <v>0</v>
      </c>
      <c r="U20" s="1" t="n">
        <v>0</v>
      </c>
      <c r="V20" s="1" t="n">
        <v>0</v>
      </c>
      <c r="W20" s="1" t="n">
        <v>0</v>
      </c>
      <c r="X20" s="1" t="n">
        <v>0</v>
      </c>
      <c r="Y20" s="1" t="n">
        <v>0</v>
      </c>
      <c r="Z20" s="1" t="n">
        <v>0</v>
      </c>
      <c r="AA20" s="1" t="n">
        <v>0</v>
      </c>
      <c r="AB20" s="1" t="n">
        <v>0</v>
      </c>
      <c r="AC20" s="1" t="n">
        <v>0</v>
      </c>
    </row>
    <row r="21" customFormat="false" ht="12.75" hidden="false" customHeight="false" outlineLevel="0" collapsed="false">
      <c r="A21" s="1" t="n">
        <v>17</v>
      </c>
      <c r="B21" s="18" t="n">
        <f aca="false">B20+0.25</f>
        <v>4</v>
      </c>
      <c r="C21" s="4" t="n">
        <f aca="false">$Y$36</f>
        <v>0.0849999999999999</v>
      </c>
      <c r="D21" s="4" t="n">
        <v>0.00579120290682866</v>
      </c>
      <c r="E21" s="4" t="n">
        <v>0.142734419572897</v>
      </c>
      <c r="F21" s="4" t="n">
        <v>0.0849999999999999</v>
      </c>
      <c r="H21" s="1" t="n">
        <v>17</v>
      </c>
      <c r="I21" s="1" t="n">
        <v>5935445.3618571</v>
      </c>
      <c r="J21" s="1" t="n">
        <v>0</v>
      </c>
      <c r="K21" s="1" t="n">
        <v>0</v>
      </c>
      <c r="L21" s="1" t="n">
        <v>0</v>
      </c>
      <c r="M21" s="1" t="n">
        <v>0</v>
      </c>
      <c r="N21" s="1" t="n">
        <v>0</v>
      </c>
      <c r="O21" s="1" t="n">
        <v>0</v>
      </c>
      <c r="P21" s="1" t="n">
        <v>0</v>
      </c>
      <c r="Q21" s="1" t="n">
        <v>0</v>
      </c>
      <c r="R21" s="1" t="n">
        <v>0</v>
      </c>
      <c r="S21" s="1" t="n">
        <v>0</v>
      </c>
      <c r="T21" s="1" t="n">
        <v>0</v>
      </c>
      <c r="U21" s="1" t="n">
        <v>0</v>
      </c>
      <c r="V21" s="1" t="n">
        <v>0</v>
      </c>
      <c r="W21" s="1" t="n">
        <v>0</v>
      </c>
      <c r="X21" s="1" t="n">
        <v>0</v>
      </c>
      <c r="Y21" s="1" t="n">
        <v>0</v>
      </c>
      <c r="Z21" s="1" t="n">
        <v>0</v>
      </c>
      <c r="AA21" s="1" t="n">
        <v>0</v>
      </c>
      <c r="AB21" s="1" t="n">
        <v>0</v>
      </c>
      <c r="AC21" s="1" t="n">
        <v>0</v>
      </c>
    </row>
    <row r="22" customFormat="false" ht="12.75" hidden="false" customHeight="false" outlineLevel="0" collapsed="false">
      <c r="A22" s="1" t="n">
        <v>18</v>
      </c>
      <c r="B22" s="18" t="n">
        <f aca="false">B21+0.25</f>
        <v>4.25</v>
      </c>
      <c r="C22" s="4" t="n">
        <f aca="false">$Z$36</f>
        <v>0.0849999999999999</v>
      </c>
      <c r="D22" s="4" t="n">
        <v>0.00337069917810553</v>
      </c>
      <c r="E22" s="4" t="n">
        <v>0.144568576138178</v>
      </c>
      <c r="F22" s="4" t="n">
        <v>0.0850000000000001</v>
      </c>
      <c r="H22" s="1" t="n">
        <v>18</v>
      </c>
      <c r="I22" s="1" t="n">
        <v>0</v>
      </c>
      <c r="J22" s="1" t="n">
        <v>0</v>
      </c>
      <c r="K22" s="1" t="n">
        <v>0</v>
      </c>
      <c r="L22" s="1" t="n">
        <v>0</v>
      </c>
      <c r="M22" s="1" t="n">
        <v>0</v>
      </c>
      <c r="N22" s="1" t="n">
        <v>0</v>
      </c>
      <c r="O22" s="1" t="n">
        <v>0</v>
      </c>
      <c r="P22" s="1" t="n">
        <v>0</v>
      </c>
      <c r="Q22" s="1" t="n">
        <v>0</v>
      </c>
      <c r="R22" s="1" t="n">
        <v>0</v>
      </c>
      <c r="S22" s="1" t="n">
        <v>0</v>
      </c>
      <c r="T22" s="1" t="n">
        <v>0</v>
      </c>
      <c r="U22" s="1" t="n">
        <v>0</v>
      </c>
      <c r="V22" s="1" t="n">
        <v>0</v>
      </c>
      <c r="W22" s="1" t="n">
        <v>0</v>
      </c>
      <c r="X22" s="1" t="n">
        <v>0</v>
      </c>
      <c r="Y22" s="1" t="n">
        <v>0</v>
      </c>
      <c r="Z22" s="1" t="n">
        <v>0</v>
      </c>
      <c r="AA22" s="1" t="n">
        <v>0</v>
      </c>
      <c r="AB22" s="1" t="n">
        <v>0</v>
      </c>
      <c r="AC22" s="1" t="n">
        <v>0</v>
      </c>
    </row>
    <row r="23" customFormat="false" ht="12.75" hidden="false" customHeight="false" outlineLevel="0" collapsed="false">
      <c r="A23" s="1" t="n">
        <v>19</v>
      </c>
      <c r="B23" s="18" t="n">
        <f aca="false">B22+0.25</f>
        <v>4.5</v>
      </c>
      <c r="C23" s="4" t="n">
        <f aca="false">$AA$36</f>
        <v>0.0849999999999999</v>
      </c>
      <c r="D23" s="4" t="n">
        <v>0.000883604039773507</v>
      </c>
      <c r="E23" s="4" t="n">
        <v>0.146417777644116</v>
      </c>
      <c r="F23" s="4" t="n">
        <v>0.0849999999999999</v>
      </c>
      <c r="H23" s="1" t="n">
        <v>19</v>
      </c>
      <c r="I23" s="1" t="n">
        <v>0</v>
      </c>
      <c r="J23" s="1" t="n">
        <f aca="false">'Tranche Payments'!$D23</f>
        <v>0</v>
      </c>
      <c r="K23" s="1" t="n">
        <f aca="false">'Tranche Payments'!$D23</f>
        <v>0</v>
      </c>
      <c r="L23" s="1" t="n">
        <f aca="false">'Tranche Payments'!$D23</f>
        <v>0</v>
      </c>
      <c r="M23" s="1" t="n">
        <f aca="false">'Tranche Payments'!$D23</f>
        <v>0</v>
      </c>
      <c r="N23" s="1" t="n">
        <v>0</v>
      </c>
      <c r="O23" s="1" t="n">
        <v>0</v>
      </c>
      <c r="P23" s="1" t="n">
        <v>0</v>
      </c>
      <c r="Q23" s="1" t="n">
        <v>0</v>
      </c>
      <c r="R23" s="1" t="n">
        <v>0</v>
      </c>
      <c r="S23" s="1" t="n">
        <v>0</v>
      </c>
      <c r="T23" s="1" t="n">
        <v>0</v>
      </c>
      <c r="U23" s="1" t="n">
        <v>0</v>
      </c>
      <c r="V23" s="1" t="n">
        <v>0</v>
      </c>
      <c r="W23" s="1" t="n">
        <v>0</v>
      </c>
      <c r="X23" s="1" t="n">
        <v>0</v>
      </c>
      <c r="Y23" s="1" t="n">
        <v>0</v>
      </c>
      <c r="Z23" s="1" t="n">
        <v>0</v>
      </c>
      <c r="AA23" s="1" t="n">
        <v>0</v>
      </c>
      <c r="AB23" s="1" t="n">
        <v>0</v>
      </c>
      <c r="AC23" s="1" t="n">
        <v>0</v>
      </c>
    </row>
    <row r="24" customFormat="false" ht="12.75" hidden="false" customHeight="false" outlineLevel="0" collapsed="false">
      <c r="A24" s="1" t="n">
        <v>20</v>
      </c>
      <c r="B24" s="18" t="n">
        <f aca="false">B23+0.25</f>
        <v>4.75</v>
      </c>
      <c r="C24" s="4" t="n">
        <f aca="false">$AB$36</f>
        <v>0.0849999999999999</v>
      </c>
      <c r="D24" s="4" t="n">
        <v>-0.00167174219265578</v>
      </c>
      <c r="E24" s="4" t="n">
        <v>0.148277728161902</v>
      </c>
      <c r="F24" s="4" t="n">
        <v>0.0849999999999999</v>
      </c>
      <c r="H24" s="1" t="n">
        <v>20</v>
      </c>
      <c r="I24" s="1" t="n">
        <v>0</v>
      </c>
      <c r="J24" s="1" t="n">
        <f aca="false">'Tranche Payments'!$D24</f>
        <v>0</v>
      </c>
      <c r="K24" s="1" t="n">
        <f aca="false">'Tranche Payments'!$D24</f>
        <v>0</v>
      </c>
      <c r="L24" s="1" t="n">
        <f aca="false">'Tranche Payments'!$D24</f>
        <v>0</v>
      </c>
      <c r="M24" s="1" t="n">
        <f aca="false">'Tranche Payments'!$D24</f>
        <v>0</v>
      </c>
      <c r="N24" s="1" t="n">
        <v>0</v>
      </c>
      <c r="O24" s="1" t="n">
        <v>0</v>
      </c>
      <c r="P24" s="1" t="n">
        <v>0</v>
      </c>
      <c r="Q24" s="1" t="n">
        <v>0</v>
      </c>
      <c r="R24" s="1" t="n">
        <v>0</v>
      </c>
      <c r="S24" s="1" t="n">
        <v>0</v>
      </c>
      <c r="T24" s="1" t="n">
        <v>0</v>
      </c>
      <c r="U24" s="1" t="n">
        <v>0</v>
      </c>
      <c r="V24" s="1" t="n">
        <v>0</v>
      </c>
      <c r="W24" s="1" t="n">
        <v>0</v>
      </c>
      <c r="X24" s="1" t="n">
        <v>0</v>
      </c>
      <c r="Y24" s="1" t="n">
        <v>0</v>
      </c>
      <c r="Z24" s="1" t="n">
        <v>0</v>
      </c>
      <c r="AA24" s="1" t="n">
        <v>0</v>
      </c>
      <c r="AB24" s="1" t="n">
        <v>0</v>
      </c>
      <c r="AC24" s="1" t="n">
        <v>0</v>
      </c>
    </row>
    <row r="25" customFormat="false" ht="12.75" hidden="false" customHeight="false" outlineLevel="0" collapsed="false">
      <c r="A25" s="1" t="n">
        <v>21</v>
      </c>
      <c r="B25" s="18" t="n">
        <f aca="false">B24+0.25</f>
        <v>5</v>
      </c>
      <c r="C25" s="4" t="n">
        <f aca="false">$AC$36</f>
        <v>0.0849999999999999</v>
      </c>
      <c r="D25" s="4" t="n">
        <v>-0.00334989906851209</v>
      </c>
      <c r="E25" s="4" t="n">
        <v>0.149524147332204</v>
      </c>
      <c r="F25" s="4" t="n">
        <v>0.0849999999999999</v>
      </c>
      <c r="H25" s="1" t="n">
        <v>21</v>
      </c>
      <c r="I25" s="1" t="n">
        <v>0</v>
      </c>
      <c r="J25" s="1" t="n">
        <f aca="false">'Tranche Payments'!$D25</f>
        <v>0</v>
      </c>
      <c r="K25" s="1" t="n">
        <f aca="false">'Tranche Payments'!$D25</f>
        <v>0</v>
      </c>
      <c r="L25" s="1" t="n">
        <f aca="false">'Tranche Payments'!$D25</f>
        <v>0</v>
      </c>
      <c r="M25" s="1" t="n">
        <f aca="false">'Tranche Payments'!$D25</f>
        <v>0</v>
      </c>
      <c r="N25" s="1" t="n">
        <v>0</v>
      </c>
      <c r="O25" s="1" t="n">
        <v>0</v>
      </c>
      <c r="P25" s="1" t="n">
        <v>0</v>
      </c>
      <c r="Q25" s="1" t="n">
        <v>0</v>
      </c>
      <c r="R25" s="1" t="n">
        <v>0</v>
      </c>
      <c r="S25" s="1" t="n">
        <v>0</v>
      </c>
      <c r="T25" s="1" t="n">
        <v>0</v>
      </c>
      <c r="U25" s="1" t="n">
        <v>0</v>
      </c>
      <c r="V25" s="1" t="n">
        <v>0</v>
      </c>
      <c r="W25" s="1" t="n">
        <v>0</v>
      </c>
      <c r="X25" s="1" t="n">
        <v>0</v>
      </c>
      <c r="Y25" s="1" t="n">
        <v>0</v>
      </c>
      <c r="Z25" s="1" t="n">
        <v>0</v>
      </c>
      <c r="AA25" s="1" t="n">
        <v>0</v>
      </c>
      <c r="AB25" s="1" t="n">
        <v>0</v>
      </c>
      <c r="AC25" s="1" t="n">
        <v>0</v>
      </c>
    </row>
    <row r="26" customFormat="false" ht="12.75" hidden="false" customHeight="false" outlineLevel="0" collapsed="false">
      <c r="H26" s="1" t="n">
        <v>22</v>
      </c>
      <c r="I26" s="1" t="n">
        <v>0</v>
      </c>
      <c r="J26" s="1" t="n">
        <f aca="false">'Tranche Payments'!$D26</f>
        <v>0</v>
      </c>
      <c r="K26" s="1" t="n">
        <f aca="false">'Tranche Payments'!$D26</f>
        <v>0</v>
      </c>
      <c r="L26" s="1" t="n">
        <f aca="false">'Tranche Payments'!$D26</f>
        <v>0</v>
      </c>
      <c r="M26" s="1" t="n">
        <f aca="false">'Tranche Payments'!$D26</f>
        <v>0</v>
      </c>
      <c r="N26" s="1" t="n">
        <v>0</v>
      </c>
      <c r="O26" s="1" t="n">
        <v>0</v>
      </c>
      <c r="P26" s="1" t="n">
        <v>0</v>
      </c>
      <c r="Q26" s="1" t="n">
        <v>0</v>
      </c>
      <c r="R26" s="1" t="n">
        <v>0</v>
      </c>
      <c r="S26" s="1" t="n">
        <v>0</v>
      </c>
      <c r="T26" s="1" t="n">
        <v>0</v>
      </c>
      <c r="U26" s="1" t="n">
        <v>0</v>
      </c>
      <c r="V26" s="1" t="n">
        <v>0</v>
      </c>
      <c r="W26" s="1" t="n">
        <v>0</v>
      </c>
      <c r="X26" s="1" t="n">
        <v>0</v>
      </c>
      <c r="Y26" s="1" t="n">
        <v>0</v>
      </c>
      <c r="Z26" s="1" t="n">
        <v>0</v>
      </c>
      <c r="AA26" s="1" t="n">
        <v>0</v>
      </c>
      <c r="AB26" s="1" t="n">
        <v>0</v>
      </c>
      <c r="AC26" s="1" t="n">
        <v>0</v>
      </c>
    </row>
    <row r="27" customFormat="false" ht="12.75" hidden="false" customHeight="false" outlineLevel="0" collapsed="false">
      <c r="H27" s="1" t="n">
        <v>23</v>
      </c>
      <c r="I27" s="1" t="n">
        <v>0</v>
      </c>
      <c r="J27" s="1" t="n">
        <f aca="false">'Tranche Payments'!$D27</f>
        <v>0</v>
      </c>
      <c r="K27" s="1" t="n">
        <f aca="false">'Tranche Payments'!$D27</f>
        <v>0</v>
      </c>
      <c r="L27" s="1" t="n">
        <f aca="false">'Tranche Payments'!$D27</f>
        <v>0</v>
      </c>
      <c r="M27" s="1" t="n">
        <f aca="false">'Tranche Payments'!$D27</f>
        <v>0</v>
      </c>
      <c r="N27" s="1" t="n">
        <v>0</v>
      </c>
      <c r="O27" s="1" t="n">
        <v>0</v>
      </c>
      <c r="P27" s="1" t="n">
        <v>0</v>
      </c>
      <c r="Q27" s="1" t="n">
        <v>0</v>
      </c>
      <c r="R27" s="1" t="n">
        <v>0</v>
      </c>
      <c r="S27" s="1" t="n">
        <v>0</v>
      </c>
      <c r="T27" s="1" t="n">
        <v>0</v>
      </c>
      <c r="U27" s="1" t="n">
        <v>0</v>
      </c>
      <c r="V27" s="1" t="n">
        <v>0</v>
      </c>
      <c r="W27" s="1" t="n">
        <v>0</v>
      </c>
      <c r="X27" s="1" t="n">
        <v>0</v>
      </c>
      <c r="Y27" s="1" t="n">
        <v>0</v>
      </c>
      <c r="Z27" s="1" t="n">
        <v>0</v>
      </c>
      <c r="AA27" s="1" t="n">
        <v>0</v>
      </c>
      <c r="AB27" s="1" t="n">
        <v>0</v>
      </c>
      <c r="AC27" s="1" t="n">
        <v>0</v>
      </c>
    </row>
    <row r="28" customFormat="false" ht="12.75" hidden="false" customHeight="false" outlineLevel="0" collapsed="false">
      <c r="H28" s="1" t="n">
        <v>24</v>
      </c>
      <c r="I28" s="1" t="n">
        <v>0</v>
      </c>
      <c r="J28" s="1" t="n">
        <f aca="false">'Tranche Payments'!$D28</f>
        <v>0</v>
      </c>
      <c r="K28" s="1" t="n">
        <f aca="false">'Tranche Payments'!$D28</f>
        <v>0</v>
      </c>
      <c r="L28" s="1" t="n">
        <f aca="false">'Tranche Payments'!$D28</f>
        <v>0</v>
      </c>
      <c r="M28" s="1" t="n">
        <f aca="false">'Tranche Payments'!$D28</f>
        <v>0</v>
      </c>
      <c r="N28" s="1" t="n">
        <v>0</v>
      </c>
      <c r="O28" s="1" t="n">
        <v>0</v>
      </c>
      <c r="P28" s="1" t="n">
        <v>0</v>
      </c>
      <c r="Q28" s="1" t="n">
        <v>0</v>
      </c>
      <c r="R28" s="1" t="n">
        <v>0</v>
      </c>
      <c r="S28" s="1" t="n">
        <v>0</v>
      </c>
      <c r="T28" s="1" t="n">
        <v>0</v>
      </c>
      <c r="U28" s="1" t="n">
        <v>0</v>
      </c>
      <c r="V28" s="1" t="n">
        <v>0</v>
      </c>
      <c r="W28" s="1" t="n">
        <v>0</v>
      </c>
      <c r="X28" s="1" t="n">
        <v>0</v>
      </c>
      <c r="Y28" s="1" t="n">
        <v>0</v>
      </c>
      <c r="Z28" s="1" t="n">
        <v>0</v>
      </c>
      <c r="AA28" s="1" t="n">
        <v>0</v>
      </c>
      <c r="AB28" s="1" t="n">
        <v>0</v>
      </c>
      <c r="AC28" s="1" t="n">
        <v>0</v>
      </c>
    </row>
    <row r="29" customFormat="false" ht="12.75" hidden="false" customHeight="false" outlineLevel="0" collapsed="false">
      <c r="H29" s="1" t="n">
        <v>25</v>
      </c>
      <c r="I29" s="1" t="n">
        <v>0</v>
      </c>
      <c r="J29" s="1" t="n">
        <f aca="false">'Tranche Payments'!$D29</f>
        <v>0</v>
      </c>
      <c r="K29" s="1" t="n">
        <f aca="false">'Tranche Payments'!$D29</f>
        <v>0</v>
      </c>
      <c r="L29" s="1" t="n">
        <f aca="false">'Tranche Payments'!$D29</f>
        <v>0</v>
      </c>
      <c r="M29" s="1" t="n">
        <f aca="false">'Tranche Payments'!$D29</f>
        <v>0</v>
      </c>
      <c r="N29" s="1" t="n">
        <v>0</v>
      </c>
      <c r="O29" s="1" t="n">
        <v>0</v>
      </c>
      <c r="P29" s="1" t="n">
        <v>0</v>
      </c>
      <c r="Q29" s="1" t="n">
        <v>0</v>
      </c>
      <c r="R29" s="1" t="n">
        <v>0</v>
      </c>
      <c r="S29" s="1" t="n">
        <v>0</v>
      </c>
      <c r="T29" s="1" t="n">
        <v>0</v>
      </c>
      <c r="U29" s="1" t="n">
        <v>0</v>
      </c>
      <c r="V29" s="1" t="n">
        <v>0</v>
      </c>
      <c r="W29" s="1" t="n">
        <v>0</v>
      </c>
      <c r="X29" s="1" t="n">
        <v>0</v>
      </c>
      <c r="Y29" s="1" t="n">
        <v>0</v>
      </c>
      <c r="Z29" s="1" t="n">
        <v>0</v>
      </c>
      <c r="AA29" s="1" t="n">
        <v>0</v>
      </c>
      <c r="AB29" s="1" t="n">
        <v>0</v>
      </c>
      <c r="AC29" s="1" t="n">
        <v>0</v>
      </c>
    </row>
    <row r="30" customFormat="false" ht="12.75" hidden="false" customHeight="false" outlineLevel="0" collapsed="false">
      <c r="H30" s="1" t="n">
        <v>26</v>
      </c>
      <c r="I30" s="1" t="n">
        <v>0</v>
      </c>
      <c r="J30" s="1" t="n">
        <f aca="false">'Tranche Payments'!$D30</f>
        <v>0</v>
      </c>
      <c r="K30" s="1" t="n">
        <f aca="false">'Tranche Payments'!$D30</f>
        <v>0</v>
      </c>
      <c r="L30" s="1" t="n">
        <f aca="false">'Tranche Payments'!$D30</f>
        <v>0</v>
      </c>
      <c r="M30" s="1" t="n">
        <f aca="false">'Tranche Payments'!$D30</f>
        <v>0</v>
      </c>
      <c r="N30" s="1" t="n">
        <v>0</v>
      </c>
      <c r="O30" s="1" t="n">
        <v>0</v>
      </c>
      <c r="P30" s="1" t="n">
        <v>0</v>
      </c>
      <c r="Q30" s="1" t="n">
        <v>0</v>
      </c>
      <c r="R30" s="1" t="n">
        <v>0</v>
      </c>
      <c r="S30" s="1" t="n">
        <v>0</v>
      </c>
      <c r="T30" s="1" t="n">
        <v>0</v>
      </c>
      <c r="U30" s="1" t="n">
        <v>0</v>
      </c>
      <c r="V30" s="1" t="n">
        <v>0</v>
      </c>
      <c r="W30" s="1" t="n">
        <v>0</v>
      </c>
      <c r="X30" s="1" t="n">
        <v>0</v>
      </c>
      <c r="Y30" s="1" t="n">
        <v>0</v>
      </c>
      <c r="Z30" s="1" t="n">
        <v>0</v>
      </c>
      <c r="AA30" s="1" t="n">
        <v>0</v>
      </c>
      <c r="AB30" s="1" t="n">
        <v>0</v>
      </c>
      <c r="AC30" s="1" t="n">
        <v>0</v>
      </c>
    </row>
    <row r="31" customFormat="false" ht="12.75" hidden="false" customHeight="false" outlineLevel="0" collapsed="false">
      <c r="H31" s="1" t="n">
        <v>27</v>
      </c>
      <c r="I31" s="1" t="n">
        <v>0</v>
      </c>
      <c r="J31" s="1" t="n">
        <f aca="false">'Tranche Payments'!$D31</f>
        <v>0</v>
      </c>
      <c r="K31" s="1" t="n">
        <f aca="false">'Tranche Payments'!$D31</f>
        <v>0</v>
      </c>
      <c r="L31" s="1" t="n">
        <f aca="false">'Tranche Payments'!$D31</f>
        <v>0</v>
      </c>
      <c r="M31" s="1" t="n">
        <f aca="false">'Tranche Payments'!$D31</f>
        <v>0</v>
      </c>
      <c r="N31" s="1" t="n">
        <v>0</v>
      </c>
      <c r="O31" s="1" t="n">
        <v>0</v>
      </c>
      <c r="P31" s="1" t="n">
        <v>0</v>
      </c>
      <c r="Q31" s="1" t="n">
        <v>0</v>
      </c>
      <c r="R31" s="1" t="n">
        <v>0</v>
      </c>
      <c r="S31" s="1" t="n">
        <v>0</v>
      </c>
      <c r="T31" s="1" t="n">
        <v>0</v>
      </c>
      <c r="U31" s="1" t="n">
        <v>0</v>
      </c>
      <c r="V31" s="1" t="n">
        <v>0</v>
      </c>
      <c r="W31" s="1" t="n">
        <v>0</v>
      </c>
      <c r="X31" s="1" t="n">
        <v>0</v>
      </c>
      <c r="Y31" s="1" t="n">
        <v>0</v>
      </c>
      <c r="Z31" s="1" t="n">
        <v>0</v>
      </c>
      <c r="AA31" s="1" t="n">
        <v>0</v>
      </c>
      <c r="AB31" s="1" t="n">
        <v>0</v>
      </c>
      <c r="AC31" s="1" t="n">
        <v>0</v>
      </c>
    </row>
    <row r="32" customFormat="false" ht="12.75" hidden="false" customHeight="false" outlineLevel="0" collapsed="false">
      <c r="H32" s="1" t="n">
        <v>28</v>
      </c>
      <c r="I32" s="1" t="n">
        <v>0</v>
      </c>
      <c r="J32" s="1" t="n">
        <f aca="false">'Tranche Payments'!$D32</f>
        <v>0</v>
      </c>
      <c r="K32" s="1" t="n">
        <f aca="false">'Tranche Payments'!$D32</f>
        <v>0</v>
      </c>
      <c r="L32" s="1" t="n">
        <f aca="false">'Tranche Payments'!$D32</f>
        <v>0</v>
      </c>
      <c r="M32" s="1" t="n">
        <f aca="false">'Tranche Payments'!$D32</f>
        <v>0</v>
      </c>
      <c r="N32" s="1" t="n">
        <v>0</v>
      </c>
      <c r="O32" s="1" t="n">
        <v>0</v>
      </c>
      <c r="P32" s="1" t="n">
        <v>0</v>
      </c>
      <c r="Q32" s="1" t="n">
        <v>0</v>
      </c>
      <c r="R32" s="1" t="n">
        <v>0</v>
      </c>
      <c r="S32" s="1" t="n">
        <v>0</v>
      </c>
      <c r="T32" s="1" t="n">
        <v>0</v>
      </c>
      <c r="U32" s="1" t="n">
        <v>0</v>
      </c>
      <c r="V32" s="1" t="n">
        <v>0</v>
      </c>
      <c r="W32" s="1" t="n">
        <v>0</v>
      </c>
      <c r="X32" s="1" t="n">
        <v>0</v>
      </c>
      <c r="Y32" s="1" t="n">
        <v>0</v>
      </c>
      <c r="Z32" s="1" t="n">
        <v>0</v>
      </c>
      <c r="AA32" s="1" t="n">
        <v>0</v>
      </c>
      <c r="AB32" s="1" t="n">
        <v>0</v>
      </c>
      <c r="AC32" s="1" t="n">
        <v>0</v>
      </c>
    </row>
    <row r="33" customFormat="false" ht="12.75" hidden="false" customHeight="false" outlineLevel="0" collapsed="false">
      <c r="H33" s="1" t="n">
        <v>29</v>
      </c>
      <c r="I33" s="1" t="n">
        <v>0</v>
      </c>
      <c r="J33" s="1" t="n">
        <f aca="false">'Tranche Payments'!$D33</f>
        <v>0</v>
      </c>
      <c r="K33" s="1" t="n">
        <f aca="false">'Tranche Payments'!$D33</f>
        <v>0</v>
      </c>
      <c r="L33" s="1" t="n">
        <f aca="false">'Tranche Payments'!$D33</f>
        <v>0</v>
      </c>
      <c r="M33" s="1" t="n">
        <f aca="false">'Tranche Payments'!$D33</f>
        <v>0</v>
      </c>
      <c r="N33" s="1" t="n">
        <v>0</v>
      </c>
      <c r="O33" s="1" t="n">
        <v>0</v>
      </c>
      <c r="P33" s="1" t="n">
        <v>0</v>
      </c>
      <c r="Q33" s="1" t="n">
        <v>0</v>
      </c>
      <c r="R33" s="1" t="n">
        <v>0</v>
      </c>
      <c r="S33" s="1" t="n">
        <v>0</v>
      </c>
      <c r="T33" s="1" t="n">
        <v>0</v>
      </c>
      <c r="U33" s="1" t="n">
        <v>0</v>
      </c>
      <c r="V33" s="1" t="n">
        <v>0</v>
      </c>
      <c r="W33" s="1" t="n">
        <v>0</v>
      </c>
      <c r="X33" s="1" t="n">
        <v>0</v>
      </c>
      <c r="Y33" s="1" t="n">
        <v>0</v>
      </c>
      <c r="Z33" s="1" t="n">
        <v>0</v>
      </c>
      <c r="AA33" s="1" t="n">
        <v>0</v>
      </c>
      <c r="AB33" s="1" t="n">
        <v>0</v>
      </c>
      <c r="AC33" s="1" t="n">
        <v>0</v>
      </c>
    </row>
    <row r="34" customFormat="false" ht="12.75" hidden="false" customHeight="false" outlineLevel="0" collapsed="false">
      <c r="H34" s="1" t="n">
        <v>30</v>
      </c>
      <c r="I34" s="1" t="n">
        <v>0</v>
      </c>
      <c r="J34" s="1" t="n">
        <f aca="false">'Tranche Payments'!$D34</f>
        <v>0</v>
      </c>
      <c r="K34" s="1" t="n">
        <f aca="false">'Tranche Payments'!$D34</f>
        <v>0</v>
      </c>
      <c r="L34" s="1" t="n">
        <f aca="false">'Tranche Payments'!$D34</f>
        <v>0</v>
      </c>
      <c r="M34" s="1" t="n">
        <f aca="false">'Tranche Payments'!$D34</f>
        <v>0</v>
      </c>
      <c r="N34" s="1" t="n">
        <v>0</v>
      </c>
      <c r="O34" s="1" t="n">
        <v>0</v>
      </c>
      <c r="P34" s="1" t="n">
        <v>0</v>
      </c>
      <c r="Q34" s="1" t="n">
        <v>0</v>
      </c>
      <c r="R34" s="1" t="n">
        <v>0</v>
      </c>
      <c r="S34" s="1" t="n">
        <v>0</v>
      </c>
      <c r="T34" s="1" t="n">
        <v>0</v>
      </c>
      <c r="U34" s="1" t="n">
        <v>0</v>
      </c>
      <c r="V34" s="1" t="n">
        <v>0</v>
      </c>
      <c r="W34" s="1" t="n">
        <v>0</v>
      </c>
      <c r="X34" s="1" t="n">
        <v>0</v>
      </c>
      <c r="Y34" s="1" t="n">
        <v>0</v>
      </c>
      <c r="Z34" s="1" t="n">
        <v>0</v>
      </c>
      <c r="AA34" s="1" t="n">
        <v>0</v>
      </c>
      <c r="AB34" s="1" t="n">
        <v>0</v>
      </c>
      <c r="AC34" s="1" t="n">
        <v>0</v>
      </c>
    </row>
    <row r="36" customFormat="false" ht="12.75" hidden="false" customHeight="false" outlineLevel="0" collapsed="false">
      <c r="H36" s="5" t="s">
        <v>94</v>
      </c>
      <c r="I36" s="22" t="n">
        <f aca="false">IRR(I4:I34,0.1)</f>
        <v>0.0849999999999999</v>
      </c>
      <c r="J36" s="22" t="n">
        <f aca="false">IRR(J4:J34,0.1)</f>
        <v>0.0850000000000001</v>
      </c>
      <c r="K36" s="22" t="n">
        <f aca="false">IRR(K4:K34,0.1)</f>
        <v>0.0850000000000001</v>
      </c>
      <c r="L36" s="22" t="n">
        <f aca="false">IRR(L4:L34,0.1)</f>
        <v>0.085</v>
      </c>
      <c r="M36" s="22" t="n">
        <f aca="false">IRR(M4:M34,0.1)</f>
        <v>0.085</v>
      </c>
      <c r="N36" s="22" t="n">
        <f aca="false">IRR(N4:N34,0.1)</f>
        <v>0.0850000000000001</v>
      </c>
      <c r="O36" s="22" t="n">
        <f aca="false">IRR(O4:O34,0.1)</f>
        <v>0.085</v>
      </c>
      <c r="P36" s="22" t="n">
        <f aca="false">IRR(P4:P34,0.1)</f>
        <v>0.085</v>
      </c>
      <c r="Q36" s="22" t="n">
        <f aca="false">IRR(Q4:Q34,0.1)</f>
        <v>0.0849999999999999</v>
      </c>
      <c r="R36" s="22" t="n">
        <f aca="false">IRR(R4:R34,0.1)</f>
        <v>0.0850000000000001</v>
      </c>
      <c r="S36" s="22" t="n">
        <f aca="false">IRR(S4:S34,0.1)</f>
        <v>0.0850000000000001</v>
      </c>
      <c r="T36" s="22" t="n">
        <f aca="false">IRR(T4:T34,0.1)</f>
        <v>0.085</v>
      </c>
      <c r="U36" s="22" t="n">
        <f aca="false">IRR(U4:U34,0.1)</f>
        <v>0.0850000000000001</v>
      </c>
      <c r="V36" s="22" t="n">
        <f aca="false">IRR(V4:V34,0.1)</f>
        <v>0.085</v>
      </c>
      <c r="W36" s="22" t="n">
        <f aca="false">IRR(W4:W34,0.1)</f>
        <v>0.0850000000000001</v>
      </c>
      <c r="X36" s="22" t="n">
        <f aca="false">IRR(X4:X34,0.1)</f>
        <v>0.085</v>
      </c>
      <c r="Y36" s="22" t="n">
        <f aca="false">IRR(Y4:Y34,0.1)</f>
        <v>0.0849999999999999</v>
      </c>
      <c r="Z36" s="22" t="n">
        <f aca="false">IRR(Z4:Z34,0.1)</f>
        <v>0.0849999999999999</v>
      </c>
      <c r="AA36" s="22" t="n">
        <f aca="false">IRR(AA4:AA34,0.1)</f>
        <v>0.0849999999999999</v>
      </c>
      <c r="AB36" s="22" t="n">
        <f aca="false">IRR(AB4:AB34,0.1)</f>
        <v>0.0849999999999999</v>
      </c>
      <c r="AC36" s="22" t="n">
        <f aca="false">IRR(AC4:AC34,0.1)</f>
        <v>0.0849999999999999</v>
      </c>
    </row>
    <row r="39" customFormat="false" ht="12.75" hidden="false" customHeight="false" outlineLevel="0" collapsed="false">
      <c r="I39" s="5"/>
    </row>
    <row r="40" customFormat="false" ht="12.75" hidden="false" customHeight="false" outlineLevel="0" collapsed="false"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2" customFormat="false" ht="12.75" hidden="false" customHeight="false" outlineLevel="0" collapsed="false"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</row>
    <row r="74" customFormat="false" ht="12.75" hidden="false" customHeight="false" outlineLevel="0" collapsed="false">
      <c r="H74" s="5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</row>
    <row r="78" customFormat="false" ht="12.75" hidden="false" customHeight="false" outlineLevel="0" collapsed="false">
      <c r="I78" s="5"/>
    </row>
    <row r="79" customFormat="false" ht="12.75" hidden="false" customHeight="false" outlineLevel="0" collapsed="false"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</row>
    <row r="81" customFormat="false" ht="12.75" hidden="false" customHeight="false" outlineLevel="0" collapsed="false"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</row>
    <row r="113" customFormat="false" ht="12.75" hidden="false" customHeight="false" outlineLevel="0" collapsed="false">
      <c r="H113" s="5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1999-08-11T03:47:48Z</dcterms:created>
  <dc:creator>Nancy E. Wallace</dc:creator>
  <dc:description/>
  <dc:language>en-US</dc:language>
  <cp:lastModifiedBy>jdasovic</cp:lastModifiedBy>
  <cp:lastPrinted>1999-08-16T15:07:48Z</cp:lastPrinted>
  <dcterms:modified xsi:type="dcterms:W3CDTF">2001-11-26T03:39:37Z</dcterms:modified>
  <cp:revision>0</cp:revision>
  <dc:subject/>
  <dc:title/>
</cp:coreProperties>
</file>