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" sheetId="1" state="visible" r:id="rId3"/>
    <sheet name="Breakeven" sheetId="2" state="visible" r:id="rId4"/>
    <sheet name="Mkt." sheetId="3" state="visible" r:id="rId5"/>
    <sheet name="Mtg." sheetId="4" state="visible" r:id="rId6"/>
    <sheet name="Stabilized" sheetId="5" state="visible" r:id="rId7"/>
  </sheets>
  <definedNames>
    <definedName function="false" hidden="false" localSheetId="1" name="_xlnm.Print_Area" vbProcedure="false">Breakeven!$A$2:$J$29</definedName>
    <definedName function="false" hidden="false" localSheetId="0" name="_xlnm.Print_Area" vbProcedure="false">Budget!$A$1:$G$28</definedName>
    <definedName function="false" hidden="false" localSheetId="2" name="_xlnm.Print_Area" vbProcedure="false">'Mkt.'!$A$2:$Q$29</definedName>
    <definedName function="false" hidden="false" localSheetId="4" name="_xlnm.Print_Area" vbProcedure="false">Stabilized!$A$1:$K$41</definedName>
    <definedName function="false" hidden="false" name="_Order1" vbProcedure="false">255</definedName>
    <definedName function="false" hidden="false" name="_Order2" vbProcedure="false">0</definedName>
    <definedName function="false" hidden="false" name="__123Graph_ACHART 3" vbProcedure="false">Stabilized!$C$47:$C$49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1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93</xdr:colOff>
                <xdr:row>19</xdr:row>
                <xdr:rowOff>2</xdr:rowOff>
              </xdr:from>
              <xdr:to>
                <xdr:col>3</xdr:col>
                <xdr:colOff>45</xdr:colOff>
                <xdr:row>23</xdr:row>
                <xdr:rowOff>4</xdr:rowOff>
              </xdr:to>
            </anchor>
          </commentPr>
        </mc:Choice>
        <mc:Fallback/>
      </mc:AlternateContent>
    </comment>
    <comment ref="F21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93</xdr:colOff>
                <xdr:row>19</xdr:row>
                <xdr:rowOff>2</xdr:rowOff>
              </xdr:from>
              <xdr:to>
                <xdr:col>7</xdr:col>
                <xdr:colOff>44</xdr:colOff>
                <xdr:row>23</xdr:row>
                <xdr:rowOff>4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6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79</xdr:colOff>
                <xdr:row>34</xdr:row>
                <xdr:rowOff>10</xdr:rowOff>
              </xdr:from>
              <xdr:to>
                <xdr:col>3</xdr:col>
                <xdr:colOff>42</xdr:colOff>
                <xdr:row>38</xdr:row>
                <xdr:rowOff>4</xdr:rowOff>
              </xdr:to>
            </anchor>
          </commentPr>
        </mc:Choice>
        <mc:Fallback/>
      </mc:AlternateContent>
    </comment>
    <comment ref="F36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42</xdr:colOff>
                <xdr:row>34</xdr:row>
                <xdr:rowOff>10</xdr:rowOff>
              </xdr:from>
              <xdr:to>
                <xdr:col>6</xdr:col>
                <xdr:colOff>63</xdr:colOff>
                <xdr:row>38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<sst xmlns="http://schemas.openxmlformats.org/spreadsheetml/2006/main" count="273" uniqueCount="93">
  <si>
    <t xml:space="preserve"> </t>
  </si>
  <si>
    <t xml:space="preserve">Budget</t>
  </si>
  <si>
    <t xml:space="preserve">$/Unit</t>
  </si>
  <si>
    <t xml:space="preserve">$/SF</t>
  </si>
  <si>
    <t xml:space="preserve">% of Budget</t>
  </si>
  <si>
    <t xml:space="preserve">Bank </t>
  </si>
  <si>
    <t xml:space="preserve">Borrower</t>
  </si>
  <si>
    <t xml:space="preserve">Land</t>
  </si>
  <si>
    <t xml:space="preserve">Improvements</t>
  </si>
  <si>
    <t xml:space="preserve">Amenities</t>
  </si>
  <si>
    <t xml:space="preserve">Unit Const.</t>
  </si>
  <si>
    <t xml:space="preserve">Const. Overhead and Profit</t>
  </si>
  <si>
    <t xml:space="preserve">  </t>
  </si>
  <si>
    <t xml:space="preserve">Appraisal</t>
  </si>
  <si>
    <t xml:space="preserve">Origination</t>
  </si>
  <si>
    <t xml:space="preserve">Closing Costs</t>
  </si>
  <si>
    <t xml:space="preserve">Interest Reserve</t>
  </si>
  <si>
    <t xml:space="preserve">Total Use of Funds</t>
  </si>
  <si>
    <t xml:space="preserve">Equity</t>
  </si>
  <si>
    <t xml:space="preserve">  Land</t>
  </si>
  <si>
    <t xml:space="preserve">  Deferred Profit/Overhead</t>
  </si>
  <si>
    <t xml:space="preserve">  Cash</t>
  </si>
  <si>
    <t xml:space="preserve">Total Equity</t>
  </si>
  <si>
    <t xml:space="preserve">Debt</t>
  </si>
  <si>
    <t xml:space="preserve">LTC</t>
  </si>
  <si>
    <t xml:space="preserve">Break-even Analysis</t>
  </si>
  <si>
    <t xml:space="preserve">Break-even Vacancy:</t>
  </si>
  <si>
    <t xml:space="preserve">Break-even Occupancy:</t>
  </si>
  <si>
    <t xml:space="preserve">Units Occupied:</t>
  </si>
  <si>
    <t xml:space="preserve">Bank</t>
  </si>
  <si>
    <t xml:space="preserve">REVENUE</t>
  </si>
  <si>
    <t xml:space="preserve">Amount</t>
  </si>
  <si>
    <t xml:space="preserve">% Total</t>
  </si>
  <si>
    <t xml:space="preserve">Per Unit</t>
  </si>
  <si>
    <t xml:space="preserve">psf</t>
  </si>
  <si>
    <t xml:space="preserve">Rental Income</t>
  </si>
  <si>
    <t xml:space="preserve">Other Income</t>
  </si>
  <si>
    <t xml:space="preserve">PGI</t>
  </si>
  <si>
    <t xml:space="preserve">Less: Vacancy</t>
  </si>
  <si>
    <t xml:space="preserve">EGI</t>
  </si>
  <si>
    <t xml:space="preserve">EXPENSES</t>
  </si>
  <si>
    <t xml:space="preserve">Total Expenses</t>
  </si>
  <si>
    <t xml:space="preserve">NOI</t>
  </si>
  <si>
    <t xml:space="preserve">Loan Amount</t>
  </si>
  <si>
    <t xml:space="preserve">Phantom Rate</t>
  </si>
  <si>
    <t xml:space="preserve">Amortization</t>
  </si>
  <si>
    <t xml:space="preserve">DS</t>
  </si>
  <si>
    <t xml:space="preserve">DCR</t>
  </si>
  <si>
    <t xml:space="preserve">Constant Coverage</t>
  </si>
  <si>
    <t xml:space="preserve">FUNDINGS</t>
  </si>
  <si>
    <t xml:space="preserve">TOTAL</t>
  </si>
  <si>
    <t xml:space="preserve">Land/Taxes</t>
  </si>
  <si>
    <t xml:space="preserve">Direct Unit Costs</t>
  </si>
  <si>
    <t xml:space="preserve">Const. Profit &amp; Overhead</t>
  </si>
  <si>
    <t xml:space="preserve">Origination &amp; Closing</t>
  </si>
  <si>
    <t xml:space="preserve">Interest Expense</t>
  </si>
  <si>
    <t xml:space="preserve">Less Developer's Equity @ Closing</t>
  </si>
  <si>
    <t xml:space="preserve">Cumulative Principal Outstanding</t>
  </si>
  <si>
    <t xml:space="preserve">Interest Only @ 8.65%</t>
  </si>
  <si>
    <t xml:space="preserve">Beginning Interest Reserve</t>
  </si>
  <si>
    <t xml:space="preserve">Less: Interest</t>
  </si>
  <si>
    <t xml:space="preserve">Ending Interest Reserve</t>
  </si>
  <si>
    <t xml:space="preserve">Interest Coverage</t>
  </si>
  <si>
    <t xml:space="preserve">Subject - Eagle Sagewood Phase II</t>
  </si>
  <si>
    <t xml:space="preserve">Bank's</t>
  </si>
  <si>
    <t xml:space="preserve">Borrower's</t>
  </si>
  <si>
    <t xml:space="preserve">Unit Type</t>
  </si>
  <si>
    <t xml:space="preserve">Units</t>
  </si>
  <si>
    <t xml:space="preserve">Unit Size</t>
  </si>
  <si>
    <t xml:space="preserve">Unit Rent</t>
  </si>
  <si>
    <t xml:space="preserve">Rent</t>
  </si>
  <si>
    <t xml:space="preserve">Rent/BR</t>
  </si>
  <si>
    <t xml:space="preserve">2 BR/2.5 BA</t>
  </si>
  <si>
    <t xml:space="preserve">3 BR/3.5 BA</t>
  </si>
  <si>
    <t xml:space="preserve">Existing Project</t>
  </si>
  <si>
    <t xml:space="preserve">Sagewood M/F</t>
  </si>
  <si>
    <t xml:space="preserve">Stabilized Pro Forma</t>
  </si>
  <si>
    <t xml:space="preserve">Size</t>
  </si>
  <si>
    <t xml:space="preserve">PRO FORMA:</t>
  </si>
  <si>
    <t xml:space="preserve">Assumptions:</t>
  </si>
  <si>
    <t xml:space="preserve">Stabilized Vacancy\Collection:</t>
  </si>
  <si>
    <t xml:space="preserve">Average monthly rental rates:</t>
  </si>
  <si>
    <t xml:space="preserve">Less: Vacancy/Collection</t>
  </si>
  <si>
    <t xml:space="preserve">Real Estate Taxes</t>
  </si>
  <si>
    <t xml:space="preserve">Insurnce</t>
  </si>
  <si>
    <t xml:space="preserve">Management Fees</t>
  </si>
  <si>
    <t xml:space="preserve">Administration</t>
  </si>
  <si>
    <t xml:space="preserve">Utilities</t>
  </si>
  <si>
    <t xml:space="preserve">Maintenance/Repairs</t>
  </si>
  <si>
    <t xml:space="preserve">Misc.</t>
  </si>
  <si>
    <t xml:space="preserve">Reserves @ $350/unit</t>
  </si>
  <si>
    <t xml:space="preserve">Surplus</t>
  </si>
  <si>
    <t xml:space="preserve">x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</si>
</sst>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&quot;($&quot;#,##0\)"/>
    <numFmt numFmtId="166" formatCode="\$#,##0.00_);&quot;($&quot;#,##0.00\)"/>
    <numFmt numFmtId="167" formatCode="0%"/>
    <numFmt numFmtId="168" formatCode="0.00%"/>
    <numFmt numFmtId="169" formatCode="\$#,##0"/>
    <numFmt numFmtId="170" formatCode="\$#,##0.00"/>
    <numFmt numFmtId="171" formatCode="_(\$* #,##0.00_);_(\$* \(#,##0.00\);_(\$* \-??_);_(@_)"/>
    <numFmt numFmtId="172" formatCode="\$#,##0_);[RED]&quot;($&quot;#,##0\)"/>
    <numFmt numFmtId="173" formatCode="[$-409]#,##0_);\(#,##0\)"/>
    <numFmt numFmtId="174" formatCode="0.000%"/>
    <numFmt numFmtId="175" formatCode="0.0%"/>
    <numFmt numFmtId="176" formatCode="[$-409]#,##0.00_);\(#,##0.00\)"/>
    <numFmt numFmtId="177" formatCode="#,##0.0000_);\(#,##0.0000\)"/>
    <numFmt numFmtId="178" formatCode="[$-409]#,##0_);[RED]\(#,##0\)"/>
    <numFmt numFmtId="179" formatCode="_(* #,##0.00_);_(* \(#,##0.00\);_(* \-??_);_(@_)"/>
    <numFmt numFmtId="180" formatCode="\$#,##0.000_);&quot;($&quot;#,##0.000\)"/>
  </numFmts>
  <fonts count="21">
    <font>
      <sz val="12"/>
      <name val="Arial MT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Times New Roman"/>
      <family val="1"/>
    </font>
    <font>
      <b val="true"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 val="true"/>
      <sz val="10"/>
      <name val="Times New Roman"/>
      <family val="1"/>
    </font>
    <font>
      <sz val="10"/>
      <color rgb="FF000080"/>
      <name val="Times New Roman"/>
      <family val="1"/>
    </font>
    <font>
      <u val="single"/>
      <sz val="10"/>
      <color rgb="FF000080"/>
      <name val="Times New Roman"/>
      <family val="1"/>
    </font>
    <font>
      <b val="true"/>
      <u val="single"/>
      <sz val="10"/>
      <name val="Times New Roman"/>
      <family val="1"/>
    </font>
    <font>
      <sz val="10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name val="Times New Roman"/>
      <family val="1"/>
    </font>
    <font>
      <i val="true"/>
      <sz val="10"/>
      <name val="Times New Roman"/>
      <family val="1"/>
    </font>
    <font>
      <sz val="8"/>
      <color rgb="FF000000"/>
      <name val="Tahoma"/>
      <family val="0"/>
    </font>
    <font>
      <sz val="10"/>
      <name val="Arial MT"/>
      <family val="0"/>
    </font>
    <font>
      <u val="single"/>
      <sz val="10"/>
      <name val="Arial MT"/>
      <family val="0"/>
    </font>
    <font>
      <u val="double"/>
      <sz val="10"/>
      <name val="Arial MT"/>
      <family val="0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9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1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8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2.77"/>
    <col collapsed="false" customWidth="true" hidden="false" outlineLevel="0" max="2" min="2" style="0" width="11.55"/>
    <col collapsed="false" customWidth="true" hidden="false" outlineLevel="0" max="3" min="3" style="0" width="11.88"/>
    <col collapsed="false" customWidth="true" hidden="false" outlineLevel="0" max="4" min="4" style="0" width="11.65"/>
    <col collapsed="false" customWidth="true" hidden="false" outlineLevel="0" max="6" min="6" style="0" width="11.88"/>
    <col collapsed="false" customWidth="true" hidden="false" outlineLevel="0" max="7" min="7" style="0" width="11.1"/>
    <col collapsed="false" customWidth="true" hidden="false" outlineLevel="0" max="8" min="8" style="0" width="11.44"/>
  </cols>
  <sheetData>
    <row r="1" customFormat="false" ht="22.5" hidden="false" customHeight="false" outlineLevel="0" collapsed="false">
      <c r="A1" s="1" t="s">
        <v>0</v>
      </c>
      <c r="B1" s="1"/>
      <c r="C1" s="1"/>
      <c r="D1" s="1"/>
    </row>
    <row r="2" customFormat="false" ht="18.75" hidden="false" customHeight="false" outlineLevel="0" collapsed="false">
      <c r="A2" s="2" t="s">
        <v>1</v>
      </c>
      <c r="B2" s="2"/>
      <c r="C2" s="2"/>
      <c r="D2" s="2"/>
    </row>
    <row r="3" customFormat="false" ht="18.75" hidden="false" customHeight="false" outlineLevel="0" collapsed="false">
      <c r="A3" s="3"/>
      <c r="B3" s="4"/>
      <c r="C3" s="4"/>
      <c r="D3" s="4"/>
    </row>
    <row r="4" customFormat="false" ht="15.75" hidden="false" customHeight="false" outlineLevel="0" collapsed="false">
      <c r="A4" s="5" t="s">
        <v>0</v>
      </c>
    </row>
    <row r="6" customFormat="false" ht="15" hidden="false" customHeight="false" outlineLevel="0" collapsed="false">
      <c r="A6" s="6"/>
      <c r="B6" s="7"/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</row>
    <row r="7" customFormat="false" ht="15" hidden="false" customHeight="false" outlineLevel="0" collapsed="false">
      <c r="A7" s="9" t="s">
        <v>7</v>
      </c>
      <c r="B7" s="10" t="n">
        <v>1121670</v>
      </c>
      <c r="C7" s="11" t="n">
        <f aca="false">+B7/Stabilized!$B$8</f>
        <v>8370.67164179105</v>
      </c>
      <c r="D7" s="12" t="n">
        <f aca="false">+B7/Stabilized!$E$8</f>
        <v>7.57061574908377</v>
      </c>
      <c r="E7" s="13" t="n">
        <f aca="false">+B7/$B$18</f>
        <v>0.0948658340318567</v>
      </c>
      <c r="F7" s="11" t="n">
        <v>0</v>
      </c>
      <c r="G7" s="11" t="n">
        <f aca="false">+B7</f>
        <v>1121670</v>
      </c>
    </row>
    <row r="8" customFormat="false" ht="15" hidden="false" customHeight="false" outlineLevel="0" collapsed="false">
      <c r="A8" s="9" t="s">
        <v>8</v>
      </c>
      <c r="B8" s="10" t="n">
        <v>627030</v>
      </c>
      <c r="C8" s="11" t="n">
        <f aca="false">+B8/Stabilized!$B$8</f>
        <v>4679.32835820896</v>
      </c>
      <c r="D8" s="12" t="n">
        <f aca="false">+B8/Stabilized!$E$8</f>
        <v>4.23208536659445</v>
      </c>
      <c r="E8" s="13" t="n">
        <f aca="false">+B8/$B$18</f>
        <v>0.0530313941827767</v>
      </c>
      <c r="F8" s="11" t="n">
        <v>0</v>
      </c>
      <c r="G8" s="11" t="n">
        <f aca="false">+B8</f>
        <v>627030</v>
      </c>
      <c r="H8" s="14" t="s">
        <v>0</v>
      </c>
    </row>
    <row r="9" customFormat="false" ht="15" hidden="false" customHeight="false" outlineLevel="0" collapsed="false">
      <c r="A9" s="9" t="s">
        <v>0</v>
      </c>
      <c r="B9" s="10" t="s">
        <v>0</v>
      </c>
      <c r="C9" s="11" t="s">
        <v>0</v>
      </c>
      <c r="D9" s="12" t="s">
        <v>0</v>
      </c>
      <c r="E9" s="13" t="s">
        <v>0</v>
      </c>
      <c r="F9" s="11"/>
      <c r="G9" s="12"/>
      <c r="H9" s="14" t="s">
        <v>0</v>
      </c>
    </row>
    <row r="10" customFormat="false" ht="15" hidden="false" customHeight="false" outlineLevel="0" collapsed="false">
      <c r="A10" s="9" t="s">
        <v>9</v>
      </c>
      <c r="B10" s="10" t="n">
        <v>758447</v>
      </c>
      <c r="C10" s="11" t="n">
        <f aca="false">+B10/Stabilized!$B$8</f>
        <v>5660.05223880597</v>
      </c>
      <c r="D10" s="12" t="n">
        <f aca="false">+B10/Stabilized!$E$8</f>
        <v>5.11907317040247</v>
      </c>
      <c r="E10" s="13" t="n">
        <f aca="false">+B10/$B$18</f>
        <v>0.0641460565263934</v>
      </c>
      <c r="F10" s="11" t="n">
        <f aca="false">+B10</f>
        <v>758447</v>
      </c>
      <c r="G10" s="12" t="n">
        <v>0</v>
      </c>
    </row>
    <row r="11" customFormat="false" ht="15" hidden="false" customHeight="false" outlineLevel="0" collapsed="false">
      <c r="A11" s="9" t="s">
        <v>10</v>
      </c>
      <c r="B11" s="10" t="n">
        <v>7662441</v>
      </c>
      <c r="C11" s="11" t="n">
        <f aca="false">+B11/Stabilized!$B$8</f>
        <v>57182.3955223881</v>
      </c>
      <c r="D11" s="12" t="n">
        <f aca="false">+B11/Stabilized!$E$8</f>
        <v>51.7169903010914</v>
      </c>
      <c r="E11" s="13" t="n">
        <f aca="false">+B11/$B$18</f>
        <v>0.648055003864679</v>
      </c>
      <c r="F11" s="11" t="n">
        <f aca="false">+B11-G11</f>
        <v>6870203</v>
      </c>
      <c r="G11" s="11" t="n">
        <v>792238</v>
      </c>
    </row>
    <row r="12" customFormat="false" ht="15" hidden="false" customHeight="false" outlineLevel="0" collapsed="false">
      <c r="A12" s="9" t="s">
        <v>11</v>
      </c>
      <c r="B12" s="10" t="n">
        <v>830000</v>
      </c>
      <c r="C12" s="11" t="n">
        <f aca="false">+B12/Stabilized!$B$8</f>
        <v>6194.02985074627</v>
      </c>
      <c r="D12" s="12" t="n">
        <f aca="false">+B12/Stabilized!$E$8</f>
        <v>5.60201402528331</v>
      </c>
      <c r="E12" s="13" t="n">
        <f aca="false">+B12/$B$18</f>
        <v>0.0701976893796224</v>
      </c>
      <c r="F12" s="11" t="n">
        <v>415000</v>
      </c>
      <c r="G12" s="11" t="n">
        <v>415000</v>
      </c>
    </row>
    <row r="13" customFormat="false" ht="15" hidden="false" customHeight="false" outlineLevel="0" collapsed="false">
      <c r="A13" s="9"/>
      <c r="B13" s="10"/>
      <c r="C13" s="11" t="s">
        <v>12</v>
      </c>
      <c r="D13" s="12" t="s">
        <v>0</v>
      </c>
      <c r="E13" s="13" t="s">
        <v>0</v>
      </c>
      <c r="F13" s="11"/>
      <c r="G13" s="12"/>
    </row>
    <row r="14" customFormat="false" ht="15" hidden="false" customHeight="false" outlineLevel="0" collapsed="false">
      <c r="A14" s="9" t="s">
        <v>13</v>
      </c>
      <c r="B14" s="10" t="n">
        <v>4000</v>
      </c>
      <c r="C14" s="11" t="n">
        <f aca="false">+B14/Stabilized!$B$8</f>
        <v>29.8507462686567</v>
      </c>
      <c r="D14" s="12" t="n">
        <f aca="false">+B14/Stabilized!$E$8</f>
        <v>0.0269976579531726</v>
      </c>
      <c r="E14" s="13" t="n">
        <f aca="false">+B14/$B$18</f>
        <v>0.000338302117492156</v>
      </c>
      <c r="F14" s="11" t="n">
        <f aca="false">+B14</f>
        <v>4000</v>
      </c>
      <c r="G14" s="12" t="n">
        <v>0</v>
      </c>
    </row>
    <row r="15" customFormat="false" ht="15" hidden="false" customHeight="false" outlineLevel="0" collapsed="false">
      <c r="A15" s="9" t="s">
        <v>14</v>
      </c>
      <c r="B15" s="10" t="n">
        <v>123073</v>
      </c>
      <c r="C15" s="11" t="n">
        <f aca="false">+B15/Stabilized!$B$8</f>
        <v>918.455223880597</v>
      </c>
      <c r="D15" s="12" t="n">
        <f aca="false">+B15/Stabilized!$E$8</f>
        <v>0.830670689317702</v>
      </c>
      <c r="E15" s="13" t="n">
        <f aca="false">+B15/$B$18</f>
        <v>0.010408964126528</v>
      </c>
      <c r="F15" s="11" t="n">
        <f aca="false">+B15</f>
        <v>123073</v>
      </c>
      <c r="G15" s="12" t="n">
        <v>0</v>
      </c>
    </row>
    <row r="16" customFormat="false" ht="15" hidden="false" customHeight="false" outlineLevel="0" collapsed="false">
      <c r="A16" s="9" t="s">
        <v>15</v>
      </c>
      <c r="B16" s="10" t="n">
        <v>30768</v>
      </c>
      <c r="C16" s="11" t="n">
        <f aca="false">+B16/Stabilized!$B$8</f>
        <v>229.611940298507</v>
      </c>
      <c r="D16" s="12" t="n">
        <f aca="false">+B16/Stabilized!$E$8</f>
        <v>0.207665984975803</v>
      </c>
      <c r="E16" s="13" t="n">
        <f aca="false">+B16/$B$18</f>
        <v>0.00260221988774967</v>
      </c>
      <c r="F16" s="11" t="n">
        <f aca="false">+B16</f>
        <v>30768</v>
      </c>
      <c r="G16" s="12" t="n">
        <v>0</v>
      </c>
    </row>
    <row r="17" customFormat="false" ht="15" hidden="false" customHeight="false" outlineLevel="0" collapsed="false">
      <c r="A17" s="9" t="s">
        <v>16</v>
      </c>
      <c r="B17" s="15" t="n">
        <v>666322</v>
      </c>
      <c r="C17" s="16" t="n">
        <f aca="false">+B17/Stabilized!$B$8</f>
        <v>4972.55223880597</v>
      </c>
      <c r="D17" s="17" t="n">
        <f aca="false">+B17/Stabilized!$E$8</f>
        <v>4.49728336066846</v>
      </c>
      <c r="E17" s="18" t="n">
        <f aca="false">+B17/$B$18</f>
        <v>0.0563545358829021</v>
      </c>
      <c r="F17" s="16" t="n">
        <f aca="false">+B17</f>
        <v>666322</v>
      </c>
      <c r="G17" s="17" t="n">
        <v>0</v>
      </c>
    </row>
    <row r="18" customFormat="false" ht="15" hidden="false" customHeight="false" outlineLevel="0" collapsed="false">
      <c r="A18" s="19" t="s">
        <v>17</v>
      </c>
      <c r="B18" s="20" t="n">
        <f aca="false">SUM(B7:B17)</f>
        <v>11823751</v>
      </c>
      <c r="C18" s="20" t="n">
        <f aca="false">+B18/Stabilized!$B$8</f>
        <v>88236.947761194</v>
      </c>
      <c r="D18" s="21" t="n">
        <f aca="false">+B18/Stabilized!$E$8</f>
        <v>79.8033963053705</v>
      </c>
      <c r="E18" s="22" t="n">
        <f aca="false">SUM(E7:E17)</f>
        <v>1</v>
      </c>
      <c r="F18" s="20" t="n">
        <f aca="false">SUM(F7:F17)</f>
        <v>8867813</v>
      </c>
      <c r="G18" s="20" t="n">
        <f aca="false">SUM(G7:G17)</f>
        <v>2955938</v>
      </c>
      <c r="H18" s="14" t="s">
        <v>0</v>
      </c>
    </row>
    <row r="19" customFormat="false" ht="15" hidden="false" customHeight="false" outlineLevel="0" collapsed="false">
      <c r="A19" s="19"/>
      <c r="B19" s="23"/>
      <c r="C19" s="23"/>
      <c r="D19" s="24"/>
    </row>
    <row r="20" customFormat="false" ht="15" hidden="false" customHeight="false" outlineLevel="0" collapsed="false">
      <c r="A20" s="19"/>
      <c r="B20" s="23"/>
      <c r="C20" s="23"/>
      <c r="D20" s="24"/>
      <c r="G20" s="25" t="s">
        <v>0</v>
      </c>
    </row>
    <row r="21" customFormat="false" ht="15" hidden="false" customHeight="false" outlineLevel="0" collapsed="false">
      <c r="A21" s="19" t="s">
        <v>18</v>
      </c>
      <c r="B21" s="26" t="s">
        <v>0</v>
      </c>
      <c r="C21" s="27"/>
      <c r="D21" s="6"/>
    </row>
    <row r="22" customFormat="false" ht="15" hidden="false" customHeight="false" outlineLevel="0" collapsed="false">
      <c r="A22" s="19" t="s">
        <v>19</v>
      </c>
      <c r="B22" s="26" t="n">
        <v>1121670</v>
      </c>
      <c r="C22" s="27"/>
      <c r="D22" s="6"/>
    </row>
    <row r="23" customFormat="false" ht="15" hidden="false" customHeight="false" outlineLevel="0" collapsed="false">
      <c r="A23" s="19" t="s">
        <v>20</v>
      </c>
      <c r="B23" s="26" t="n">
        <f aca="false">+G12</f>
        <v>415000</v>
      </c>
      <c r="C23" s="27" t="s">
        <v>0</v>
      </c>
      <c r="D23" s="28" t="s">
        <v>0</v>
      </c>
    </row>
    <row r="24" customFormat="false" ht="15" hidden="false" customHeight="false" outlineLevel="0" collapsed="false">
      <c r="A24" s="19" t="s">
        <v>21</v>
      </c>
      <c r="B24" s="29" t="n">
        <f aca="false">1351924+67344</f>
        <v>1419268</v>
      </c>
      <c r="C24" s="30" t="s">
        <v>0</v>
      </c>
      <c r="D24" s="6"/>
    </row>
    <row r="25" customFormat="false" ht="15" hidden="false" customHeight="false" outlineLevel="0" collapsed="false">
      <c r="A25" s="19" t="s">
        <v>22</v>
      </c>
      <c r="B25" s="26" t="n">
        <f aca="false">SUM(B22:B24)</f>
        <v>2955938</v>
      </c>
      <c r="C25" s="31" t="n">
        <f aca="false">+B25/B18</f>
        <v>0.250000021143882</v>
      </c>
      <c r="D25" s="26"/>
    </row>
    <row r="26" customFormat="false" ht="15" hidden="false" customHeight="false" outlineLevel="0" collapsed="false">
      <c r="A26" s="19" t="s">
        <v>23</v>
      </c>
      <c r="B26" s="26" t="n">
        <f aca="false">+B18*0.75</f>
        <v>8867813.25</v>
      </c>
      <c r="C26" s="31" t="n">
        <f aca="false">+B26/B18</f>
        <v>0.75</v>
      </c>
      <c r="D26" s="26" t="s">
        <v>24</v>
      </c>
    </row>
    <row r="27" customFormat="false" ht="15" hidden="false" customHeight="false" outlineLevel="0" collapsed="false">
      <c r="A27" s="32" t="s">
        <v>24</v>
      </c>
      <c r="B27" s="33" t="s">
        <v>0</v>
      </c>
      <c r="C27" s="34"/>
    </row>
    <row r="28" customFormat="false" ht="15" hidden="false" customHeight="false" outlineLevel="0" collapsed="false">
      <c r="C28" s="34"/>
    </row>
    <row r="29" customFormat="false" ht="15" hidden="false" customHeight="false" outlineLevel="0" collapsed="false">
      <c r="C29" s="34"/>
    </row>
    <row r="30" customFormat="false" ht="15" hidden="false" customHeight="false" outlineLevel="0" collapsed="false">
      <c r="C30" s="34"/>
    </row>
    <row r="32" customFormat="false" ht="15" hidden="false" customHeight="false" outlineLevel="0" collapsed="false">
      <c r="C32" s="35"/>
    </row>
    <row r="33" customFormat="false" ht="15" hidden="false" customHeight="false" outlineLevel="0" collapsed="false">
      <c r="C33" s="35"/>
    </row>
    <row r="34" customFormat="false" ht="15" hidden="false" customHeight="false" outlineLevel="0" collapsed="false">
      <c r="C34" s="35"/>
    </row>
    <row r="35" customFormat="false" ht="15" hidden="false" customHeight="false" outlineLevel="0" collapsed="false">
      <c r="C35" s="35"/>
    </row>
    <row r="36" customFormat="false" ht="15" hidden="false" customHeight="false" outlineLevel="0" collapsed="false">
      <c r="C36" s="35"/>
    </row>
    <row r="37" customFormat="false" ht="15" hidden="false" customHeight="false" outlineLevel="0" collapsed="false">
      <c r="C37" s="35"/>
    </row>
    <row r="39" customFormat="false" ht="15" hidden="false" customHeight="false" outlineLevel="0" collapsed="false">
      <c r="C39" s="35"/>
    </row>
    <row r="40" customFormat="false" ht="15" hidden="false" customHeight="false" outlineLevel="0" collapsed="false">
      <c r="C40" s="36"/>
      <c r="G40" s="37" t="s">
        <v>0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25" right="0.2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3"/>
  <sheetViews>
    <sheetView showFormulas="false" showGridLines="true" showRowColHeaders="true" showZeros="true" rightToLeft="false" tabSelected="false" showOutlineSymbols="true" defaultGridColor="false" view="normal" topLeftCell="A2" colorId="22" zoomScale="80" zoomScaleNormal="80" zoomScalePageLayoutView="100" workbookViewId="0">
      <selection pane="topLeft" activeCell="D23" activeCellId="0" sqref="D23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16.76"/>
    <col collapsed="false" customWidth="true" hidden="false" outlineLevel="0" max="2" min="2" style="0" width="10.55"/>
    <col collapsed="false" customWidth="true" hidden="false" outlineLevel="0" max="3" min="3" style="0" width="8.88"/>
    <col collapsed="false" customWidth="true" hidden="false" outlineLevel="0" max="4" min="4" style="0" width="8.44"/>
    <col collapsed="false" customWidth="true" hidden="false" outlineLevel="0" max="5" min="5" style="0" width="7.99"/>
    <col collapsed="false" customWidth="true" hidden="false" outlineLevel="0" max="6" min="6" style="0" width="12.77"/>
    <col collapsed="false" customWidth="true" hidden="false" outlineLevel="0" max="7" min="7" style="0" width="6.77"/>
    <col collapsed="false" customWidth="true" hidden="false" outlineLevel="0" max="8" min="8" style="0" width="7.77"/>
    <col collapsed="false" customWidth="true" hidden="false" outlineLevel="0" max="9" min="9" style="0" width="6.77"/>
  </cols>
  <sheetData>
    <row r="1" customFormat="false" ht="22.5" hidden="false" customHeight="false" outlineLevel="0" collapsed="false">
      <c r="A1" s="1" t="e">
        <f aca="false">#REF!</f>
        <v>#REF!</v>
      </c>
      <c r="B1" s="1"/>
      <c r="C1" s="1"/>
      <c r="D1" s="1"/>
      <c r="E1" s="1"/>
      <c r="F1" s="1"/>
      <c r="G1" s="1"/>
      <c r="H1" s="1"/>
      <c r="I1" s="1"/>
      <c r="J1" s="6"/>
    </row>
    <row r="2" customFormat="false" ht="18.75" hidden="false" customHeight="false" outlineLevel="0" collapsed="false">
      <c r="A2" s="2" t="s">
        <v>25</v>
      </c>
      <c r="B2" s="2"/>
      <c r="C2" s="2"/>
      <c r="D2" s="2"/>
      <c r="E2" s="2"/>
      <c r="F2" s="2"/>
      <c r="G2" s="2"/>
      <c r="H2" s="2"/>
      <c r="I2" s="2"/>
      <c r="J2" s="6"/>
    </row>
    <row r="3" customFormat="false" ht="15" hidden="false" customHeight="false" outlineLevel="0" collapsed="false">
      <c r="A3" s="38"/>
      <c r="B3" s="39" t="s">
        <v>0</v>
      </c>
      <c r="C3" s="39"/>
      <c r="D3" s="39"/>
      <c r="E3" s="39"/>
      <c r="F3" s="6"/>
      <c r="G3" s="6"/>
      <c r="H3" s="6"/>
      <c r="I3" s="6"/>
      <c r="J3" s="6"/>
    </row>
    <row r="4" customFormat="false" ht="15" hidden="false" customHeight="false" outlineLevel="0" collapsed="false">
      <c r="A4" s="40" t="s">
        <v>26</v>
      </c>
      <c r="B4" s="41" t="n">
        <f aca="false">C13</f>
        <v>0.177902004815582</v>
      </c>
      <c r="C4" s="42"/>
      <c r="D4" s="43"/>
      <c r="E4" s="44"/>
      <c r="F4" s="41" t="n">
        <f aca="false">G13</f>
        <v>0.308629302599068</v>
      </c>
      <c r="G4" s="45"/>
      <c r="H4" s="4"/>
      <c r="I4" s="6"/>
      <c r="J4" s="6"/>
    </row>
    <row r="5" customFormat="false" ht="15" hidden="false" customHeight="false" outlineLevel="0" collapsed="false">
      <c r="A5" s="40" t="s">
        <v>27</v>
      </c>
      <c r="B5" s="41" t="n">
        <f aca="false">1-B4</f>
        <v>0.822097995184418</v>
      </c>
      <c r="C5" s="6"/>
      <c r="D5" s="6"/>
      <c r="E5" s="46"/>
      <c r="F5" s="41" t="n">
        <f aca="false">1-F4</f>
        <v>0.691370697400932</v>
      </c>
      <c r="G5" s="6"/>
      <c r="H5" s="6"/>
      <c r="I5" s="6"/>
      <c r="J5" s="6"/>
    </row>
    <row r="6" customFormat="false" ht="15" hidden="false" customHeight="false" outlineLevel="0" collapsed="false">
      <c r="A6" s="45" t="s">
        <v>28</v>
      </c>
      <c r="B6" s="47" t="n">
        <f aca="false">+B5*Stabilized!B8</f>
        <v>110.161131354712</v>
      </c>
      <c r="C6" s="48"/>
      <c r="D6" s="48"/>
      <c r="E6" s="47"/>
      <c r="F6" s="47" t="n">
        <f aca="false">+F5*Stabilized!B8</f>
        <v>92.6436734517249</v>
      </c>
      <c r="G6" s="6"/>
      <c r="H6" s="6"/>
      <c r="I6" s="6"/>
      <c r="J6" s="6"/>
    </row>
    <row r="7" customFormat="false" ht="15" hidden="false" customHeight="false" outlineLevel="0" collapsed="false">
      <c r="A7" s="40"/>
      <c r="B7" s="49"/>
      <c r="C7" s="6"/>
      <c r="D7" s="6"/>
      <c r="E7" s="46"/>
      <c r="F7" s="49"/>
      <c r="G7" s="6"/>
      <c r="H7" s="6"/>
      <c r="I7" s="6"/>
      <c r="J7" s="6"/>
    </row>
    <row r="8" customFormat="false" ht="15" hidden="false" customHeight="false" outlineLevel="0" collapsed="false">
      <c r="A8" s="6"/>
      <c r="B8" s="50" t="s">
        <v>29</v>
      </c>
      <c r="C8" s="50"/>
      <c r="D8" s="50"/>
      <c r="E8" s="50"/>
      <c r="F8" s="50" t="s">
        <v>6</v>
      </c>
      <c r="G8" s="50"/>
      <c r="H8" s="50"/>
      <c r="I8" s="50"/>
      <c r="J8" s="6"/>
    </row>
    <row r="9" customFormat="false" ht="12" hidden="false" customHeight="true" outlineLevel="0" collapsed="false">
      <c r="A9" s="51" t="s">
        <v>30</v>
      </c>
      <c r="B9" s="52" t="s">
        <v>31</v>
      </c>
      <c r="C9" s="53" t="s">
        <v>32</v>
      </c>
      <c r="D9" s="53" t="s">
        <v>33</v>
      </c>
      <c r="E9" s="54" t="s">
        <v>34</v>
      </c>
      <c r="F9" s="52" t="s">
        <v>31</v>
      </c>
      <c r="G9" s="53" t="s">
        <v>32</v>
      </c>
      <c r="H9" s="53" t="s">
        <v>33</v>
      </c>
      <c r="I9" s="55" t="s">
        <v>34</v>
      </c>
      <c r="J9" s="6"/>
    </row>
    <row r="10" customFormat="false" ht="12" hidden="false" customHeight="true" outlineLevel="0" collapsed="false">
      <c r="A10" s="48" t="s">
        <v>35</v>
      </c>
      <c r="B10" s="56" t="n">
        <f aca="false">Stabilized!B16</f>
        <v>1783800</v>
      </c>
      <c r="C10" s="57" t="n">
        <f aca="false">B10/B$12</f>
        <v>0.981745413237878</v>
      </c>
      <c r="D10" s="58" t="n">
        <f aca="false">+B10/Stabilized!$B$8</f>
        <v>13311.9402985075</v>
      </c>
      <c r="E10" s="59" t="n">
        <f aca="false">+B10/Stabilized!$E$8</f>
        <v>12.0396055642173</v>
      </c>
      <c r="F10" s="60" t="n">
        <f aca="false">Stabilized!F16</f>
        <v>2127360</v>
      </c>
      <c r="G10" s="57" t="n">
        <f aca="false">F10/F$12</f>
        <v>0.984648197107374</v>
      </c>
      <c r="H10" s="58" t="n">
        <f aca="false">+F10/Stabilized!$B$8</f>
        <v>15875.8208955224</v>
      </c>
      <c r="I10" s="59" t="n">
        <f aca="false">+F10/Stabilized!$E$8</f>
        <v>14.3584344058153</v>
      </c>
      <c r="J10" s="6"/>
    </row>
    <row r="11" customFormat="false" ht="12" hidden="false" customHeight="true" outlineLevel="0" collapsed="false">
      <c r="A11" s="48" t="s">
        <v>36</v>
      </c>
      <c r="B11" s="61" t="n">
        <f aca="false">Stabilized!B17</f>
        <v>33168</v>
      </c>
      <c r="C11" s="62" t="n">
        <f aca="false">B11/B$12</f>
        <v>0.0182545867621224</v>
      </c>
      <c r="D11" s="63" t="n">
        <f aca="false">+B11/Stabilized!$B$8</f>
        <v>247.522388059701</v>
      </c>
      <c r="E11" s="64" t="n">
        <f aca="false">+B11/Stabilized!$E$8</f>
        <v>0.223864579747707</v>
      </c>
      <c r="F11" s="63" t="n">
        <f aca="false">Stabilized!F17</f>
        <v>33168</v>
      </c>
      <c r="G11" s="62" t="n">
        <f aca="false">F11/F$12</f>
        <v>0.0153518028926262</v>
      </c>
      <c r="H11" s="63" t="n">
        <f aca="false">+F11/Stabilized!$B$8</f>
        <v>247.522388059701</v>
      </c>
      <c r="I11" s="64" t="n">
        <f aca="false">+F11/Stabilized!$E$8</f>
        <v>0.223864579747707</v>
      </c>
      <c r="J11" s="6"/>
    </row>
    <row r="12" customFormat="false" ht="12" hidden="false" customHeight="true" outlineLevel="0" collapsed="false">
      <c r="A12" s="19" t="s">
        <v>37</v>
      </c>
      <c r="B12" s="65" t="n">
        <f aca="false">B11+B10</f>
        <v>1816968</v>
      </c>
      <c r="C12" s="66" t="n">
        <f aca="false">B12/B$12</f>
        <v>1</v>
      </c>
      <c r="D12" s="23" t="n">
        <f aca="false">+B12/Stabilized!$B$8</f>
        <v>13559.4626865672</v>
      </c>
      <c r="E12" s="67" t="n">
        <f aca="false">+B12/Stabilized!$E$8</f>
        <v>12.263470143965</v>
      </c>
      <c r="F12" s="23" t="n">
        <f aca="false">F11+F10</f>
        <v>2160528</v>
      </c>
      <c r="G12" s="66" t="n">
        <f aca="false">F12/F$12</f>
        <v>1</v>
      </c>
      <c r="H12" s="23" t="n">
        <f aca="false">+F12/Stabilized!$B$8</f>
        <v>16123.3432835821</v>
      </c>
      <c r="I12" s="67" t="n">
        <f aca="false">+F12/Stabilized!$E$8</f>
        <v>14.582298985563</v>
      </c>
      <c r="J12" s="6"/>
    </row>
    <row r="13" customFormat="false" ht="12" hidden="false" customHeight="true" outlineLevel="0" collapsed="false">
      <c r="A13" s="48" t="s">
        <v>38</v>
      </c>
      <c r="B13" s="61" t="n">
        <f aca="false">B12-B16-B21</f>
        <v>323242.249885759</v>
      </c>
      <c r="C13" s="62" t="n">
        <f aca="false">B13/B$12</f>
        <v>0.177902004815582</v>
      </c>
      <c r="D13" s="63" t="n">
        <f aca="false">+B13/Stabilized!$B$8</f>
        <v>2412.25559616238</v>
      </c>
      <c r="E13" s="64" t="n">
        <f aca="false">+B13/Stabilized!$E$8</f>
        <v>2.18169592460741</v>
      </c>
      <c r="F13" s="63" t="n">
        <f aca="false">F12-F16-F21</f>
        <v>666802.249885759</v>
      </c>
      <c r="G13" s="62" t="n">
        <f aca="false">F13/F$12</f>
        <v>0.308629302599068</v>
      </c>
      <c r="H13" s="63" t="n">
        <f aca="false">+F13/Stabilized!$B$8</f>
        <v>4976.13619317731</v>
      </c>
      <c r="I13" s="64" t="n">
        <f aca="false">+F13/Stabilized!$E$8</f>
        <v>4.5005247662054</v>
      </c>
      <c r="J13" s="6"/>
    </row>
    <row r="14" customFormat="false" ht="12" hidden="false" customHeight="true" outlineLevel="0" collapsed="false">
      <c r="A14" s="19" t="s">
        <v>39</v>
      </c>
      <c r="B14" s="65" t="n">
        <f aca="false">B12-B13</f>
        <v>1493725.75011424</v>
      </c>
      <c r="C14" s="66" t="n">
        <f aca="false">B14/B14</f>
        <v>1</v>
      </c>
      <c r="D14" s="58" t="n">
        <f aca="false">+B14/Stabilized!$B$8</f>
        <v>11147.2070904048</v>
      </c>
      <c r="E14" s="67" t="n">
        <f aca="false">+B14/Stabilized!$E$8</f>
        <v>10.0817742193576</v>
      </c>
      <c r="F14" s="23" t="n">
        <f aca="false">F12-F13</f>
        <v>1493725.75011424</v>
      </c>
      <c r="G14" s="66" t="n">
        <f aca="false">F14/F14</f>
        <v>1</v>
      </c>
      <c r="H14" s="58" t="n">
        <f aca="false">+F14/Stabilized!$B$8</f>
        <v>11147.2070904048</v>
      </c>
      <c r="I14" s="67" t="n">
        <f aca="false">+F14/Stabilized!$E$8</f>
        <v>10.0817742193576</v>
      </c>
      <c r="J14" s="6"/>
    </row>
    <row r="15" customFormat="false" ht="12" hidden="false" customHeight="true" outlineLevel="0" collapsed="false">
      <c r="A15" s="51" t="s">
        <v>40</v>
      </c>
      <c r="B15" s="68"/>
      <c r="C15" s="69"/>
      <c r="D15" s="58" t="s">
        <v>0</v>
      </c>
      <c r="E15" s="70" t="n">
        <f aca="false">+B15/Stabilized!$E$8</f>
        <v>0</v>
      </c>
      <c r="F15" s="58"/>
      <c r="G15" s="69"/>
      <c r="H15" s="58" t="s">
        <v>0</v>
      </c>
      <c r="I15" s="70" t="n">
        <f aca="false">+F15/Stabilized!$E$8</f>
        <v>0</v>
      </c>
      <c r="J15" s="6"/>
    </row>
    <row r="16" customFormat="false" ht="12" hidden="false" customHeight="true" outlineLevel="0" collapsed="false">
      <c r="A16" s="19" t="s">
        <v>41</v>
      </c>
      <c r="B16" s="71" t="n">
        <f aca="false">Stabilized!B31</f>
        <v>616400</v>
      </c>
      <c r="C16" s="72" t="n">
        <f aca="false">B16/B$12</f>
        <v>0.339246480950683</v>
      </c>
      <c r="D16" s="73" t="n">
        <f aca="false">+B16/Stabilized!$B$8</f>
        <v>4600</v>
      </c>
      <c r="E16" s="74" t="n">
        <f aca="false">+B16/Stabilized!$E$8</f>
        <v>4.16033909058389</v>
      </c>
      <c r="F16" s="73" t="n">
        <f aca="false">Stabilized!F31</f>
        <v>616400</v>
      </c>
      <c r="G16" s="72" t="n">
        <f aca="false">F16/F$14</f>
        <v>0.412659418874487</v>
      </c>
      <c r="H16" s="73" t="n">
        <f aca="false">+F16/Stabilized!$B$8</f>
        <v>4600</v>
      </c>
      <c r="I16" s="74" t="n">
        <f aca="false">+F16/Stabilized!$E$8</f>
        <v>4.16033909058389</v>
      </c>
      <c r="J16" s="6"/>
    </row>
    <row r="17" customFormat="false" ht="12" hidden="false" customHeight="true" outlineLevel="0" collapsed="false">
      <c r="A17" s="19" t="s">
        <v>42</v>
      </c>
      <c r="B17" s="75" t="n">
        <f aca="false">B14-B16</f>
        <v>877325.750114241</v>
      </c>
      <c r="C17" s="76" t="n">
        <f aca="false">B17/B$12</f>
        <v>0.482851514233735</v>
      </c>
      <c r="D17" s="77" t="n">
        <f aca="false">+B17/Stabilized!$B$8</f>
        <v>6547.20709040479</v>
      </c>
      <c r="E17" s="78" t="n">
        <f aca="false">+B17/Stabilized!$E$8</f>
        <v>5.92143512877371</v>
      </c>
      <c r="F17" s="75" t="n">
        <f aca="false">F14-F16</f>
        <v>877325.750114241</v>
      </c>
      <c r="G17" s="76" t="n">
        <f aca="false">F17/F$14</f>
        <v>0.587340581125513</v>
      </c>
      <c r="H17" s="77" t="n">
        <f aca="false">+F17/Stabilized!$B$8</f>
        <v>6547.20709040479</v>
      </c>
      <c r="I17" s="78" t="n">
        <f aca="false">+F17/Stabilized!$E$8</f>
        <v>5.92143512877371</v>
      </c>
      <c r="J17" s="6"/>
    </row>
    <row r="18" customFormat="false" ht="12" hidden="false" customHeight="true" outlineLevel="0" collapsed="false">
      <c r="A18" s="79" t="s">
        <v>43</v>
      </c>
      <c r="B18" s="80" t="n">
        <f aca="false">+Budget!B26</f>
        <v>8867813.25</v>
      </c>
      <c r="C18" s="81" t="s">
        <v>0</v>
      </c>
      <c r="D18" s="80" t="s">
        <v>0</v>
      </c>
      <c r="E18" s="82" t="s">
        <v>0</v>
      </c>
      <c r="F18" s="80" t="n">
        <f aca="false">+Stabilized!B33</f>
        <v>8867813.25</v>
      </c>
      <c r="G18" s="81" t="s">
        <v>0</v>
      </c>
      <c r="H18" s="80" t="s">
        <v>0</v>
      </c>
      <c r="I18" s="82" t="s">
        <v>0</v>
      </c>
      <c r="J18" s="6"/>
    </row>
    <row r="19" customFormat="false" ht="12" hidden="false" customHeight="true" outlineLevel="0" collapsed="false">
      <c r="A19" s="79" t="s">
        <v>44</v>
      </c>
      <c r="B19" s="83" t="n">
        <v>0.0865</v>
      </c>
      <c r="C19" s="81"/>
      <c r="D19" s="80"/>
      <c r="E19" s="84"/>
      <c r="F19" s="83" t="n">
        <v>0.0865</v>
      </c>
      <c r="G19" s="81"/>
      <c r="H19" s="80"/>
      <c r="I19" s="84"/>
      <c r="J19" s="6"/>
    </row>
    <row r="20" customFormat="false" ht="12" hidden="false" customHeight="true" outlineLevel="0" collapsed="false">
      <c r="A20" s="79" t="s">
        <v>45</v>
      </c>
      <c r="B20" s="79" t="n">
        <v>300</v>
      </c>
      <c r="C20" s="81"/>
      <c r="D20" s="80"/>
      <c r="E20" s="84"/>
      <c r="F20" s="79" t="n">
        <v>300</v>
      </c>
      <c r="G20" s="81"/>
      <c r="H20" s="80"/>
      <c r="I20" s="84"/>
      <c r="J20" s="6"/>
    </row>
    <row r="21" customFormat="false" ht="12" hidden="false" customHeight="true" outlineLevel="0" collapsed="false">
      <c r="A21" s="79" t="s">
        <v>46</v>
      </c>
      <c r="B21" s="27" t="n">
        <f aca="false">PMT(B19,B20/12,-B18)</f>
        <v>877325.750114241</v>
      </c>
      <c r="C21" s="69" t="s">
        <v>0</v>
      </c>
      <c r="D21" s="27" t="s">
        <v>0</v>
      </c>
      <c r="E21" s="84" t="s">
        <v>0</v>
      </c>
      <c r="F21" s="27" t="n">
        <f aca="false">PMT(F19,F20/12,-F18)</f>
        <v>877325.750114241</v>
      </c>
      <c r="G21" s="69" t="s">
        <v>0</v>
      </c>
      <c r="H21" s="27" t="s">
        <v>0</v>
      </c>
      <c r="I21" s="84" t="s">
        <v>0</v>
      </c>
      <c r="J21" s="6"/>
    </row>
    <row r="22" customFormat="false" ht="15" hidden="false" customHeight="false" outlineLevel="0" collapsed="false">
      <c r="A22" s="19" t="s">
        <v>47</v>
      </c>
      <c r="B22" s="85" t="n">
        <f aca="false">B17/B21</f>
        <v>1</v>
      </c>
      <c r="C22" s="66"/>
      <c r="D22" s="86"/>
      <c r="E22" s="87"/>
      <c r="F22" s="85" t="n">
        <f aca="false">F17/F21</f>
        <v>1</v>
      </c>
      <c r="G22" s="66"/>
      <c r="H22" s="86"/>
      <c r="I22" s="87"/>
      <c r="J22" s="6"/>
    </row>
    <row r="23" customFormat="false" ht="15" hidden="false" customHeight="false" outlineLevel="0" collapsed="false">
      <c r="A23" s="19" t="s">
        <v>48</v>
      </c>
      <c r="B23" s="88" t="n">
        <f aca="false">B17/B18</f>
        <v>0.0989337196646807</v>
      </c>
      <c r="C23" s="66"/>
      <c r="D23" s="86"/>
      <c r="E23" s="87"/>
      <c r="F23" s="88" t="n">
        <f aca="false">F17/F18</f>
        <v>0.0989337196646807</v>
      </c>
      <c r="G23" s="66"/>
      <c r="H23" s="86"/>
      <c r="I23" s="87"/>
      <c r="J23" s="6"/>
    </row>
  </sheetData>
  <mergeCells count="5">
    <mergeCell ref="A1:I1"/>
    <mergeCell ref="A2:I2"/>
    <mergeCell ref="B3:E3"/>
    <mergeCell ref="B8:E8"/>
    <mergeCell ref="F8:I8"/>
  </mergeCells>
  <printOptions headings="false" gridLines="false" gridLinesSet="true" horizontalCentered="false" verticalCentered="false"/>
  <pageMargins left="0.25" right="0.2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3"/>
  <sheetViews>
    <sheetView showFormulas="false" showGridLines="true" showRowColHeaders="true" showZeros="true" rightToLeft="false" tabSelected="false" showOutlineSymbols="true" defaultGridColor="false" view="normal" topLeftCell="A1" colorId="22" zoomScale="80" zoomScaleNormal="80" zoomScalePageLayoutView="100" workbookViewId="0">
      <selection pane="topLeft" activeCell="A27" activeCellId="0" sqref="A27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4.88"/>
    <col collapsed="false" customWidth="true" hidden="false" outlineLevel="0" max="2" min="2" style="0" width="13.55"/>
    <col collapsed="false" customWidth="true" hidden="false" outlineLevel="0" max="3" min="3" style="0" width="10.11"/>
    <col collapsed="false" customWidth="true" hidden="false" outlineLevel="0" max="4" min="4" style="0" width="10.43"/>
    <col collapsed="false" customWidth="true" hidden="false" outlineLevel="0" max="5" min="5" style="0" width="9.88"/>
    <col collapsed="false" customWidth="true" hidden="false" outlineLevel="0" max="6" min="6" style="0" width="10.21"/>
    <col collapsed="false" customWidth="true" hidden="false" outlineLevel="0" max="7" min="7" style="0" width="10.77"/>
    <col collapsed="false" customWidth="true" hidden="false" outlineLevel="0" max="8" min="8" style="0" width="11.21"/>
    <col collapsed="false" customWidth="true" hidden="false" outlineLevel="0" max="9" min="9" style="0" width="11.32"/>
    <col collapsed="false" customWidth="false" hidden="true" outlineLevel="0" max="10" min="10" style="0" width="9.77"/>
    <col collapsed="false" customWidth="true" hidden="false" outlineLevel="0" max="12" min="12" style="0" width="10.99"/>
    <col collapsed="false" customWidth="false" hidden="true" outlineLevel="0" max="13" min="13" style="0" width="9.77"/>
  </cols>
  <sheetData>
    <row r="1" customFormat="false" ht="15" hidden="false" customHeight="false" outlineLevel="0" collapsed="false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customFormat="false" ht="15" hidden="false" customHeight="false" outlineLevel="0" collapsed="false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customFormat="false" ht="15" hidden="false" customHeight="false" outlineLevel="0" collapsed="false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customFormat="false" ht="15" hidden="false" customHeight="false" outlineLevel="0" collapsed="false">
      <c r="A4" s="89" t="s">
        <v>49</v>
      </c>
      <c r="B4" s="90" t="s">
        <v>50</v>
      </c>
      <c r="C4" s="91" t="n">
        <v>0</v>
      </c>
      <c r="D4" s="91" t="n">
        <v>1</v>
      </c>
      <c r="E4" s="91" t="n">
        <v>2</v>
      </c>
      <c r="F4" s="91" t="n">
        <v>3</v>
      </c>
      <c r="G4" s="91" t="n">
        <v>4</v>
      </c>
      <c r="H4" s="91" t="n">
        <v>5</v>
      </c>
      <c r="I4" s="91" t="n">
        <v>6</v>
      </c>
      <c r="J4" s="91" t="n">
        <v>7</v>
      </c>
      <c r="K4" s="91" t="n">
        <v>7</v>
      </c>
      <c r="L4" s="91" t="n">
        <v>8</v>
      </c>
      <c r="M4" s="91"/>
      <c r="N4" s="91" t="n">
        <v>9</v>
      </c>
      <c r="O4" s="91" t="n">
        <v>10</v>
      </c>
      <c r="P4" s="91" t="n">
        <v>11</v>
      </c>
      <c r="Q4" s="91" t="n">
        <v>12</v>
      </c>
      <c r="R4" s="89"/>
      <c r="S4" s="89"/>
    </row>
    <row r="5" customFormat="false" ht="15" hidden="false" customHeight="false" outlineLevel="0" collapsed="false">
      <c r="A5" s="89" t="s">
        <v>51</v>
      </c>
      <c r="B5" s="92" t="n">
        <f aca="false">SUM(C5:Q5)</f>
        <v>1121670</v>
      </c>
      <c r="C5" s="92" t="n">
        <v>1121670</v>
      </c>
      <c r="D5" s="92" t="n">
        <v>0</v>
      </c>
      <c r="E5" s="92" t="n">
        <v>0</v>
      </c>
      <c r="F5" s="92" t="n">
        <v>0</v>
      </c>
      <c r="G5" s="92" t="n">
        <v>0</v>
      </c>
      <c r="H5" s="92" t="n">
        <v>0</v>
      </c>
      <c r="I5" s="92" t="n">
        <v>0</v>
      </c>
      <c r="J5" s="92" t="n">
        <v>0</v>
      </c>
      <c r="K5" s="92" t="n">
        <v>0</v>
      </c>
      <c r="L5" s="92" t="n">
        <v>0</v>
      </c>
      <c r="M5" s="92"/>
      <c r="N5" s="92" t="n">
        <v>0</v>
      </c>
      <c r="O5" s="92" t="n">
        <v>0</v>
      </c>
      <c r="P5" s="92" t="n">
        <v>0</v>
      </c>
      <c r="Q5" s="92" t="n">
        <v>0</v>
      </c>
      <c r="R5" s="89"/>
      <c r="S5" s="89"/>
    </row>
    <row r="6" customFormat="false" ht="15" hidden="false" customHeight="false" outlineLevel="0" collapsed="false">
      <c r="A6" s="89" t="s">
        <v>8</v>
      </c>
      <c r="B6" s="92" t="n">
        <f aca="false">SUM(C6:Q6)</f>
        <v>627030</v>
      </c>
      <c r="C6" s="92"/>
      <c r="D6" s="92" t="n">
        <v>135770</v>
      </c>
      <c r="E6" s="92" t="n">
        <v>98252</v>
      </c>
      <c r="F6" s="92" t="n">
        <v>98252</v>
      </c>
      <c r="G6" s="92" t="n">
        <v>98252</v>
      </c>
      <c r="H6" s="92" t="n">
        <v>98252</v>
      </c>
      <c r="I6" s="92" t="n">
        <v>98252</v>
      </c>
      <c r="J6" s="92"/>
      <c r="K6" s="92" t="n">
        <v>0</v>
      </c>
      <c r="L6" s="92" t="n">
        <v>0</v>
      </c>
      <c r="M6" s="92"/>
      <c r="N6" s="92" t="n">
        <v>0</v>
      </c>
      <c r="O6" s="92" t="n">
        <v>0</v>
      </c>
      <c r="P6" s="92" t="n">
        <v>0</v>
      </c>
      <c r="Q6" s="92" t="n">
        <v>0</v>
      </c>
      <c r="R6" s="89"/>
      <c r="S6" s="89"/>
    </row>
    <row r="7" customFormat="false" ht="15" hidden="false" customHeight="false" outlineLevel="0" collapsed="false">
      <c r="A7" s="89" t="s">
        <v>9</v>
      </c>
      <c r="B7" s="92" t="n">
        <f aca="false">SUM(C7:Q7)</f>
        <v>785645</v>
      </c>
      <c r="C7" s="92" t="n">
        <v>0</v>
      </c>
      <c r="D7" s="92" t="n">
        <v>0</v>
      </c>
      <c r="E7" s="92" t="n">
        <v>20543</v>
      </c>
      <c r="F7" s="92" t="n">
        <v>20543</v>
      </c>
      <c r="G7" s="92" t="n">
        <v>20543</v>
      </c>
      <c r="H7" s="92" t="n">
        <v>20543</v>
      </c>
      <c r="I7" s="92" t="n">
        <v>13843</v>
      </c>
      <c r="J7" s="92" t="n">
        <v>0</v>
      </c>
      <c r="K7" s="92" t="n">
        <v>106543</v>
      </c>
      <c r="L7" s="92" t="n">
        <v>0</v>
      </c>
      <c r="M7" s="92"/>
      <c r="N7" s="92" t="n">
        <v>0</v>
      </c>
      <c r="O7" s="92" t="n">
        <v>0</v>
      </c>
      <c r="P7" s="92" t="n">
        <v>0</v>
      </c>
      <c r="Q7" s="92" t="n">
        <v>583087</v>
      </c>
      <c r="R7" s="89"/>
      <c r="S7" s="89"/>
    </row>
    <row r="8" customFormat="false" ht="15" hidden="false" customHeight="false" outlineLevel="0" collapsed="false">
      <c r="A8" s="89" t="s">
        <v>0</v>
      </c>
      <c r="B8" s="92" t="s">
        <v>0</v>
      </c>
      <c r="C8" s="92" t="s">
        <v>0</v>
      </c>
      <c r="D8" s="92" t="s">
        <v>0</v>
      </c>
      <c r="E8" s="92" t="s">
        <v>12</v>
      </c>
      <c r="F8" s="92" t="s">
        <v>0</v>
      </c>
      <c r="G8" s="92" t="s">
        <v>0</v>
      </c>
      <c r="H8" s="92" t="s">
        <v>0</v>
      </c>
      <c r="I8" s="92" t="s">
        <v>0</v>
      </c>
      <c r="J8" s="92" t="n">
        <v>0</v>
      </c>
      <c r="K8" s="92" t="s">
        <v>0</v>
      </c>
      <c r="L8" s="92" t="s">
        <v>0</v>
      </c>
      <c r="M8" s="92"/>
      <c r="N8" s="92" t="s">
        <v>0</v>
      </c>
      <c r="O8" s="92" t="s">
        <v>0</v>
      </c>
      <c r="P8" s="92"/>
      <c r="Q8" s="92" t="s">
        <v>0</v>
      </c>
      <c r="R8" s="89"/>
      <c r="S8" s="89"/>
    </row>
    <row r="9" customFormat="false" ht="15" hidden="false" customHeight="false" outlineLevel="0" collapsed="false">
      <c r="A9" s="89" t="s">
        <v>52</v>
      </c>
      <c r="B9" s="92" t="n">
        <f aca="false">SUM(C9:Q9)</f>
        <v>7929823</v>
      </c>
      <c r="C9" s="92" t="n">
        <v>0</v>
      </c>
      <c r="D9" s="92" t="n">
        <v>290552</v>
      </c>
      <c r="E9" s="92" t="n">
        <v>110245</v>
      </c>
      <c r="F9" s="92" t="n">
        <v>363821</v>
      </c>
      <c r="G9" s="92" t="n">
        <v>792926</v>
      </c>
      <c r="H9" s="92" t="n">
        <v>917671</v>
      </c>
      <c r="I9" s="92" t="n">
        <v>1248636</v>
      </c>
      <c r="J9" s="92" t="n">
        <v>0</v>
      </c>
      <c r="K9" s="92" t="n">
        <v>1288465</v>
      </c>
      <c r="L9" s="92" t="n">
        <v>1097973</v>
      </c>
      <c r="M9" s="92"/>
      <c r="N9" s="92" t="n">
        <v>947482</v>
      </c>
      <c r="O9" s="92" t="n">
        <v>564905</v>
      </c>
      <c r="P9" s="92" t="n">
        <v>252233</v>
      </c>
      <c r="Q9" s="92" t="n">
        <v>54914</v>
      </c>
      <c r="R9" s="89"/>
      <c r="S9" s="89"/>
    </row>
    <row r="10" customFormat="false" ht="15" hidden="false" customHeight="false" outlineLevel="0" collapsed="false">
      <c r="A10" s="89" t="s">
        <v>53</v>
      </c>
      <c r="B10" s="92" t="n">
        <f aca="false">SUM(C10:Q10)</f>
        <v>830000</v>
      </c>
      <c r="C10" s="92" t="n">
        <v>0</v>
      </c>
      <c r="D10" s="92" t="n">
        <v>0</v>
      </c>
      <c r="E10" s="92" t="n">
        <v>0</v>
      </c>
      <c r="F10" s="92" t="n">
        <v>0</v>
      </c>
      <c r="G10" s="92" t="n">
        <v>0</v>
      </c>
      <c r="H10" s="92" t="n">
        <v>0</v>
      </c>
      <c r="I10" s="92" t="n">
        <v>0</v>
      </c>
      <c r="J10" s="92" t="n">
        <v>0</v>
      </c>
      <c r="K10" s="92" t="n">
        <v>0</v>
      </c>
      <c r="L10" s="92" t="n">
        <v>0</v>
      </c>
      <c r="M10" s="92"/>
      <c r="N10" s="92" t="n">
        <v>0</v>
      </c>
      <c r="O10" s="92" t="n">
        <v>0</v>
      </c>
      <c r="P10" s="92" t="n">
        <v>0</v>
      </c>
      <c r="Q10" s="92" t="n">
        <v>830000</v>
      </c>
      <c r="R10" s="89"/>
      <c r="S10" s="89"/>
    </row>
    <row r="11" customFormat="false" ht="15" hidden="false" customHeight="false" outlineLevel="0" collapsed="false">
      <c r="A11" s="93" t="s">
        <v>0</v>
      </c>
      <c r="B11" s="92" t="s">
        <v>0</v>
      </c>
      <c r="C11" s="92" t="s">
        <v>0</v>
      </c>
      <c r="D11" s="92" t="s">
        <v>0</v>
      </c>
      <c r="E11" s="92" t="s">
        <v>0</v>
      </c>
      <c r="F11" s="92" t="s">
        <v>0</v>
      </c>
      <c r="G11" s="92" t="s">
        <v>0</v>
      </c>
      <c r="H11" s="92" t="s">
        <v>0</v>
      </c>
      <c r="I11" s="92" t="s">
        <v>0</v>
      </c>
      <c r="J11" s="92" t="n">
        <v>0</v>
      </c>
      <c r="K11" s="92" t="s">
        <v>0</v>
      </c>
      <c r="L11" s="92" t="s">
        <v>0</v>
      </c>
      <c r="M11" s="92"/>
      <c r="N11" s="92" t="s">
        <v>0</v>
      </c>
      <c r="O11" s="92"/>
      <c r="P11" s="92"/>
      <c r="Q11" s="92"/>
      <c r="R11" s="89"/>
      <c r="S11" s="89"/>
    </row>
    <row r="12" customFormat="false" ht="15" hidden="false" customHeight="false" outlineLevel="0" collapsed="false">
      <c r="A12" s="89" t="s">
        <v>54</v>
      </c>
      <c r="B12" s="92" t="n">
        <f aca="false">SUM(C12:Q12)</f>
        <v>145313</v>
      </c>
      <c r="C12" s="92" t="n">
        <v>145313</v>
      </c>
      <c r="D12" s="92" t="n">
        <v>0</v>
      </c>
      <c r="E12" s="92" t="n">
        <v>0</v>
      </c>
      <c r="F12" s="92" t="n">
        <v>0</v>
      </c>
      <c r="G12" s="92" t="n">
        <v>0</v>
      </c>
      <c r="H12" s="92" t="n">
        <v>0</v>
      </c>
      <c r="I12" s="92" t="n">
        <v>0</v>
      </c>
      <c r="J12" s="92" t="n">
        <v>0</v>
      </c>
      <c r="K12" s="92" t="n">
        <v>0</v>
      </c>
      <c r="L12" s="92" t="n">
        <v>0</v>
      </c>
      <c r="M12" s="92"/>
      <c r="N12" s="92" t="n">
        <v>0</v>
      </c>
      <c r="O12" s="92" t="n">
        <v>0</v>
      </c>
      <c r="P12" s="92" t="n">
        <v>0</v>
      </c>
      <c r="Q12" s="92" t="n">
        <v>0</v>
      </c>
      <c r="R12" s="89"/>
      <c r="S12" s="89"/>
    </row>
    <row r="13" customFormat="false" ht="15" hidden="false" customHeight="false" outlineLevel="0" collapsed="false">
      <c r="A13" s="89" t="s">
        <v>55</v>
      </c>
      <c r="B13" s="94" t="n">
        <f aca="false">SUM(D13:Q13)</f>
        <v>421725</v>
      </c>
      <c r="C13" s="94" t="n">
        <v>0</v>
      </c>
      <c r="D13" s="94" t="n">
        <v>3053</v>
      </c>
      <c r="E13" s="94" t="n">
        <v>4982</v>
      </c>
      <c r="F13" s="94" t="n">
        <v>7206</v>
      </c>
      <c r="G13" s="94" t="n">
        <v>12134</v>
      </c>
      <c r="H13" s="94" t="n">
        <v>19519</v>
      </c>
      <c r="I13" s="94" t="n">
        <v>28682</v>
      </c>
      <c r="J13" s="94" t="n">
        <v>0</v>
      </c>
      <c r="K13" s="94" t="n">
        <v>38744</v>
      </c>
      <c r="L13" s="94" t="n">
        <v>48930</v>
      </c>
      <c r="M13" s="94"/>
      <c r="N13" s="94" t="n">
        <v>57516</v>
      </c>
      <c r="O13" s="94" t="n">
        <v>63652</v>
      </c>
      <c r="P13" s="94" t="n">
        <v>67554</v>
      </c>
      <c r="Q13" s="94" t="n">
        <v>69753</v>
      </c>
      <c r="R13" s="89"/>
      <c r="S13" s="89"/>
    </row>
    <row r="14" customFormat="false" ht="15" hidden="false" customHeight="false" outlineLevel="0" collapsed="false">
      <c r="A14" s="89" t="s">
        <v>50</v>
      </c>
      <c r="B14" s="95" t="n">
        <f aca="false">SUM(B5:B13)</f>
        <v>11861206</v>
      </c>
      <c r="C14" s="95" t="n">
        <f aca="false">SUM(C5:C13)</f>
        <v>1266983</v>
      </c>
      <c r="D14" s="95" t="n">
        <f aca="false">SUM(D5:D13)</f>
        <v>429375</v>
      </c>
      <c r="E14" s="95" t="n">
        <f aca="false">SUM(E5:E13)</f>
        <v>234022</v>
      </c>
      <c r="F14" s="95" t="n">
        <f aca="false">SUM(F5:F13)</f>
        <v>489822</v>
      </c>
      <c r="G14" s="95" t="n">
        <f aca="false">SUM(G5:G13)</f>
        <v>923855</v>
      </c>
      <c r="H14" s="95" t="n">
        <f aca="false">SUM(H5:H13)</f>
        <v>1055985</v>
      </c>
      <c r="I14" s="95" t="n">
        <f aca="false">SUM(I5:I13)</f>
        <v>1389413</v>
      </c>
      <c r="J14" s="95" t="n">
        <f aca="false">SUM(J5:J13)</f>
        <v>0</v>
      </c>
      <c r="K14" s="95" t="n">
        <f aca="false">SUM(K5:K13)</f>
        <v>1433752</v>
      </c>
      <c r="L14" s="95" t="n">
        <f aca="false">SUM(L5:L13)</f>
        <v>1146903</v>
      </c>
      <c r="M14" s="95" t="n">
        <f aca="false">SUM(M5:M13)</f>
        <v>0</v>
      </c>
      <c r="N14" s="95" t="n">
        <f aca="false">SUM(N5:N13)</f>
        <v>1004998</v>
      </c>
      <c r="O14" s="95" t="n">
        <f aca="false">SUM(O5:O13)</f>
        <v>628557</v>
      </c>
      <c r="P14" s="95" t="n">
        <f aca="false">SUM(P5:P13)</f>
        <v>319787</v>
      </c>
      <c r="Q14" s="95" t="n">
        <f aca="false">SUM(Q5:Q13)</f>
        <v>1537754</v>
      </c>
      <c r="R14" s="89"/>
      <c r="S14" s="89"/>
    </row>
    <row r="15" customFormat="false" ht="15" hidden="false" customHeight="false" outlineLevel="0" collapsed="false">
      <c r="A15" s="89"/>
      <c r="B15" s="93" t="s">
        <v>0</v>
      </c>
      <c r="C15" s="89" t="s">
        <v>0</v>
      </c>
      <c r="D15" s="89" t="s">
        <v>0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</row>
    <row r="16" customFormat="false" ht="15" hidden="false" customHeight="false" outlineLevel="0" collapsed="false">
      <c r="A16" s="89" t="s">
        <v>56</v>
      </c>
      <c r="B16" s="93" t="s">
        <v>0</v>
      </c>
      <c r="C16" s="93" t="n">
        <v>1121670</v>
      </c>
      <c r="D16" s="93" t="n">
        <v>429375</v>
      </c>
      <c r="E16" s="93" t="n">
        <v>234022</v>
      </c>
      <c r="F16" s="93" t="n">
        <v>226369</v>
      </c>
      <c r="G16" s="93" t="n">
        <v>0</v>
      </c>
      <c r="H16" s="93" t="n">
        <v>0</v>
      </c>
      <c r="I16" s="93" t="n">
        <v>0</v>
      </c>
      <c r="J16" s="93" t="n">
        <v>0</v>
      </c>
      <c r="K16" s="93" t="n">
        <v>0</v>
      </c>
      <c r="L16" s="93" t="n">
        <v>0</v>
      </c>
      <c r="M16" s="93" t="n">
        <v>0</v>
      </c>
      <c r="N16" s="93" t="n">
        <v>0</v>
      </c>
      <c r="O16" s="93" t="n">
        <v>0</v>
      </c>
      <c r="P16" s="93" t="n">
        <v>0</v>
      </c>
      <c r="Q16" s="93" t="n">
        <v>1340957</v>
      </c>
      <c r="R16" s="89"/>
      <c r="S16" s="89"/>
    </row>
    <row r="17" customFormat="false" ht="15" hidden="false" customHeight="false" outlineLevel="0" collapsed="false">
      <c r="A17" s="89" t="s">
        <v>57</v>
      </c>
      <c r="B17" s="93" t="s">
        <v>0</v>
      </c>
      <c r="C17" s="93" t="n">
        <f aca="false">+C14-C16</f>
        <v>145313</v>
      </c>
      <c r="D17" s="93" t="n">
        <f aca="false">+C17+D14-D16</f>
        <v>145313</v>
      </c>
      <c r="E17" s="93" t="n">
        <f aca="false">+D17+E14-E16</f>
        <v>145313</v>
      </c>
      <c r="F17" s="93" t="n">
        <f aca="false">+E17+F14+F16</f>
        <v>861504</v>
      </c>
      <c r="G17" s="93" t="n">
        <f aca="false">+F17+G14-G16</f>
        <v>1785359</v>
      </c>
      <c r="H17" s="93" t="n">
        <f aca="false">+G17+H14-H16</f>
        <v>2841344</v>
      </c>
      <c r="I17" s="93" t="n">
        <f aca="false">+H17+I14-I16</f>
        <v>4230757</v>
      </c>
      <c r="J17" s="93" t="n">
        <f aca="false">+I17+J14-J16</f>
        <v>4230757</v>
      </c>
      <c r="K17" s="93" t="n">
        <f aca="false">+J17+K14-K16</f>
        <v>5664509</v>
      </c>
      <c r="L17" s="93" t="n">
        <f aca="false">+K17+L14-L16</f>
        <v>6811412</v>
      </c>
      <c r="M17" s="93" t="n">
        <f aca="false">+L17+M14-M16</f>
        <v>6811412</v>
      </c>
      <c r="N17" s="93" t="n">
        <f aca="false">+M17+N14-N16</f>
        <v>7816410</v>
      </c>
      <c r="O17" s="93" t="n">
        <f aca="false">+N17+O14-O16</f>
        <v>8444967</v>
      </c>
      <c r="P17" s="93" t="n">
        <f aca="false">+O17+P14-P16</f>
        <v>8764754</v>
      </c>
      <c r="Q17" s="93" t="n">
        <f aca="false">+P17+Q14-Q16</f>
        <v>8961551</v>
      </c>
      <c r="R17" s="89"/>
      <c r="S17" s="89"/>
    </row>
    <row r="18" customFormat="false" ht="15" hidden="false" customHeight="false" outlineLevel="0" collapsed="false">
      <c r="A18" s="89" t="s">
        <v>58</v>
      </c>
      <c r="B18" s="93" t="n">
        <f aca="false">SUM(C18:Q18)</f>
        <v>486673.234416667</v>
      </c>
      <c r="C18" s="93" t="n">
        <v>0</v>
      </c>
      <c r="D18" s="93" t="n">
        <f aca="false">+D17*(0.0865/12)</f>
        <v>1047.46454166667</v>
      </c>
      <c r="E18" s="93" t="n">
        <f aca="false">+E17*(0.0865/12)</f>
        <v>1047.46454166667</v>
      </c>
      <c r="F18" s="93" t="n">
        <f aca="false">+F17*(0.0865/12)</f>
        <v>6210.008</v>
      </c>
      <c r="G18" s="93" t="n">
        <f aca="false">+G17*(0.0865/12)</f>
        <v>12869.4627916667</v>
      </c>
      <c r="H18" s="93" t="n">
        <f aca="false">+H17*(0.0865/12)</f>
        <v>20481.3546666667</v>
      </c>
      <c r="I18" s="93" t="n">
        <f aca="false">+I17*(0.0865/12)</f>
        <v>30496.7067083333</v>
      </c>
      <c r="J18" s="93" t="n">
        <f aca="false">+J17*(0.0865/12)</f>
        <v>30496.7067083333</v>
      </c>
      <c r="K18" s="93" t="n">
        <f aca="false">+K17*(0.0865/12)</f>
        <v>40831.6690416667</v>
      </c>
      <c r="L18" s="93" t="n">
        <f aca="false">+L17*(0.0865/12)</f>
        <v>49098.9281666667</v>
      </c>
      <c r="M18" s="93" t="n">
        <f aca="false">+M17*(0.0865/12)</f>
        <v>49098.9281666667</v>
      </c>
      <c r="N18" s="93" t="n">
        <f aca="false">+N17*(0.0865/12)</f>
        <v>56343.28875</v>
      </c>
      <c r="O18" s="93" t="n">
        <f aca="false">+O17*(0.0865/12)</f>
        <v>60874.137125</v>
      </c>
      <c r="P18" s="93" t="n">
        <f aca="false">+P17*(0.0865/12)</f>
        <v>63179.2684166667</v>
      </c>
      <c r="Q18" s="93" t="n">
        <f aca="false">+Q17*(0.0865/12)</f>
        <v>64597.8467916667</v>
      </c>
      <c r="R18" s="89"/>
      <c r="S18" s="89"/>
    </row>
    <row r="19" customFormat="false" ht="15" hidden="false" customHeight="false" outlineLevel="0" collapsed="false">
      <c r="A19" s="89" t="s">
        <v>0</v>
      </c>
      <c r="B19" s="89"/>
      <c r="C19" s="89" t="s">
        <v>0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</row>
    <row r="20" customFormat="false" ht="15" hidden="false" customHeight="false" outlineLevel="0" collapsed="false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</row>
    <row r="21" customFormat="false" ht="15" hidden="false" customHeight="false" outlineLevel="0" collapsed="false">
      <c r="A21" s="89" t="s">
        <v>59</v>
      </c>
      <c r="B21" s="93" t="n">
        <f aca="false">+C21</f>
        <v>666632</v>
      </c>
      <c r="C21" s="93" t="n">
        <v>666632</v>
      </c>
      <c r="D21" s="93" t="n">
        <f aca="false">+C23</f>
        <v>521319</v>
      </c>
      <c r="E21" s="93" t="n">
        <f aca="false">+D23</f>
        <v>520271.535458333</v>
      </c>
      <c r="F21" s="93" t="n">
        <f aca="false">+E23</f>
        <v>519224.070916667</v>
      </c>
      <c r="G21" s="93" t="n">
        <f aca="false">+F23</f>
        <v>513014.062916667</v>
      </c>
      <c r="H21" s="93" t="n">
        <f aca="false">+G23</f>
        <v>500144.600125</v>
      </c>
      <c r="I21" s="93" t="n">
        <f aca="false">+H23</f>
        <v>479663.245458333</v>
      </c>
      <c r="J21" s="93" t="n">
        <f aca="false">+I23</f>
        <v>449166.53875</v>
      </c>
      <c r="K21" s="93" t="n">
        <f aca="false">+J23</f>
        <v>418669.832041667</v>
      </c>
      <c r="L21" s="93" t="n">
        <f aca="false">+K23</f>
        <v>377838.163</v>
      </c>
      <c r="M21" s="93" t="n">
        <f aca="false">+L23</f>
        <v>328739.234833333</v>
      </c>
      <c r="N21" s="93" t="n">
        <f aca="false">+M23</f>
        <v>279640.306666667</v>
      </c>
      <c r="O21" s="93" t="n">
        <f aca="false">+N23</f>
        <v>223297.017916667</v>
      </c>
      <c r="P21" s="93" t="n">
        <f aca="false">+O23</f>
        <v>162422.880791667</v>
      </c>
      <c r="Q21" s="93" t="n">
        <f aca="false">+P23</f>
        <v>99243.612375</v>
      </c>
      <c r="R21" s="89"/>
      <c r="S21" s="89"/>
    </row>
    <row r="22" customFormat="false" ht="15" hidden="false" customHeight="false" outlineLevel="0" collapsed="false">
      <c r="A22" s="89" t="s">
        <v>60</v>
      </c>
      <c r="B22" s="89"/>
      <c r="C22" s="93" t="n">
        <f aca="false">+C17</f>
        <v>145313</v>
      </c>
      <c r="D22" s="93" t="n">
        <f aca="false">+D18</f>
        <v>1047.46454166667</v>
      </c>
      <c r="E22" s="93" t="n">
        <f aca="false">+E18</f>
        <v>1047.46454166667</v>
      </c>
      <c r="F22" s="93" t="n">
        <f aca="false">+F18</f>
        <v>6210.008</v>
      </c>
      <c r="G22" s="93" t="n">
        <f aca="false">+G18</f>
        <v>12869.4627916667</v>
      </c>
      <c r="H22" s="93" t="n">
        <f aca="false">+H18</f>
        <v>20481.3546666667</v>
      </c>
      <c r="I22" s="93" t="n">
        <f aca="false">+I18</f>
        <v>30496.7067083333</v>
      </c>
      <c r="J22" s="93" t="n">
        <f aca="false">+J18</f>
        <v>30496.7067083333</v>
      </c>
      <c r="K22" s="93" t="n">
        <f aca="false">+K18</f>
        <v>40831.6690416667</v>
      </c>
      <c r="L22" s="93" t="n">
        <f aca="false">+L18</f>
        <v>49098.9281666667</v>
      </c>
      <c r="M22" s="93" t="n">
        <f aca="false">+M18</f>
        <v>49098.9281666667</v>
      </c>
      <c r="N22" s="93" t="n">
        <f aca="false">+N18</f>
        <v>56343.28875</v>
      </c>
      <c r="O22" s="93" t="n">
        <f aca="false">+O18</f>
        <v>60874.137125</v>
      </c>
      <c r="P22" s="93" t="n">
        <f aca="false">+P18</f>
        <v>63179.2684166667</v>
      </c>
      <c r="Q22" s="93" t="n">
        <f aca="false">+Q18</f>
        <v>64597.8467916667</v>
      </c>
      <c r="R22" s="89"/>
      <c r="S22" s="89"/>
    </row>
    <row r="23" customFormat="false" ht="15" hidden="false" customHeight="false" outlineLevel="0" collapsed="false">
      <c r="A23" s="89" t="s">
        <v>61</v>
      </c>
      <c r="B23" s="89"/>
      <c r="C23" s="93" t="n">
        <f aca="false">+C21-C22</f>
        <v>521319</v>
      </c>
      <c r="D23" s="93" t="n">
        <f aca="false">+D21-D22</f>
        <v>520271.535458333</v>
      </c>
      <c r="E23" s="93" t="n">
        <f aca="false">+E21-E22</f>
        <v>519224.070916667</v>
      </c>
      <c r="F23" s="93" t="n">
        <f aca="false">+F21-F22</f>
        <v>513014.062916667</v>
      </c>
      <c r="G23" s="93" t="n">
        <f aca="false">+G21-G22</f>
        <v>500144.600125</v>
      </c>
      <c r="H23" s="93" t="n">
        <f aca="false">+H21-H22</f>
        <v>479663.245458333</v>
      </c>
      <c r="I23" s="93" t="n">
        <f aca="false">+I21-I22</f>
        <v>449166.53875</v>
      </c>
      <c r="J23" s="93" t="n">
        <f aca="false">+J21-J22</f>
        <v>418669.832041667</v>
      </c>
      <c r="K23" s="93" t="n">
        <f aca="false">+K21-K22</f>
        <v>377838.163</v>
      </c>
      <c r="L23" s="93" t="n">
        <f aca="false">+L21-L22</f>
        <v>328739.234833333</v>
      </c>
      <c r="M23" s="93" t="n">
        <f aca="false">+M21-M22</f>
        <v>279640.306666667</v>
      </c>
      <c r="N23" s="93" t="n">
        <f aca="false">+N21-N22</f>
        <v>223297.017916667</v>
      </c>
      <c r="O23" s="93" t="n">
        <f aca="false">+O21-O22</f>
        <v>162422.880791667</v>
      </c>
      <c r="P23" s="93" t="n">
        <f aca="false">+P21-P22</f>
        <v>99243.612375</v>
      </c>
      <c r="Q23" s="93" t="n">
        <f aca="false">+Q21-Q22</f>
        <v>34645.7655833334</v>
      </c>
      <c r="R23" s="89"/>
      <c r="S23" s="89"/>
    </row>
    <row r="24" customFormat="false" ht="15.75" hidden="false" customHeight="false" outlineLevel="0" collapsed="false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</row>
    <row r="25" customFormat="false" ht="15.75" hidden="false" customHeight="false" outlineLevel="0" collapsed="false">
      <c r="A25" s="89" t="s">
        <v>62</v>
      </c>
      <c r="B25" s="96" t="n">
        <f aca="false">+B21/B18</f>
        <v>1.36977329521529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</row>
    <row r="26" customFormat="false" ht="15" hidden="false" customHeight="false" outlineLevel="0" collapsed="false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</row>
    <row r="27" customFormat="false" ht="15" hidden="false" customHeight="false" outlineLevel="0" collapsed="false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</row>
    <row r="28" customFormat="false" ht="15" hidden="false" customHeight="false" outlineLevel="0" collapsed="false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</row>
    <row r="29" customFormat="false" ht="15" hidden="false" customHeight="false" outlineLevel="0" collapsed="false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</row>
    <row r="30" customFormat="false" ht="15" hidden="false" customHeight="false" outlineLevel="0" collapsed="false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</row>
    <row r="31" customFormat="false" ht="15" hidden="false" customHeight="false" outlineLevel="0" collapsed="false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</row>
    <row r="32" customFormat="false" ht="15" hidden="false" customHeight="false" outlineLevel="0" collapsed="false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</row>
    <row r="33" customFormat="false" ht="15" hidden="false" customHeight="false" outlineLevel="0" collapsed="false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</row>
  </sheetData>
  <printOptions headings="false" gridLines="false" gridLinesSet="true" horizontalCentered="false" verticalCentered="false"/>
  <pageMargins left="0.25" right="0.25" top="0.2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I18"/>
  <sheetViews>
    <sheetView showFormulas="false" showGridLines="true" showRowColHeaders="true" showZeros="true" rightToLeft="false" tabSelected="false" showOutlineSymbols="true" defaultGridColor="false" view="normal" topLeftCell="A1" colorId="22" zoomScale="80" zoomScaleNormal="80" zoomScalePageLayoutView="100" workbookViewId="0">
      <selection pane="topLeft" activeCell="A11" activeCellId="0" sqref="A11"/>
    </sheetView>
  </sheetViews>
  <sheetFormatPr defaultColWidth="9.76953125" defaultRowHeight="15" customHeight="true" zeroHeight="false" outlineLevelRow="0" outlineLevelCol="0"/>
  <sheetData>
    <row r="5" customFormat="false" ht="15" hidden="false" customHeight="false" outlineLevel="0" collapsed="false">
      <c r="A5" s="6" t="s">
        <v>63</v>
      </c>
      <c r="B5" s="6"/>
      <c r="C5" s="6"/>
      <c r="D5" s="6"/>
      <c r="E5" s="6"/>
      <c r="F5" s="6"/>
      <c r="G5" s="6"/>
      <c r="H5" s="6"/>
      <c r="I5" s="6"/>
    </row>
    <row r="6" customFormat="false" ht="15" hidden="false" customHeight="false" outlineLevel="0" collapsed="false">
      <c r="A6" s="19" t="s">
        <v>0</v>
      </c>
      <c r="B6" s="6"/>
      <c r="C6" s="6"/>
      <c r="D6" s="40" t="s">
        <v>64</v>
      </c>
      <c r="E6" s="6"/>
      <c r="F6" s="6"/>
      <c r="G6" s="40" t="s">
        <v>65</v>
      </c>
      <c r="H6" s="6"/>
      <c r="I6" s="6"/>
    </row>
    <row r="7" customFormat="false" ht="15" hidden="false" customHeight="false" outlineLevel="0" collapsed="false">
      <c r="A7" s="97" t="s">
        <v>66</v>
      </c>
      <c r="B7" s="53" t="s">
        <v>67</v>
      </c>
      <c r="C7" s="53" t="s">
        <v>68</v>
      </c>
      <c r="D7" s="98" t="s">
        <v>69</v>
      </c>
      <c r="E7" s="99" t="s">
        <v>70</v>
      </c>
      <c r="F7" s="8" t="s">
        <v>71</v>
      </c>
      <c r="G7" s="99" t="s">
        <v>69</v>
      </c>
      <c r="H7" s="99" t="s">
        <v>70</v>
      </c>
      <c r="I7" s="8" t="s">
        <v>71</v>
      </c>
    </row>
    <row r="8" customFormat="false" ht="15" hidden="false" customHeight="false" outlineLevel="0" collapsed="false">
      <c r="A8" s="100" t="s">
        <v>72</v>
      </c>
      <c r="B8" s="9" t="n">
        <v>73</v>
      </c>
      <c r="C8" s="101" t="n">
        <v>1016</v>
      </c>
      <c r="D8" s="102" t="n">
        <v>950</v>
      </c>
      <c r="E8" s="27" t="n">
        <f aca="false">D8*B8</f>
        <v>69350</v>
      </c>
      <c r="F8" s="103" t="n">
        <f aca="false">+D8/2</f>
        <v>475</v>
      </c>
      <c r="G8" s="102" t="n">
        <v>1150</v>
      </c>
      <c r="H8" s="27" t="n">
        <f aca="false">G8*B8</f>
        <v>83950</v>
      </c>
      <c r="I8" s="103" t="n">
        <f aca="false">+G8/2</f>
        <v>575</v>
      </c>
    </row>
    <row r="9" customFormat="false" ht="15" hidden="false" customHeight="false" outlineLevel="0" collapsed="false">
      <c r="A9" s="100" t="s">
        <v>73</v>
      </c>
      <c r="B9" s="104" t="n">
        <v>61</v>
      </c>
      <c r="C9" s="105" t="n">
        <v>1213</v>
      </c>
      <c r="D9" s="106" t="n">
        <v>1250</v>
      </c>
      <c r="E9" s="107" t="n">
        <f aca="false">D9*B9</f>
        <v>76250</v>
      </c>
      <c r="F9" s="108" t="n">
        <f aca="false">+D9/3</f>
        <v>416.666666666667</v>
      </c>
      <c r="G9" s="106" t="n">
        <v>1530</v>
      </c>
      <c r="H9" s="107" t="n">
        <f aca="false">G9*B9</f>
        <v>93330</v>
      </c>
      <c r="I9" s="108" t="n">
        <f aca="false">+G9/3</f>
        <v>510</v>
      </c>
    </row>
    <row r="10" customFormat="false" ht="15" hidden="false" customHeight="false" outlineLevel="0" collapsed="false">
      <c r="A10" s="109" t="s">
        <v>50</v>
      </c>
      <c r="B10" s="110" t="n">
        <f aca="false">SUM(B8:B9)</f>
        <v>134</v>
      </c>
      <c r="C10" s="111" t="s">
        <v>0</v>
      </c>
      <c r="D10" s="75" t="s">
        <v>0</v>
      </c>
      <c r="E10" s="77" t="s">
        <v>0</v>
      </c>
      <c r="F10" s="112" t="s">
        <v>0</v>
      </c>
      <c r="G10" s="75" t="s">
        <v>0</v>
      </c>
      <c r="H10" s="77" t="s">
        <v>0</v>
      </c>
      <c r="I10" s="112" t="s">
        <v>0</v>
      </c>
    </row>
    <row r="11" customFormat="false" ht="15" hidden="false" customHeight="false" outlineLevel="0" collapsed="false">
      <c r="A11" s="6"/>
      <c r="B11" s="6"/>
      <c r="C11" s="113"/>
      <c r="D11" s="6"/>
      <c r="E11" s="6"/>
      <c r="F11" s="114"/>
      <c r="G11" s="6"/>
      <c r="H11" s="6"/>
      <c r="I11" s="114"/>
    </row>
    <row r="12" customFormat="false" ht="15" hidden="false" customHeight="false" outlineLevel="0" collapsed="false">
      <c r="F12" s="14"/>
      <c r="I12" s="14"/>
    </row>
    <row r="13" customFormat="false" ht="15" hidden="false" customHeight="false" outlineLevel="0" collapsed="false">
      <c r="A13" s="0" t="s">
        <v>74</v>
      </c>
      <c r="F13" s="14"/>
      <c r="I13" s="14"/>
    </row>
    <row r="14" customFormat="false" ht="15" hidden="false" customHeight="false" outlineLevel="0" collapsed="false">
      <c r="A14" s="19" t="s">
        <v>0</v>
      </c>
      <c r="B14" s="6"/>
      <c r="C14" s="6"/>
      <c r="D14" s="40" t="s">
        <v>64</v>
      </c>
      <c r="E14" s="6"/>
      <c r="F14" s="114"/>
      <c r="G14" s="40" t="s">
        <v>65</v>
      </c>
      <c r="H14" s="6"/>
      <c r="I14" s="114"/>
    </row>
    <row r="15" customFormat="false" ht="15" hidden="false" customHeight="false" outlineLevel="0" collapsed="false">
      <c r="A15" s="97" t="s">
        <v>66</v>
      </c>
      <c r="B15" s="53" t="s">
        <v>67</v>
      </c>
      <c r="C15" s="53" t="s">
        <v>68</v>
      </c>
      <c r="D15" s="98" t="s">
        <v>69</v>
      </c>
      <c r="E15" s="99" t="s">
        <v>70</v>
      </c>
      <c r="F15" s="115" t="s">
        <v>71</v>
      </c>
      <c r="G15" s="99" t="s">
        <v>69</v>
      </c>
      <c r="H15" s="99" t="s">
        <v>70</v>
      </c>
      <c r="I15" s="115" t="s">
        <v>71</v>
      </c>
    </row>
    <row r="16" customFormat="false" ht="15" hidden="false" customHeight="false" outlineLevel="0" collapsed="false">
      <c r="A16" s="100" t="s">
        <v>73</v>
      </c>
      <c r="B16" s="104" t="n">
        <v>28</v>
      </c>
      <c r="C16" s="105" t="n">
        <v>1310</v>
      </c>
      <c r="D16" s="106" t="n">
        <v>1250</v>
      </c>
      <c r="E16" s="107" t="n">
        <f aca="false">D16*B16</f>
        <v>35000</v>
      </c>
      <c r="F16" s="108" t="n">
        <f aca="false">+D16/3</f>
        <v>416.666666666667</v>
      </c>
      <c r="G16" s="106" t="n">
        <v>1250</v>
      </c>
      <c r="H16" s="107" t="n">
        <f aca="false">G16*B16</f>
        <v>35000</v>
      </c>
      <c r="I16" s="108" t="n">
        <f aca="false">+G16/3</f>
        <v>416.666666666667</v>
      </c>
    </row>
    <row r="17" customFormat="false" ht="15" hidden="false" customHeight="false" outlineLevel="0" collapsed="false">
      <c r="A17" s="109" t="s">
        <v>50</v>
      </c>
      <c r="B17" s="110" t="n">
        <f aca="false">SUM(B16)</f>
        <v>28</v>
      </c>
      <c r="C17" s="111" t="s">
        <v>0</v>
      </c>
      <c r="D17" s="75" t="s">
        <v>0</v>
      </c>
      <c r="E17" s="77" t="s">
        <v>0</v>
      </c>
      <c r="F17" s="112" t="s">
        <v>0</v>
      </c>
      <c r="G17" s="75" t="s">
        <v>0</v>
      </c>
      <c r="H17" s="77" t="s">
        <v>0</v>
      </c>
      <c r="I17" s="112" t="s">
        <v>0</v>
      </c>
    </row>
    <row r="18" customFormat="false" ht="15" hidden="false" customHeight="false" outlineLevel="0" collapsed="false">
      <c r="A18" s="6"/>
      <c r="B18" s="6"/>
      <c r="C18" s="113"/>
      <c r="D18" s="6"/>
      <c r="E18" s="6"/>
      <c r="F18" s="6"/>
      <c r="G18" s="6"/>
      <c r="H18" s="6"/>
      <c r="I18" s="6"/>
    </row>
  </sheetData>
  <printOptions headings="false" gridLines="false" gridLinesSet="true" horizontalCentered="false" verticalCentered="false"/>
  <pageMargins left="0.25" right="0.2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9"/>
  <sheetViews>
    <sheetView showFormulas="false" showGridLines="true" showRowColHeaders="true" showZeros="true" rightToLeft="false" tabSelected="false" showOutlineSymbols="true" defaultGridColor="false" view="normal" topLeftCell="A12" colorId="22" zoomScale="80" zoomScaleNormal="80" zoomScalePageLayoutView="100" workbookViewId="0">
      <selection pane="topLeft" activeCell="E41" activeCellId="0" sqref="E4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0.11"/>
    <col collapsed="false" customWidth="true" hidden="false" outlineLevel="0" max="2" min="2" style="0" width="11.65"/>
    <col collapsed="false" customWidth="true" hidden="false" outlineLevel="0" max="3" min="3" style="0" width="6.77"/>
    <col collapsed="false" customWidth="true" hidden="false" outlineLevel="0" max="5" min="4" style="0" width="8.77"/>
    <col collapsed="false" customWidth="true" hidden="false" outlineLevel="0" max="6" min="6" style="0" width="11.88"/>
    <col collapsed="false" customWidth="true" hidden="false" outlineLevel="0" max="9" min="7" style="0" width="7.77"/>
    <col collapsed="false" customWidth="true" hidden="false" outlineLevel="0" max="10" min="10" style="0" width="11.88"/>
    <col collapsed="false" customWidth="true" hidden="false" outlineLevel="0" max="14" min="13" style="0" width="7.77"/>
  </cols>
  <sheetData>
    <row r="1" customFormat="false" ht="22.5" hidden="false" customHeight="false" outlineLevel="0" collapsed="false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6"/>
      <c r="M1" s="6"/>
      <c r="N1" s="6"/>
      <c r="O1" s="6"/>
    </row>
    <row r="2" customFormat="false" ht="18.75" hidden="false" customHeight="false" outlineLevel="0" collapsed="false">
      <c r="A2" s="2" t="s">
        <v>76</v>
      </c>
      <c r="B2" s="2"/>
      <c r="C2" s="2"/>
      <c r="D2" s="2"/>
      <c r="E2" s="2"/>
      <c r="F2" s="2"/>
      <c r="G2" s="2"/>
      <c r="H2" s="2"/>
      <c r="I2" s="2"/>
      <c r="J2" s="2"/>
      <c r="K2" s="2"/>
      <c r="L2" s="6"/>
      <c r="M2" s="6"/>
      <c r="N2" s="6"/>
      <c r="O2" s="6"/>
    </row>
    <row r="3" customFormat="false" ht="1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customFormat="false" ht="15" hidden="false" customHeight="false" outlineLevel="0" collapsed="false">
      <c r="A4" s="19" t="s">
        <v>0</v>
      </c>
      <c r="B4" s="6"/>
      <c r="C4" s="6"/>
      <c r="D4" s="6"/>
      <c r="E4" s="6"/>
      <c r="F4" s="40" t="s">
        <v>64</v>
      </c>
      <c r="G4" s="6"/>
      <c r="H4" s="6"/>
      <c r="I4" s="40" t="s">
        <v>65</v>
      </c>
      <c r="J4" s="6"/>
      <c r="K4" s="6"/>
      <c r="O4" s="6"/>
    </row>
    <row r="5" customFormat="false" ht="15" hidden="false" customHeight="false" outlineLevel="0" collapsed="false">
      <c r="A5" s="97" t="s">
        <v>66</v>
      </c>
      <c r="B5" s="53" t="s">
        <v>67</v>
      </c>
      <c r="C5" s="53" t="s">
        <v>32</v>
      </c>
      <c r="D5" s="53" t="s">
        <v>68</v>
      </c>
      <c r="E5" s="53" t="s">
        <v>77</v>
      </c>
      <c r="F5" s="98" t="s">
        <v>69</v>
      </c>
      <c r="G5" s="99" t="s">
        <v>70</v>
      </c>
      <c r="H5" s="8" t="s">
        <v>71</v>
      </c>
      <c r="I5" s="99" t="s">
        <v>69</v>
      </c>
      <c r="J5" s="99" t="s">
        <v>70</v>
      </c>
      <c r="K5" s="8" t="s">
        <v>71</v>
      </c>
      <c r="O5" s="6"/>
    </row>
    <row r="6" customFormat="false" ht="15" hidden="false" customHeight="false" outlineLevel="0" collapsed="false">
      <c r="A6" s="100" t="s">
        <v>72</v>
      </c>
      <c r="B6" s="9" t="n">
        <v>73</v>
      </c>
      <c r="C6" s="116" t="n">
        <f aca="false">B6/$B$8</f>
        <v>0.544776119402985</v>
      </c>
      <c r="D6" s="101" t="n">
        <v>1016</v>
      </c>
      <c r="E6" s="47" t="n">
        <f aca="false">D6*B6</f>
        <v>74168</v>
      </c>
      <c r="F6" s="102" t="n">
        <v>950</v>
      </c>
      <c r="G6" s="27" t="n">
        <f aca="false">F6*B6</f>
        <v>69350</v>
      </c>
      <c r="H6" s="103" t="n">
        <f aca="false">+F6/2</f>
        <v>475</v>
      </c>
      <c r="I6" s="102" t="n">
        <v>1150</v>
      </c>
      <c r="J6" s="27" t="n">
        <f aca="false">I6*B6</f>
        <v>83950</v>
      </c>
      <c r="K6" s="103" t="n">
        <f aca="false">+I6/2</f>
        <v>575</v>
      </c>
      <c r="O6" s="6"/>
    </row>
    <row r="7" customFormat="false" ht="15" hidden="false" customHeight="false" outlineLevel="0" collapsed="false">
      <c r="A7" s="100" t="s">
        <v>73</v>
      </c>
      <c r="B7" s="104" t="n">
        <v>61</v>
      </c>
      <c r="C7" s="117" t="n">
        <f aca="false">B7/$B$8</f>
        <v>0.455223880597015</v>
      </c>
      <c r="D7" s="105" t="n">
        <v>1213</v>
      </c>
      <c r="E7" s="118" t="n">
        <f aca="false">D7*B7</f>
        <v>73993</v>
      </c>
      <c r="F7" s="106" t="n">
        <v>1300</v>
      </c>
      <c r="G7" s="107" t="n">
        <f aca="false">F7*B7</f>
        <v>79300</v>
      </c>
      <c r="H7" s="108" t="n">
        <f aca="false">+F7/3</f>
        <v>433.333333333333</v>
      </c>
      <c r="I7" s="106" t="n">
        <v>1530</v>
      </c>
      <c r="J7" s="107" t="n">
        <f aca="false">I7*B7</f>
        <v>93330</v>
      </c>
      <c r="K7" s="108" t="n">
        <f aca="false">+I7/3</f>
        <v>510</v>
      </c>
      <c r="O7" s="6"/>
    </row>
    <row r="8" customFormat="false" ht="15" hidden="false" customHeight="false" outlineLevel="0" collapsed="false">
      <c r="A8" s="109" t="s">
        <v>50</v>
      </c>
      <c r="B8" s="110" t="n">
        <f aca="false">SUM(B6:B7)</f>
        <v>134</v>
      </c>
      <c r="C8" s="76" t="n">
        <f aca="false">B8/$B$8</f>
        <v>1</v>
      </c>
      <c r="D8" s="111" t="n">
        <f aca="false">E8/B8</f>
        <v>1105.67910447761</v>
      </c>
      <c r="E8" s="111" t="n">
        <f aca="false">SUM(E6:E7)</f>
        <v>148161</v>
      </c>
      <c r="F8" s="75" t="n">
        <f aca="false">G8/B8</f>
        <v>1109.32835820896</v>
      </c>
      <c r="G8" s="77" t="n">
        <f aca="false">SUM(G6:G7)</f>
        <v>148650</v>
      </c>
      <c r="H8" s="112" t="n">
        <f aca="false">+G8/329</f>
        <v>451.823708206687</v>
      </c>
      <c r="I8" s="75" t="n">
        <f aca="false">J8/B8</f>
        <v>1322.98507462687</v>
      </c>
      <c r="J8" s="77" t="n">
        <f aca="false">SUM(J6:J7)</f>
        <v>177280</v>
      </c>
      <c r="K8" s="112" t="n">
        <f aca="false">+J8/329</f>
        <v>538.844984802432</v>
      </c>
      <c r="O8" s="6"/>
    </row>
    <row r="9" customFormat="false" ht="15" hidden="false" customHeight="false" outlineLevel="0" collapsed="false">
      <c r="A9" s="6"/>
      <c r="B9" s="6"/>
      <c r="C9" s="119"/>
      <c r="D9" s="113"/>
      <c r="E9" s="46"/>
      <c r="F9" s="6"/>
      <c r="G9" s="6"/>
      <c r="H9" s="6"/>
      <c r="I9" s="6"/>
      <c r="J9" s="6"/>
      <c r="K9" s="6"/>
      <c r="O9" s="6"/>
    </row>
    <row r="10" customFormat="false" ht="15" hidden="false" customHeight="false" outlineLevel="0" collapsed="false">
      <c r="A10" s="40" t="s">
        <v>78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customFormat="false" ht="15" hidden="false" customHeight="false" outlineLevel="0" collapsed="false">
      <c r="A11" s="38"/>
      <c r="B11" s="120" t="s">
        <v>29</v>
      </c>
      <c r="C11" s="120"/>
      <c r="D11" s="120"/>
      <c r="E11" s="120"/>
      <c r="F11" s="120" t="s">
        <v>6</v>
      </c>
      <c r="G11" s="120"/>
      <c r="H11" s="120"/>
      <c r="I11" s="120"/>
      <c r="N11" s="6"/>
      <c r="O11" s="6"/>
    </row>
    <row r="12" customFormat="false" ht="15" hidden="false" customHeight="false" outlineLevel="0" collapsed="false">
      <c r="A12" s="40" t="s">
        <v>79</v>
      </c>
      <c r="B12" s="6"/>
      <c r="C12" s="6"/>
      <c r="D12" s="6"/>
      <c r="E12" s="6"/>
      <c r="F12" s="4"/>
      <c r="G12" s="4"/>
      <c r="H12" s="4"/>
      <c r="I12" s="4"/>
      <c r="N12" s="6"/>
      <c r="O12" s="6"/>
    </row>
    <row r="13" customFormat="false" ht="15" hidden="false" customHeight="false" outlineLevel="0" collapsed="false">
      <c r="A13" s="48" t="s">
        <v>80</v>
      </c>
      <c r="B13" s="116" t="n">
        <v>0.05</v>
      </c>
      <c r="C13" s="6"/>
      <c r="D13" s="6"/>
      <c r="E13" s="6"/>
      <c r="F13" s="116" t="n">
        <v>0.05</v>
      </c>
      <c r="G13" s="6"/>
      <c r="H13" s="6"/>
      <c r="I13" s="6"/>
      <c r="N13" s="6"/>
      <c r="O13" s="6"/>
    </row>
    <row r="14" customFormat="false" ht="15" hidden="false" customHeight="false" outlineLevel="0" collapsed="false">
      <c r="A14" s="48" t="s">
        <v>81</v>
      </c>
      <c r="B14" s="121" t="n">
        <f aca="false">H8</f>
        <v>451.823708206687</v>
      </c>
      <c r="C14" s="121"/>
      <c r="D14" s="121"/>
      <c r="E14" s="121"/>
      <c r="F14" s="121" t="n">
        <f aca="false">K8</f>
        <v>538.844984802432</v>
      </c>
      <c r="G14" s="6"/>
      <c r="H14" s="6"/>
      <c r="I14" s="6"/>
      <c r="N14" s="6"/>
      <c r="O14" s="6"/>
    </row>
    <row r="15" customFormat="false" ht="15" hidden="false" customHeight="false" outlineLevel="0" collapsed="false">
      <c r="A15" s="51" t="s">
        <v>30</v>
      </c>
      <c r="B15" s="52" t="s">
        <v>31</v>
      </c>
      <c r="C15" s="53" t="s">
        <v>32</v>
      </c>
      <c r="D15" s="53" t="s">
        <v>33</v>
      </c>
      <c r="E15" s="55" t="s">
        <v>34</v>
      </c>
      <c r="F15" s="52" t="s">
        <v>31</v>
      </c>
      <c r="G15" s="53" t="s">
        <v>32</v>
      </c>
      <c r="H15" s="53" t="s">
        <v>33</v>
      </c>
      <c r="I15" s="55" t="s">
        <v>34</v>
      </c>
      <c r="N15" s="6"/>
      <c r="O15" s="6"/>
    </row>
    <row r="16" customFormat="false" ht="15" hidden="false" customHeight="false" outlineLevel="0" collapsed="false">
      <c r="A16" s="48" t="s">
        <v>35</v>
      </c>
      <c r="B16" s="56" t="n">
        <f aca="false">+G8*12</f>
        <v>1783800</v>
      </c>
      <c r="C16" s="57" t="n">
        <f aca="false">B16/B$18</f>
        <v>0.981745413237878</v>
      </c>
      <c r="D16" s="60" t="n">
        <f aca="false">B16/$B$8</f>
        <v>13311.9402985075</v>
      </c>
      <c r="E16" s="59" t="n">
        <f aca="false">B16/$E$8</f>
        <v>12.0396055642173</v>
      </c>
      <c r="F16" s="56" t="n">
        <f aca="false">+J8*12</f>
        <v>2127360</v>
      </c>
      <c r="G16" s="57" t="n">
        <f aca="false">F16/F$18</f>
        <v>0.984648197107374</v>
      </c>
      <c r="H16" s="60" t="n">
        <f aca="false">F16/$B$8</f>
        <v>15875.8208955224</v>
      </c>
      <c r="I16" s="59" t="n">
        <f aca="false">F16/$E$8</f>
        <v>14.3584344058153</v>
      </c>
      <c r="N16" s="6"/>
      <c r="O16" s="6"/>
    </row>
    <row r="17" customFormat="false" ht="15" hidden="false" customHeight="false" outlineLevel="0" collapsed="false">
      <c r="A17" s="48" t="s">
        <v>36</v>
      </c>
      <c r="B17" s="106" t="n">
        <v>33168</v>
      </c>
      <c r="C17" s="62" t="n">
        <f aca="false">B17/B$18</f>
        <v>0.0182545867621224</v>
      </c>
      <c r="D17" s="107" t="n">
        <f aca="false">B17/$B$8</f>
        <v>247.522388059701</v>
      </c>
      <c r="E17" s="64" t="n">
        <f aca="false">B17/$E$8</f>
        <v>0.223864579747707</v>
      </c>
      <c r="F17" s="106" t="n">
        <v>33168</v>
      </c>
      <c r="G17" s="62" t="n">
        <f aca="false">F17/F$18</f>
        <v>0.0153518028926262</v>
      </c>
      <c r="H17" s="107" t="n">
        <f aca="false">F17/$B$8</f>
        <v>247.522388059701</v>
      </c>
      <c r="I17" s="64" t="n">
        <f aca="false">F17/$E$8</f>
        <v>0.223864579747707</v>
      </c>
      <c r="N17" s="6"/>
      <c r="O17" s="6"/>
    </row>
    <row r="18" customFormat="false" ht="15" hidden="false" customHeight="false" outlineLevel="0" collapsed="false">
      <c r="A18" s="19" t="s">
        <v>37</v>
      </c>
      <c r="B18" s="65" t="n">
        <f aca="false">B17+B16</f>
        <v>1816968</v>
      </c>
      <c r="C18" s="66" t="n">
        <f aca="false">B18/B$18</f>
        <v>1</v>
      </c>
      <c r="D18" s="86" t="n">
        <f aca="false">B18/$B$8</f>
        <v>13559.4626865672</v>
      </c>
      <c r="E18" s="67" t="n">
        <f aca="false">B18/$E$8</f>
        <v>12.263470143965</v>
      </c>
      <c r="F18" s="65" t="n">
        <f aca="false">F17+F16</f>
        <v>2160528</v>
      </c>
      <c r="G18" s="66" t="n">
        <f aca="false">F18/F$18</f>
        <v>1</v>
      </c>
      <c r="H18" s="86" t="n">
        <f aca="false">F18/$B$8</f>
        <v>16123.3432835821</v>
      </c>
      <c r="I18" s="67" t="n">
        <f aca="false">F18/$E$8</f>
        <v>14.582298985563</v>
      </c>
      <c r="N18" s="6"/>
      <c r="O18" s="6"/>
    </row>
    <row r="19" customFormat="false" ht="15" hidden="false" customHeight="false" outlineLevel="0" collapsed="false">
      <c r="A19" s="48" t="s">
        <v>82</v>
      </c>
      <c r="B19" s="61" t="n">
        <f aca="false">B18*B13</f>
        <v>90848.4</v>
      </c>
      <c r="C19" s="62" t="n">
        <f aca="false">B19/B$18</f>
        <v>0.05</v>
      </c>
      <c r="D19" s="107" t="n">
        <f aca="false">B19/$B$8</f>
        <v>677.973134328358</v>
      </c>
      <c r="E19" s="64" t="n">
        <f aca="false">B19/$E$8</f>
        <v>0.613173507198251</v>
      </c>
      <c r="F19" s="61" t="n">
        <f aca="false">F18*F13</f>
        <v>108026.4</v>
      </c>
      <c r="G19" s="62" t="n">
        <f aca="false">F19/F$18</f>
        <v>0.05</v>
      </c>
      <c r="H19" s="107" t="n">
        <f aca="false">F19/$B$8</f>
        <v>806.167164179105</v>
      </c>
      <c r="I19" s="64" t="n">
        <f aca="false">F19/$E$8</f>
        <v>0.72911494927815</v>
      </c>
      <c r="N19" s="6"/>
      <c r="O19" s="6"/>
    </row>
    <row r="20" customFormat="false" ht="15" hidden="false" customHeight="false" outlineLevel="0" collapsed="false">
      <c r="A20" s="48" t="s">
        <v>39</v>
      </c>
      <c r="B20" s="65" t="n">
        <f aca="false">B18-B19</f>
        <v>1726119.6</v>
      </c>
      <c r="C20" s="66" t="n">
        <f aca="false">B20/B20</f>
        <v>1</v>
      </c>
      <c r="D20" s="27" t="n">
        <f aca="false">B20/$B$8</f>
        <v>12881.4895522388</v>
      </c>
      <c r="E20" s="70" t="n">
        <f aca="false">B20/$E$8</f>
        <v>11.6502966367668</v>
      </c>
      <c r="F20" s="65" t="n">
        <f aca="false">F18-F19</f>
        <v>2052501.6</v>
      </c>
      <c r="G20" s="66" t="n">
        <f aca="false">F20/F20</f>
        <v>1</v>
      </c>
      <c r="H20" s="27" t="n">
        <f aca="false">F20/$B$8</f>
        <v>15317.176119403</v>
      </c>
      <c r="I20" s="70" t="n">
        <f aca="false">F20/$E$8</f>
        <v>13.8531840362849</v>
      </c>
      <c r="N20" s="6"/>
      <c r="O20" s="6"/>
    </row>
    <row r="21" customFormat="false" ht="15" hidden="false" customHeight="false" outlineLevel="0" collapsed="false">
      <c r="A21" s="51" t="s">
        <v>40</v>
      </c>
      <c r="B21" s="122"/>
      <c r="C21" s="123"/>
      <c r="D21" s="27" t="s">
        <v>0</v>
      </c>
      <c r="E21" s="70" t="s">
        <v>0</v>
      </c>
      <c r="F21" s="122"/>
      <c r="G21" s="123"/>
      <c r="H21" s="27" t="s">
        <v>0</v>
      </c>
      <c r="I21" s="70" t="s">
        <v>0</v>
      </c>
      <c r="N21" s="6"/>
      <c r="O21" s="6"/>
    </row>
    <row r="22" customFormat="false" ht="15" hidden="false" customHeight="false" outlineLevel="0" collapsed="false">
      <c r="A22" s="48" t="s">
        <v>83</v>
      </c>
      <c r="B22" s="102" t="n">
        <v>234500</v>
      </c>
      <c r="C22" s="69" t="n">
        <f aca="false">B22/B$20</f>
        <v>0.135853853927619</v>
      </c>
      <c r="D22" s="27" t="n">
        <f aca="false">B22/$B$8</f>
        <v>1750</v>
      </c>
      <c r="E22" s="70" t="n">
        <f aca="false">B22/$E$8</f>
        <v>1.58273769750474</v>
      </c>
      <c r="F22" s="102" t="n">
        <v>234500</v>
      </c>
      <c r="G22" s="69" t="n">
        <f aca="false">F22/F$20</f>
        <v>0.114250824457335</v>
      </c>
      <c r="H22" s="27" t="n">
        <f aca="false">F22/$B$8</f>
        <v>1750</v>
      </c>
      <c r="I22" s="70" t="n">
        <f aca="false">F22/$E$8</f>
        <v>1.58273769750474</v>
      </c>
      <c r="N22" s="6"/>
      <c r="O22" s="6"/>
    </row>
    <row r="23" customFormat="false" ht="15" hidden="false" customHeight="false" outlineLevel="0" collapsed="false">
      <c r="A23" s="48" t="s">
        <v>84</v>
      </c>
      <c r="B23" s="102" t="n">
        <v>33500</v>
      </c>
      <c r="C23" s="69" t="n">
        <f aca="false">B23/B$20</f>
        <v>0.0194076934182313</v>
      </c>
      <c r="D23" s="27" t="n">
        <f aca="false">B23/$B$8</f>
        <v>250</v>
      </c>
      <c r="E23" s="70" t="n">
        <f aca="false">B23/$E$8</f>
        <v>0.22610538535782</v>
      </c>
      <c r="F23" s="102" t="n">
        <v>33500</v>
      </c>
      <c r="G23" s="69" t="n">
        <f aca="false">F23/F$20</f>
        <v>0.0163215463510479</v>
      </c>
      <c r="H23" s="27" t="n">
        <f aca="false">F23/$B$8</f>
        <v>250</v>
      </c>
      <c r="I23" s="70" t="n">
        <f aca="false">F23/$E$8</f>
        <v>0.22610538535782</v>
      </c>
      <c r="N23" s="6"/>
      <c r="O23" s="6"/>
    </row>
    <row r="24" customFormat="false" ht="15" hidden="false" customHeight="false" outlineLevel="0" collapsed="false">
      <c r="A24" s="48" t="s">
        <v>85</v>
      </c>
      <c r="B24" s="102" t="n">
        <v>46900</v>
      </c>
      <c r="C24" s="69" t="n">
        <f aca="false">B24/B$20</f>
        <v>0.0271707707855238</v>
      </c>
      <c r="D24" s="27" t="n">
        <f aca="false">B24/$B$8</f>
        <v>350</v>
      </c>
      <c r="E24" s="70" t="n">
        <f aca="false">B24/$E$8</f>
        <v>0.316547539500948</v>
      </c>
      <c r="F24" s="102" t="n">
        <v>46900</v>
      </c>
      <c r="G24" s="69" t="n">
        <f aca="false">F24/F$20</f>
        <v>0.0228501648914671</v>
      </c>
      <c r="H24" s="27" t="n">
        <f aca="false">F24/$B$8</f>
        <v>350</v>
      </c>
      <c r="I24" s="70" t="n">
        <f aca="false">F24/$E$8</f>
        <v>0.316547539500948</v>
      </c>
      <c r="N24" s="6"/>
      <c r="O24" s="6"/>
    </row>
    <row r="25" customFormat="false" ht="15" hidden="false" customHeight="false" outlineLevel="0" collapsed="false">
      <c r="A25" s="48" t="s">
        <v>86</v>
      </c>
      <c r="B25" s="102" t="n">
        <v>116580</v>
      </c>
      <c r="C25" s="69" t="n">
        <f aca="false">B25/B$20</f>
        <v>0.0675387730954448</v>
      </c>
      <c r="D25" s="27" t="n">
        <f aca="false">B25/$B$8</f>
        <v>870</v>
      </c>
      <c r="E25" s="70" t="n">
        <f aca="false">B25/$E$8</f>
        <v>0.786846741045214</v>
      </c>
      <c r="F25" s="102" t="n">
        <v>116580</v>
      </c>
      <c r="G25" s="69" t="n">
        <f aca="false">F25/F$20</f>
        <v>0.0567989813016467</v>
      </c>
      <c r="H25" s="27" t="n">
        <f aca="false">F25/$B$8</f>
        <v>870</v>
      </c>
      <c r="I25" s="70" t="n">
        <f aca="false">F25/$E$8</f>
        <v>0.786846741045214</v>
      </c>
      <c r="N25" s="6"/>
      <c r="O25" s="6"/>
    </row>
    <row r="26" customFormat="false" ht="15" hidden="false" customHeight="false" outlineLevel="0" collapsed="false">
      <c r="A26" s="48" t="s">
        <v>87</v>
      </c>
      <c r="B26" s="102" t="n">
        <v>43550</v>
      </c>
      <c r="C26" s="69" t="n">
        <f aca="false">B26/B$20</f>
        <v>0.0252300014437007</v>
      </c>
      <c r="D26" s="27" t="n">
        <f aca="false">B26/$B$8</f>
        <v>325</v>
      </c>
      <c r="E26" s="70" t="n">
        <f aca="false">B26/$E$8</f>
        <v>0.293937000965166</v>
      </c>
      <c r="F26" s="102" t="n">
        <v>43550</v>
      </c>
      <c r="G26" s="69" t="n">
        <f aca="false">F26/F$20</f>
        <v>0.0212180102563623</v>
      </c>
      <c r="H26" s="27" t="n">
        <f aca="false">F26/$B$8</f>
        <v>325</v>
      </c>
      <c r="I26" s="70" t="n">
        <f aca="false">F26/$E$8</f>
        <v>0.293937000965166</v>
      </c>
      <c r="K26" s="0" t="s">
        <v>0</v>
      </c>
      <c r="N26" s="6"/>
      <c r="O26" s="6"/>
    </row>
    <row r="27" customFormat="false" ht="15" hidden="false" customHeight="false" outlineLevel="0" collapsed="false">
      <c r="A27" s="48" t="s">
        <v>88</v>
      </c>
      <c r="B27" s="124" t="n">
        <v>93800</v>
      </c>
      <c r="C27" s="69" t="n">
        <f aca="false">B27/B$20</f>
        <v>0.0543415415710476</v>
      </c>
      <c r="D27" s="27" t="n">
        <f aca="false">B27/$B$8</f>
        <v>700</v>
      </c>
      <c r="E27" s="70" t="n">
        <f aca="false">B27/$E$8</f>
        <v>0.633095079001897</v>
      </c>
      <c r="F27" s="124" t="n">
        <v>93800</v>
      </c>
      <c r="G27" s="69" t="n">
        <f aca="false">F27/F$20</f>
        <v>0.0457003297829342</v>
      </c>
      <c r="H27" s="27" t="n">
        <f aca="false">F27/$B$8</f>
        <v>700</v>
      </c>
      <c r="I27" s="70" t="n">
        <f aca="false">F27/$E$8</f>
        <v>0.633095079001897</v>
      </c>
      <c r="N27" s="6"/>
      <c r="O27" s="6"/>
    </row>
    <row r="28" customFormat="false" ht="15" hidden="false" customHeight="false" outlineLevel="0" collapsed="false">
      <c r="A28" s="48" t="s">
        <v>89</v>
      </c>
      <c r="B28" s="124" t="n">
        <v>670</v>
      </c>
      <c r="C28" s="69" t="n">
        <f aca="false">B28/B$20</f>
        <v>0.000388153868364625</v>
      </c>
      <c r="D28" s="27" t="n">
        <f aca="false">B28/$B$8</f>
        <v>5</v>
      </c>
      <c r="E28" s="70" t="n">
        <f aca="false">B28/$E$8</f>
        <v>0.0045221077071564</v>
      </c>
      <c r="F28" s="124" t="n">
        <v>670</v>
      </c>
      <c r="G28" s="69" t="n">
        <f aca="false">F28/F$20</f>
        <v>0.000326430927020958</v>
      </c>
      <c r="H28" s="27" t="n">
        <f aca="false">F28/$B$8</f>
        <v>5</v>
      </c>
      <c r="I28" s="70" t="n">
        <f aca="false">F28/$E$8</f>
        <v>0.0045221077071564</v>
      </c>
      <c r="N28" s="6"/>
      <c r="O28" s="6"/>
    </row>
    <row r="29" customFormat="false" ht="15" hidden="false" customHeight="false" outlineLevel="0" collapsed="false">
      <c r="A29" s="48" t="s">
        <v>0</v>
      </c>
      <c r="B29" s="124" t="s">
        <v>0</v>
      </c>
      <c r="C29" s="69" t="s">
        <v>0</v>
      </c>
      <c r="D29" s="27" t="s">
        <v>0</v>
      </c>
      <c r="E29" s="70" t="s">
        <v>0</v>
      </c>
      <c r="F29" s="124" t="s">
        <v>0</v>
      </c>
      <c r="G29" s="69" t="s">
        <v>0</v>
      </c>
      <c r="H29" s="27" t="s">
        <v>0</v>
      </c>
      <c r="I29" s="70" t="s">
        <v>0</v>
      </c>
      <c r="N29" s="6"/>
      <c r="O29" s="6"/>
    </row>
    <row r="30" customFormat="false" ht="15" hidden="false" customHeight="false" outlineLevel="0" collapsed="false">
      <c r="A30" s="48" t="s">
        <v>90</v>
      </c>
      <c r="B30" s="124" t="n">
        <f aca="false">+B8*350</f>
        <v>46900</v>
      </c>
      <c r="C30" s="69" t="n">
        <f aca="false">B30/B$20</f>
        <v>0.0271707707855238</v>
      </c>
      <c r="D30" s="27" t="n">
        <f aca="false">B30/$B$8</f>
        <v>350</v>
      </c>
      <c r="E30" s="70" t="n">
        <f aca="false">B30/$E$8</f>
        <v>0.316547539500948</v>
      </c>
      <c r="F30" s="124" t="n">
        <f aca="false">+B8*350</f>
        <v>46900</v>
      </c>
      <c r="G30" s="69" t="n">
        <f aca="false">F30/F$20</f>
        <v>0.0228501648914671</v>
      </c>
      <c r="H30" s="27" t="n">
        <f aca="false">F30/$B$8</f>
        <v>350</v>
      </c>
      <c r="I30" s="70" t="n">
        <f aca="false">F30/$E$8</f>
        <v>0.316547539500948</v>
      </c>
      <c r="N30" s="6"/>
      <c r="O30" s="6"/>
    </row>
    <row r="31" customFormat="false" ht="15" hidden="false" customHeight="false" outlineLevel="0" collapsed="false">
      <c r="A31" s="19" t="s">
        <v>41</v>
      </c>
      <c r="B31" s="71" t="n">
        <f aca="false">SUM(B22:B30)</f>
        <v>616400</v>
      </c>
      <c r="C31" s="72" t="n">
        <f aca="false">B31/B$20</f>
        <v>0.357101558895455</v>
      </c>
      <c r="D31" s="125" t="n">
        <f aca="false">B31/$B$8</f>
        <v>4600</v>
      </c>
      <c r="E31" s="74" t="n">
        <f aca="false">B31/$E$8</f>
        <v>4.16033909058389</v>
      </c>
      <c r="F31" s="71" t="n">
        <f aca="false">SUM(F22:F30)</f>
        <v>616400</v>
      </c>
      <c r="G31" s="72" t="n">
        <f aca="false">F31/F$20</f>
        <v>0.300316452859282</v>
      </c>
      <c r="H31" s="125" t="n">
        <f aca="false">F31/$B$8</f>
        <v>4600</v>
      </c>
      <c r="I31" s="74" t="n">
        <f aca="false">F31/$E$8</f>
        <v>4.16033909058389</v>
      </c>
      <c r="N31" s="6"/>
      <c r="O31" s="6"/>
    </row>
    <row r="32" customFormat="false" ht="15" hidden="false" customHeight="false" outlineLevel="0" collapsed="false">
      <c r="A32" s="19" t="s">
        <v>42</v>
      </c>
      <c r="B32" s="75" t="n">
        <f aca="false">B20-B31</f>
        <v>1109719.6</v>
      </c>
      <c r="C32" s="76" t="n">
        <f aca="false">B32/B$20</f>
        <v>0.642898441104545</v>
      </c>
      <c r="D32" s="77" t="n">
        <f aca="false">B32/$B$8</f>
        <v>8281.48955223881</v>
      </c>
      <c r="E32" s="78" t="n">
        <f aca="false">B32/$E$8</f>
        <v>7.48995754618287</v>
      </c>
      <c r="F32" s="77" t="n">
        <f aca="false">F20-F31</f>
        <v>1436101.6</v>
      </c>
      <c r="G32" s="76" t="n">
        <f aca="false">F32/F$20</f>
        <v>0.699683547140719</v>
      </c>
      <c r="H32" s="77" t="n">
        <f aca="false">F32/$B$8</f>
        <v>10717.176119403</v>
      </c>
      <c r="I32" s="78" t="n">
        <f aca="false">F32/$E$8</f>
        <v>9.69284494570096</v>
      </c>
      <c r="N32" s="6"/>
      <c r="O32" s="6"/>
    </row>
    <row r="33" customFormat="false" ht="15" hidden="false" customHeight="false" outlineLevel="0" collapsed="false">
      <c r="A33" s="79" t="s">
        <v>43</v>
      </c>
      <c r="B33" s="80" t="n">
        <f aca="false">+Budget!B26</f>
        <v>8867813.25</v>
      </c>
      <c r="C33" s="81"/>
      <c r="D33" s="80" t="s">
        <v>0</v>
      </c>
      <c r="E33" s="82" t="s">
        <v>0</v>
      </c>
      <c r="F33" s="80" t="n">
        <f aca="false">+Budget!B26</f>
        <v>8867813.25</v>
      </c>
      <c r="G33" s="81"/>
      <c r="H33" s="80" t="s">
        <v>0</v>
      </c>
      <c r="I33" s="82" t="s">
        <v>0</v>
      </c>
      <c r="N33" s="6"/>
      <c r="O33" s="6"/>
    </row>
    <row r="34" customFormat="false" ht="15" hidden="false" customHeight="false" outlineLevel="0" collapsed="false">
      <c r="A34" s="79" t="s">
        <v>44</v>
      </c>
      <c r="B34" s="83" t="n">
        <v>0.08</v>
      </c>
      <c r="C34" s="81"/>
      <c r="D34" s="80"/>
      <c r="E34" s="82"/>
      <c r="F34" s="83" t="n">
        <v>0.086</v>
      </c>
      <c r="G34" s="81"/>
      <c r="H34" s="80"/>
      <c r="I34" s="82"/>
      <c r="N34" s="6"/>
      <c r="O34" s="6"/>
    </row>
    <row r="35" customFormat="false" ht="15" hidden="false" customHeight="false" outlineLevel="0" collapsed="false">
      <c r="A35" s="79" t="s">
        <v>45</v>
      </c>
      <c r="B35" s="79" t="n">
        <v>300</v>
      </c>
      <c r="C35" s="81"/>
      <c r="D35" s="80"/>
      <c r="E35" s="82"/>
      <c r="F35" s="79" t="n">
        <v>300</v>
      </c>
      <c r="G35" s="81"/>
      <c r="H35" s="80"/>
      <c r="I35" s="82"/>
      <c r="N35" s="6"/>
      <c r="O35" s="6"/>
    </row>
    <row r="36" customFormat="false" ht="15" hidden="false" customHeight="false" outlineLevel="0" collapsed="false">
      <c r="A36" s="79" t="s">
        <v>46</v>
      </c>
      <c r="B36" s="27" t="n">
        <f aca="false">PMT(B34,B35/12,-B33)</f>
        <v>830725.918120866</v>
      </c>
      <c r="C36" s="69" t="s">
        <v>0</v>
      </c>
      <c r="D36" s="27" t="s">
        <v>0</v>
      </c>
      <c r="E36" s="84" t="s">
        <v>0</v>
      </c>
      <c r="F36" s="27" t="n">
        <f aca="false">PMT(F34,F35/12,-F33)</f>
        <v>873708.062297291</v>
      </c>
      <c r="G36" s="69" t="s">
        <v>0</v>
      </c>
      <c r="H36" s="27" t="s">
        <v>0</v>
      </c>
      <c r="I36" s="84" t="s">
        <v>0</v>
      </c>
      <c r="N36" s="6"/>
      <c r="O36" s="6"/>
    </row>
    <row r="37" customFormat="false" ht="15" hidden="false" customHeight="false" outlineLevel="0" collapsed="false">
      <c r="A37" s="19" t="s">
        <v>91</v>
      </c>
      <c r="B37" s="86" t="n">
        <f aca="false">B32-B36</f>
        <v>278993.681879135</v>
      </c>
      <c r="C37" s="66" t="s">
        <v>0</v>
      </c>
      <c r="D37" s="86" t="s">
        <v>0</v>
      </c>
      <c r="E37" s="87" t="s">
        <v>0</v>
      </c>
      <c r="F37" s="86" t="n">
        <f aca="false">F32-F36</f>
        <v>562393.537702709</v>
      </c>
      <c r="G37" s="66" t="s">
        <v>12</v>
      </c>
      <c r="H37" s="86" t="s">
        <v>0</v>
      </c>
      <c r="I37" s="87" t="s">
        <v>0</v>
      </c>
      <c r="N37" s="6"/>
      <c r="O37" s="6"/>
    </row>
    <row r="38" customFormat="false" ht="15" hidden="false" customHeight="false" outlineLevel="0" collapsed="false">
      <c r="A38" s="19" t="s">
        <v>47</v>
      </c>
      <c r="B38" s="85" t="n">
        <f aca="false">B32/B36</f>
        <v>1.33584323757495</v>
      </c>
      <c r="C38" s="66" t="s">
        <v>92</v>
      </c>
      <c r="D38" s="86"/>
      <c r="E38" s="87"/>
      <c r="F38" s="85" t="n">
        <f aca="false">F32/F36</f>
        <v>1.64368587400233</v>
      </c>
      <c r="G38" s="66" t="s">
        <v>92</v>
      </c>
      <c r="H38" s="86"/>
      <c r="I38" s="87"/>
      <c r="N38" s="6"/>
      <c r="O38" s="6"/>
    </row>
    <row r="39" customFormat="false" ht="15" hidden="false" customHeight="false" outlineLevel="0" collapsed="false">
      <c r="A39" s="19" t="s">
        <v>48</v>
      </c>
      <c r="B39" s="88" t="n">
        <f aca="false">B32/B33</f>
        <v>0.12514016350085</v>
      </c>
      <c r="C39" s="66"/>
      <c r="D39" s="86"/>
      <c r="E39" s="87"/>
      <c r="F39" s="88" t="n">
        <f aca="false">F32/F33</f>
        <v>0.161945404071291</v>
      </c>
      <c r="G39" s="66"/>
      <c r="H39" s="86"/>
      <c r="I39" s="87"/>
      <c r="N39" s="6"/>
      <c r="O39" s="6"/>
    </row>
    <row r="40" customFormat="false" ht="15" hidden="false" customHeight="false" outlineLevel="0" collapsed="false">
      <c r="A40" s="6"/>
      <c r="B40" s="6"/>
      <c r="C40" s="119"/>
      <c r="D40" s="114"/>
      <c r="E40" s="84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customFormat="false" ht="15" hidden="false" customHeight="false" outlineLevel="0" collapsed="false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customFormat="false" ht="15" hidden="false" customHeight="false" outlineLevel="0" collapsed="false">
      <c r="A42" s="40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customFormat="false" ht="15" hidden="false" customHeight="false" outlineLevel="0" collapsed="false">
      <c r="A43" s="48"/>
      <c r="B43" s="27"/>
      <c r="C43" s="69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customFormat="false" ht="15" hidden="false" customHeight="false" outlineLevel="0" collapsed="false">
      <c r="A44" s="48"/>
      <c r="B44" s="27"/>
      <c r="C44" s="69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customFormat="false" ht="15" hidden="false" customHeight="false" outlineLevel="0" collapsed="false">
      <c r="A45" s="48"/>
      <c r="B45" s="27"/>
      <c r="C45" s="69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customFormat="false" ht="15" hidden="false" customHeight="false" outlineLevel="0" collapsed="false">
      <c r="A46" s="48"/>
      <c r="B46" s="27"/>
      <c r="C46" s="69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customFormat="false" ht="15" hidden="false" customHeight="false" outlineLevel="0" collapsed="false">
      <c r="A47" s="48"/>
      <c r="B47" s="27"/>
      <c r="C47" s="69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customFormat="false" ht="15" hidden="false" customHeight="false" outlineLevel="0" collapsed="false">
      <c r="A48" s="48"/>
      <c r="B48" s="27"/>
      <c r="C48" s="69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customFormat="false" ht="15" hidden="false" customHeight="false" outlineLevel="0" collapsed="false">
      <c r="A49" s="48"/>
      <c r="B49" s="27"/>
      <c r="C49" s="69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</sheetData>
  <mergeCells count="4">
    <mergeCell ref="A1:K1"/>
    <mergeCell ref="A2:K2"/>
    <mergeCell ref="B11:E11"/>
    <mergeCell ref="F11:I11"/>
  </mergeCells>
  <printOptions headings="false" gridLines="false" gridLinesSet="true" horizontalCentered="false" verticalCentered="false"/>
  <pageMargins left="0.25" right="0.2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1999-10-06T17:26:43Z</dcterms:created>
  <dc:creator/>
  <dc:description/>
  <dc:language>en-US</dc:language>
  <cp:lastModifiedBy>pallen</cp:lastModifiedBy>
  <cp:lastPrinted>2001-03-07T16:03:06Z</cp:lastPrinted>
  <cp:revision>0</cp:revision>
  <dc:subject/>
  <dc:title/>
</cp:coreProperties>
</file>