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mestead" sheetId="1" state="visible" r:id="rId3"/>
    <sheet name="CTGprice" sheetId="2" state="visible" r:id="rId4"/>
    <sheet name="calc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<sst xmlns="http://schemas.openxmlformats.org/spreadsheetml/2006/main" count="231" uniqueCount="161">
  <si>
    <t xml:space="preserve">City of Austin </t>
  </si>
  <si>
    <t xml:space="preserve">Homestead CCGT</t>
  </si>
  <si>
    <t xml:space="preserve">Homestead SC</t>
  </si>
  <si>
    <t xml:space="preserve">To Add CCTG to SC</t>
  </si>
  <si>
    <t xml:space="preserve">MW</t>
  </si>
  <si>
    <t xml:space="preserve">NEPCO adjusted</t>
  </si>
  <si>
    <t xml:space="preserve">Golden's Guess</t>
  </si>
  <si>
    <t xml:space="preserve">Project Management</t>
  </si>
  <si>
    <t xml:space="preserve">Home office</t>
  </si>
  <si>
    <t xml:space="preserve">salaried staff</t>
  </si>
  <si>
    <t xml:space="preserve">hourly staff</t>
  </si>
  <si>
    <t xml:space="preserve"> </t>
  </si>
  <si>
    <t xml:space="preserve">Indirect Costs</t>
  </si>
  <si>
    <t xml:space="preserve">equipment rental</t>
  </si>
  <si>
    <t xml:space="preserve">small tools</t>
  </si>
  <si>
    <t xml:space="preserve">temp facilities</t>
  </si>
  <si>
    <t xml:space="preserve">GC other</t>
  </si>
  <si>
    <t xml:space="preserve">per diems</t>
  </si>
  <si>
    <t xml:space="preserve">tax/bond</t>
  </si>
  <si>
    <t xml:space="preserve">Engineering</t>
  </si>
  <si>
    <t xml:space="preserve">Engr labor</t>
  </si>
  <si>
    <t xml:space="preserve">Procurement</t>
  </si>
  <si>
    <t xml:space="preserve">Major Equipment</t>
  </si>
  <si>
    <t xml:space="preserve">CTG's</t>
  </si>
  <si>
    <t xml:space="preserve">see detail sheet</t>
  </si>
  <si>
    <t xml:space="preserve">CTG freight</t>
  </si>
  <si>
    <t xml:space="preserve">inlet air heating</t>
  </si>
  <si>
    <t xml:space="preserve">not required</t>
  </si>
  <si>
    <t xml:space="preserve">dual fuel</t>
  </si>
  <si>
    <t xml:space="preserve">HRSG's</t>
  </si>
  <si>
    <t xml:space="preserve">STG - 75MW</t>
  </si>
  <si>
    <t xml:space="preserve">Engineered Equipment</t>
  </si>
  <si>
    <t xml:space="preserve">buildings</t>
  </si>
  <si>
    <t xml:space="preserve">valves and specials</t>
  </si>
  <si>
    <t xml:space="preserve">bus duct</t>
  </si>
  <si>
    <t xml:space="preserve">dry xfmrs</t>
  </si>
  <si>
    <t xml:space="preserve">step-up transformers</t>
  </si>
  <si>
    <t xml:space="preserve">pwr dist xfrms</t>
  </si>
  <si>
    <t xml:space="preserve">600V MCC</t>
  </si>
  <si>
    <t xml:space="preserve">600V swgr</t>
  </si>
  <si>
    <t xml:space="preserve">5kV swgr</t>
  </si>
  <si>
    <t xml:space="preserve">15kV swgr</t>
  </si>
  <si>
    <t xml:space="preserve">control panel</t>
  </si>
  <si>
    <t xml:space="preserve">HV device</t>
  </si>
  <si>
    <t xml:space="preserve">DCS</t>
  </si>
  <si>
    <t xml:space="preserve">UPS</t>
  </si>
  <si>
    <t xml:space="preserve">fld mntd instr</t>
  </si>
  <si>
    <t xml:space="preserve">CEMS</t>
  </si>
  <si>
    <t xml:space="preserve">control valves</t>
  </si>
  <si>
    <t xml:space="preserve">pumps</t>
  </si>
  <si>
    <t xml:space="preserve">cooling tower</t>
  </si>
  <si>
    <t xml:space="preserve">included in HRT proposal</t>
  </si>
  <si>
    <t xml:space="preserve">fin fan coolers</t>
  </si>
  <si>
    <t xml:space="preserve">APC equipment</t>
  </si>
  <si>
    <t xml:space="preserve">Gas Compression</t>
  </si>
  <si>
    <t xml:space="preserve">fuel gas filter</t>
  </si>
  <si>
    <t xml:space="preserve">chillers</t>
  </si>
  <si>
    <t xml:space="preserve">HRT Proposal</t>
  </si>
  <si>
    <t xml:space="preserve">wtr treatment</t>
  </si>
  <si>
    <t xml:space="preserve">oil/water separator</t>
  </si>
  <si>
    <t xml:space="preserve">vendor reps</t>
  </si>
  <si>
    <t xml:space="preserve">tank farm/oil filter</t>
  </si>
  <si>
    <t xml:space="preserve">FLD/shop vessels</t>
  </si>
  <si>
    <t xml:space="preserve">other</t>
  </si>
  <si>
    <t xml:space="preserve">Bulk Material</t>
  </si>
  <si>
    <t xml:space="preserve">Procurement Subtotal</t>
  </si>
  <si>
    <t xml:space="preserve">Construction</t>
  </si>
  <si>
    <t xml:space="preserve">site</t>
  </si>
  <si>
    <t xml:space="preserve">u/g electrical</t>
  </si>
  <si>
    <t xml:space="preserve">u/g piping</t>
  </si>
  <si>
    <t xml:space="preserve">concrete</t>
  </si>
  <si>
    <t xml:space="preserve">grout</t>
  </si>
  <si>
    <t xml:space="preserve">steel</t>
  </si>
  <si>
    <t xml:space="preserve">architectural</t>
  </si>
  <si>
    <t xml:space="preserve">a/g piping</t>
  </si>
  <si>
    <t xml:space="preserve">a/g electrical</t>
  </si>
  <si>
    <t xml:space="preserve">instrumentatiion</t>
  </si>
  <si>
    <t xml:space="preserve">insulation</t>
  </si>
  <si>
    <t xml:space="preserve">painting</t>
  </si>
  <si>
    <t xml:space="preserve">mech equipment</t>
  </si>
  <si>
    <t xml:space="preserve">Startup</t>
  </si>
  <si>
    <t xml:space="preserve">startup</t>
  </si>
  <si>
    <t xml:space="preserve">oper training</t>
  </si>
  <si>
    <t xml:space="preserve">initial fill/spares</t>
  </si>
  <si>
    <t xml:space="preserve">manuals</t>
  </si>
  <si>
    <t xml:space="preserve">startup support</t>
  </si>
  <si>
    <t xml:space="preserve">Warranty</t>
  </si>
  <si>
    <t xml:space="preserve">warranty</t>
  </si>
  <si>
    <t xml:space="preserve">Owner Adds</t>
  </si>
  <si>
    <t xml:space="preserve">sales and use tax</t>
  </si>
  <si>
    <t xml:space="preserve">SCR air attemperation</t>
  </si>
  <si>
    <t xml:space="preserve">remote control</t>
  </si>
  <si>
    <t xml:space="preserve">ENA remote monitoring</t>
  </si>
  <si>
    <t xml:space="preserve">switchyard</t>
  </si>
  <si>
    <t xml:space="preserve">10 position breaker and one-half 230kV</t>
  </si>
  <si>
    <t xml:space="preserve">transmission lines</t>
  </si>
  <si>
    <t xml:space="preserve">gas line</t>
  </si>
  <si>
    <t xml:space="preserve">tap + meter at $400k plus pipeline </t>
  </si>
  <si>
    <t xml:space="preserve">admin buildings</t>
  </si>
  <si>
    <t xml:space="preserve">Builders Risk</t>
  </si>
  <si>
    <t xml:space="preserve">Subtotal Cost</t>
  </si>
  <si>
    <t xml:space="preserve">fixed G&amp;A</t>
  </si>
  <si>
    <t xml:space="preserve">Total Cost</t>
  </si>
  <si>
    <t xml:space="preserve">contingency</t>
  </si>
  <si>
    <t xml:space="preserve">margin</t>
  </si>
  <si>
    <t xml:space="preserve">TOTAL PROJECT EPC</t>
  </si>
  <si>
    <t xml:space="preserve">TOTAL PROJECT $/kW</t>
  </si>
  <si>
    <t xml:space="preserve">MARGIN on NON-CTG SCOPE</t>
  </si>
  <si>
    <t xml:space="preserve">combo</t>
  </si>
  <si>
    <t xml:space="preserve">yes</t>
  </si>
  <si>
    <t xml:space="preserve">Homestead</t>
  </si>
  <si>
    <t xml:space="preserve">units</t>
  </si>
  <si>
    <t xml:space="preserve">included</t>
  </si>
  <si>
    <t xml:space="preserve">LM6000</t>
  </si>
  <si>
    <t xml:space="preserve">WestLB</t>
  </si>
  <si>
    <t xml:space="preserve">Sprint</t>
  </si>
  <si>
    <t xml:space="preserve">fin fan</t>
  </si>
  <si>
    <t xml:space="preserve">no</t>
  </si>
  <si>
    <t xml:space="preserve">included as separate line item</t>
  </si>
  <si>
    <t xml:space="preserve">chiller</t>
  </si>
  <si>
    <t xml:space="preserve">water injection metering</t>
  </si>
  <si>
    <t xml:space="preserve">additional CT's</t>
  </si>
  <si>
    <t xml:space="preserve">60ft stack</t>
  </si>
  <si>
    <t xml:space="preserve">included in SCR</t>
  </si>
  <si>
    <t xml:space="preserve">gas fuel only</t>
  </si>
  <si>
    <t xml:space="preserve">gas heater</t>
  </si>
  <si>
    <t xml:space="preserve">gas compression so no heating required</t>
  </si>
  <si>
    <t xml:space="preserve">vendor TDI</t>
  </si>
  <si>
    <t xml:space="preserve">240 mnhrs/unit included in base price</t>
  </si>
  <si>
    <t xml:space="preserve">freight for stack</t>
  </si>
  <si>
    <t xml:space="preserve">freight for CTG</t>
  </si>
  <si>
    <t xml:space="preserve">OPTIONS</t>
  </si>
  <si>
    <t xml:space="preserve">stack 45 ft standard</t>
  </si>
  <si>
    <t xml:space="preserve">stack 45 ft heavy</t>
  </si>
  <si>
    <t xml:space="preserve">anti-icing system</t>
  </si>
  <si>
    <t xml:space="preserve">15 kV swutchgear</t>
  </si>
  <si>
    <t xml:space="preserve">15 kV to 4160 V transformer</t>
  </si>
  <si>
    <t xml:space="preserve">4160 switchgear</t>
  </si>
  <si>
    <t xml:space="preserve">4160 V to 480 V transformer</t>
  </si>
  <si>
    <t xml:space="preserve">480 V distribution/switchpanel</t>
  </si>
  <si>
    <t xml:space="preserve">BOP distribution panel/MCC</t>
  </si>
  <si>
    <t xml:space="preserve">air compressor</t>
  </si>
  <si>
    <t xml:space="preserve">liquid fuel tank heater</t>
  </si>
  <si>
    <t xml:space="preserve">liquid fuel unloading station</t>
  </si>
  <si>
    <t xml:space="preserve">liquid fuel treatment</t>
  </si>
  <si>
    <t xml:space="preserve">liquid fuel forwarding skid</t>
  </si>
  <si>
    <t xml:space="preserve">liquid fuel duplex filter</t>
  </si>
  <si>
    <t xml:space="preserve">gas fuel filter skid</t>
  </si>
  <si>
    <t xml:space="preserve">gas fuel scubber/heater</t>
  </si>
  <si>
    <t xml:space="preserve">raw water forwarding skid</t>
  </si>
  <si>
    <t xml:space="preserve">demin forwarding</t>
  </si>
  <si>
    <t xml:space="preserve">oily water separator</t>
  </si>
  <si>
    <t xml:space="preserve">anti-ice air to air</t>
  </si>
  <si>
    <t xml:space="preserve">unit capacity</t>
  </si>
  <si>
    <t xml:space="preserve">kW</t>
  </si>
  <si>
    <t xml:space="preserve">power factor</t>
  </si>
  <si>
    <t xml:space="preserve">unit output</t>
  </si>
  <si>
    <t xml:space="preserve">kVA</t>
  </si>
  <si>
    <t xml:space="preserve">voltage</t>
  </si>
  <si>
    <t xml:space="preserve">V</t>
  </si>
  <si>
    <t xml:space="preserve">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</si>
</sst>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-mmm\-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* #,##0.00_);_(* \(#,##0.00\);_(* \-??_);_(@_)"/>
    <numFmt numFmtId="171" formatCode="_(* #,##0_);_(* \(#,##0\);_(* \-??_);_(@_)"/>
    <numFmt numFmtId="172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false" outlineLevel="0" max="3" min="3" style="0" width="11.56"/>
    <col collapsed="false" customWidth="true" hidden="false" outlineLevel="0" max="4" min="4" style="0" width="14.99"/>
    <col collapsed="false" customWidth="true" hidden="false" outlineLevel="0" max="5" min="5" style="0" width="6.28"/>
    <col collapsed="false" customWidth="true" hidden="false" outlineLevel="0" max="6" min="6" style="0" width="7.99"/>
    <col collapsed="false" customWidth="true" hidden="false" outlineLevel="0" max="7" min="7" style="0" width="19.99"/>
    <col collapsed="false" customWidth="true" hidden="false" outlineLevel="0" max="8" min="8" style="0" width="2.42"/>
    <col collapsed="false" customWidth="true" hidden="false" outlineLevel="0" max="9" min="9" style="0" width="15.41"/>
    <col collapsed="false" customWidth="true" hidden="false" outlineLevel="0" max="11" min="11" style="0" width="21.84"/>
    <col collapsed="false" customWidth="true" hidden="false" outlineLevel="0" max="12" min="12" style="0" width="3.14"/>
    <col collapsed="false" customWidth="true" hidden="false" outlineLevel="0" max="13" min="13" style="0" width="9.99"/>
    <col collapsed="false" customWidth="true" hidden="false" outlineLevel="0" max="14" min="14" style="0" width="19.99"/>
  </cols>
  <sheetData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 t="s">
        <v>0</v>
      </c>
      <c r="E4" s="1"/>
      <c r="F4" s="1"/>
      <c r="G4" s="1" t="s">
        <v>1</v>
      </c>
      <c r="H4" s="1"/>
      <c r="I4" s="1"/>
      <c r="J4" s="1"/>
      <c r="K4" s="1" t="s">
        <v>2</v>
      </c>
      <c r="N4" s="1" t="s">
        <v>3</v>
      </c>
    </row>
    <row r="5" customFormat="false" ht="12.75" hidden="false" customHeight="false" outlineLevel="0" collapsed="false">
      <c r="A5" s="1"/>
      <c r="B5" s="1"/>
      <c r="C5" s="1"/>
      <c r="D5" s="1" t="n">
        <v>4</v>
      </c>
      <c r="E5" s="1"/>
      <c r="F5" s="1"/>
      <c r="G5" s="1" t="n">
        <v>6</v>
      </c>
      <c r="H5" s="1"/>
      <c r="I5" s="1"/>
      <c r="J5" s="1"/>
      <c r="K5" s="1" t="n">
        <v>6</v>
      </c>
      <c r="N5" s="1" t="n">
        <v>6</v>
      </c>
    </row>
    <row r="6" customFormat="false" ht="12.75" hidden="false" customHeight="false" outlineLevel="0" collapsed="false">
      <c r="A6" s="1"/>
      <c r="B6" s="1" t="s">
        <v>4</v>
      </c>
      <c r="C6" s="1"/>
      <c r="D6" s="1" t="n">
        <v>180</v>
      </c>
      <c r="E6" s="1"/>
      <c r="F6" s="1"/>
      <c r="G6" s="1" t="n">
        <v>345</v>
      </c>
      <c r="H6" s="1"/>
      <c r="I6" s="1"/>
      <c r="J6" s="1"/>
      <c r="K6" s="1" t="n">
        <f aca="false">6*45</f>
        <v>270</v>
      </c>
      <c r="N6" s="1" t="n">
        <v>345</v>
      </c>
    </row>
    <row r="7" customFormat="false" ht="12.75" hidden="false" customHeight="false" outlineLevel="0" collapsed="false">
      <c r="A7" s="1"/>
      <c r="B7" s="1"/>
      <c r="C7" s="1"/>
      <c r="D7" s="1" t="s">
        <v>5</v>
      </c>
      <c r="E7" s="1"/>
      <c r="F7" s="1"/>
      <c r="G7" s="1" t="s">
        <v>6</v>
      </c>
      <c r="H7" s="1"/>
      <c r="I7" s="1"/>
      <c r="J7" s="1"/>
      <c r="K7" s="1" t="s">
        <v>6</v>
      </c>
      <c r="N7" s="1" t="s">
        <v>6</v>
      </c>
    </row>
    <row r="8" customFormat="false" ht="12.75" hidden="false" customHeight="false" outlineLevel="0" collapsed="false">
      <c r="A8" s="1"/>
      <c r="B8" s="1"/>
      <c r="C8" s="1"/>
      <c r="D8" s="2" t="n">
        <v>36633</v>
      </c>
      <c r="E8" s="2"/>
      <c r="F8" s="2"/>
      <c r="G8" s="2" t="n">
        <v>36633</v>
      </c>
      <c r="H8" s="1"/>
      <c r="I8" s="1"/>
      <c r="J8" s="2"/>
      <c r="K8" s="2" t="n">
        <v>36633</v>
      </c>
      <c r="N8" s="2" t="n">
        <v>36648</v>
      </c>
    </row>
    <row r="9" customFormat="false" ht="12.75" hidden="false" customHeight="false" outlineLevel="0" collapsed="false">
      <c r="A9" s="3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N9" s="1"/>
    </row>
    <row r="10" customFormat="false" ht="12.75" hidden="false" customHeight="false" outlineLevel="0" collapsed="false">
      <c r="A10" s="1"/>
      <c r="B10" s="1" t="s">
        <v>8</v>
      </c>
      <c r="C10" s="1"/>
      <c r="D10" s="4" t="n">
        <v>600670</v>
      </c>
      <c r="E10" s="4"/>
      <c r="F10" s="5" t="n">
        <v>1.4</v>
      </c>
      <c r="G10" s="4" t="n">
        <f aca="false">D10*F10</f>
        <v>840938</v>
      </c>
      <c r="H10" s="1"/>
      <c r="I10" s="1"/>
      <c r="J10" s="5" t="n">
        <v>1.2</v>
      </c>
      <c r="K10" s="4" t="n">
        <f aca="false">D10*J10</f>
        <v>720804</v>
      </c>
      <c r="M10" s="5" t="n">
        <v>5</v>
      </c>
      <c r="N10" s="4" t="n">
        <f aca="false">M10*(G10-K10)</f>
        <v>600670</v>
      </c>
    </row>
    <row r="11" customFormat="false" ht="12.75" hidden="false" customHeight="false" outlineLevel="0" collapsed="false">
      <c r="A11" s="1"/>
      <c r="B11" s="1" t="s">
        <v>9</v>
      </c>
      <c r="C11" s="1"/>
      <c r="D11" s="4" t="n">
        <v>789909</v>
      </c>
      <c r="E11" s="4"/>
      <c r="F11" s="5" t="n">
        <v>1.4</v>
      </c>
      <c r="G11" s="4" t="n">
        <f aca="false">D11*F11</f>
        <v>1105872.6</v>
      </c>
      <c r="H11" s="1"/>
      <c r="I11" s="1"/>
      <c r="J11" s="5" t="n">
        <v>1.2</v>
      </c>
      <c r="K11" s="4" t="n">
        <f aca="false">D11*J11</f>
        <v>947890.8</v>
      </c>
      <c r="M11" s="5" t="n">
        <v>5</v>
      </c>
      <c r="N11" s="4" t="n">
        <f aca="false">M11*(G11-K11)</f>
        <v>789909</v>
      </c>
    </row>
    <row r="12" customFormat="false" ht="15" hidden="false" customHeight="false" outlineLevel="0" collapsed="false">
      <c r="A12" s="1"/>
      <c r="B12" s="1" t="s">
        <v>10</v>
      </c>
      <c r="C12" s="1"/>
      <c r="D12" s="6" t="n">
        <v>182297</v>
      </c>
      <c r="E12" s="6"/>
      <c r="F12" s="5" t="n">
        <v>1.4</v>
      </c>
      <c r="G12" s="6" t="n">
        <f aca="false">D12*F12</f>
        <v>255215.8</v>
      </c>
      <c r="H12" s="1"/>
      <c r="I12" s="1"/>
      <c r="J12" s="5" t="n">
        <v>1.2</v>
      </c>
      <c r="K12" s="6" t="n">
        <f aca="false">D12*J12</f>
        <v>218756.4</v>
      </c>
      <c r="M12" s="5" t="n">
        <v>5</v>
      </c>
      <c r="N12" s="6" t="n">
        <f aca="false">M12*(G12-K12)</f>
        <v>182297</v>
      </c>
    </row>
    <row r="13" customFormat="false" ht="12.75" hidden="false" customHeight="false" outlineLevel="0" collapsed="false">
      <c r="A13" s="1"/>
      <c r="B13" s="1" t="s">
        <v>11</v>
      </c>
      <c r="C13" s="1"/>
      <c r="D13" s="4" t="n">
        <f aca="false">SUM(D10:D12)</f>
        <v>1572876</v>
      </c>
      <c r="E13" s="4"/>
      <c r="F13" s="4"/>
      <c r="G13" s="4" t="n">
        <f aca="false">SUM(G10:G12)</f>
        <v>2202026.4</v>
      </c>
      <c r="H13" s="1"/>
      <c r="I13" s="1"/>
      <c r="J13" s="4"/>
      <c r="K13" s="4" t="n">
        <f aca="false">SUM(K10:K12)</f>
        <v>1887451.2</v>
      </c>
      <c r="N13" s="4" t="n">
        <f aca="false">SUM(N10:N12)</f>
        <v>1572876</v>
      </c>
    </row>
    <row r="14" customFormat="false" ht="12.7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N14" s="1"/>
    </row>
    <row r="15" customFormat="false" ht="12.75" hidden="false" customHeight="false" outlineLevel="0" collapsed="false">
      <c r="A15" s="3" t="s"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N15" s="1"/>
    </row>
    <row r="16" customFormat="false" ht="12.75" hidden="false" customHeight="false" outlineLevel="0" collapsed="false">
      <c r="A16" s="1"/>
      <c r="B16" s="1" t="s">
        <v>13</v>
      </c>
      <c r="C16" s="1"/>
      <c r="D16" s="4" t="n">
        <v>529716</v>
      </c>
      <c r="E16" s="4"/>
      <c r="F16" s="5" t="n">
        <v>1.4</v>
      </c>
      <c r="G16" s="4" t="n">
        <f aca="false">D16*F16</f>
        <v>741602.4</v>
      </c>
      <c r="H16" s="1"/>
      <c r="I16" s="1"/>
      <c r="J16" s="5" t="n">
        <v>1.2</v>
      </c>
      <c r="K16" s="4" t="n">
        <f aca="false">D16*J16</f>
        <v>635659.2</v>
      </c>
      <c r="M16" s="5" t="n">
        <v>4</v>
      </c>
      <c r="N16" s="4" t="n">
        <f aca="false">M16*(G16-K16)</f>
        <v>423772.8</v>
      </c>
    </row>
    <row r="17" customFormat="false" ht="12.75" hidden="false" customHeight="false" outlineLevel="0" collapsed="false">
      <c r="A17" s="1"/>
      <c r="B17" s="1" t="s">
        <v>14</v>
      </c>
      <c r="C17" s="1"/>
      <c r="D17" s="4" t="n">
        <v>212087</v>
      </c>
      <c r="E17" s="4"/>
      <c r="F17" s="5" t="n">
        <v>1.4</v>
      </c>
      <c r="G17" s="4" t="n">
        <f aca="false">D17*F17</f>
        <v>296921.8</v>
      </c>
      <c r="H17" s="1"/>
      <c r="I17" s="1"/>
      <c r="J17" s="5" t="n">
        <v>1.2</v>
      </c>
      <c r="K17" s="4" t="n">
        <f aca="false">D17*J17</f>
        <v>254504.4</v>
      </c>
      <c r="M17" s="5" t="n">
        <v>4</v>
      </c>
      <c r="N17" s="4" t="n">
        <f aca="false">M17*(G17-K17)</f>
        <v>169669.6</v>
      </c>
    </row>
    <row r="18" customFormat="false" ht="12.75" hidden="false" customHeight="false" outlineLevel="0" collapsed="false">
      <c r="A18" s="1"/>
      <c r="B18" s="1" t="s">
        <v>15</v>
      </c>
      <c r="C18" s="1"/>
      <c r="D18" s="4" t="n">
        <v>209897</v>
      </c>
      <c r="E18" s="4"/>
      <c r="F18" s="5" t="n">
        <v>1.4</v>
      </c>
      <c r="G18" s="4" t="n">
        <f aca="false">D18*F18</f>
        <v>293855.8</v>
      </c>
      <c r="H18" s="1"/>
      <c r="I18" s="1"/>
      <c r="J18" s="5" t="n">
        <v>1.25</v>
      </c>
      <c r="K18" s="4" t="n">
        <f aca="false">D18*J18</f>
        <v>262371.25</v>
      </c>
      <c r="M18" s="5" t="n">
        <v>4</v>
      </c>
      <c r="N18" s="4" t="n">
        <f aca="false">M18*(G18-K18)</f>
        <v>125938.2</v>
      </c>
    </row>
    <row r="19" customFormat="false" ht="12.75" hidden="false" customHeight="false" outlineLevel="0" collapsed="false">
      <c r="A19" s="1"/>
      <c r="B19" s="1" t="s">
        <v>16</v>
      </c>
      <c r="C19" s="1"/>
      <c r="D19" s="4" t="n">
        <v>662015</v>
      </c>
      <c r="E19" s="4"/>
      <c r="F19" s="5" t="n">
        <v>1.4</v>
      </c>
      <c r="G19" s="4" t="n">
        <f aca="false">D19*F19</f>
        <v>926821</v>
      </c>
      <c r="H19" s="1"/>
      <c r="I19" s="1"/>
      <c r="J19" s="5" t="n">
        <v>1.35</v>
      </c>
      <c r="K19" s="4" t="n">
        <f aca="false">D19*J19</f>
        <v>893720.25</v>
      </c>
      <c r="M19" s="5" t="n">
        <v>20</v>
      </c>
      <c r="N19" s="4" t="n">
        <f aca="false">M19*(G19-K19)</f>
        <v>662014.999999995</v>
      </c>
    </row>
    <row r="20" customFormat="false" ht="12.75" hidden="false" customHeight="false" outlineLevel="0" collapsed="false">
      <c r="A20" s="1"/>
      <c r="B20" s="1" t="s">
        <v>17</v>
      </c>
      <c r="C20" s="1"/>
      <c r="D20" s="4" t="n">
        <v>450000</v>
      </c>
      <c r="E20" s="4"/>
      <c r="F20" s="5" t="n">
        <v>1.4</v>
      </c>
      <c r="G20" s="4" t="n">
        <f aca="false">D20*F20</f>
        <v>630000</v>
      </c>
      <c r="H20" s="1"/>
      <c r="I20" s="1"/>
      <c r="J20" s="5" t="n">
        <v>1.25</v>
      </c>
      <c r="K20" s="4" t="n">
        <f aca="false">D20*J20</f>
        <v>562500</v>
      </c>
      <c r="M20" s="5" t="n">
        <v>7.5</v>
      </c>
      <c r="N20" s="4" t="n">
        <f aca="false">M20*(G20-K20)</f>
        <v>506250</v>
      </c>
    </row>
    <row r="21" customFormat="false" ht="15" hidden="false" customHeight="false" outlineLevel="0" collapsed="false">
      <c r="A21" s="1"/>
      <c r="B21" s="1" t="s">
        <v>18</v>
      </c>
      <c r="C21" s="1"/>
      <c r="D21" s="6" t="n">
        <v>6750</v>
      </c>
      <c r="E21" s="6"/>
      <c r="F21" s="5" t="n">
        <v>1.4</v>
      </c>
      <c r="G21" s="6" t="n">
        <f aca="false">D21*F21</f>
        <v>9450</v>
      </c>
      <c r="H21" s="1"/>
      <c r="I21" s="1"/>
      <c r="J21" s="5" t="n">
        <v>1</v>
      </c>
      <c r="K21" s="6" t="n">
        <f aca="false">D21*J21</f>
        <v>6750</v>
      </c>
      <c r="M21" s="5" t="n">
        <v>2</v>
      </c>
      <c r="N21" s="6" t="n">
        <f aca="false">M21*(G21-K21)</f>
        <v>5400</v>
      </c>
    </row>
    <row r="22" customFormat="false" ht="12.75" hidden="false" customHeight="false" outlineLevel="0" collapsed="false">
      <c r="A22" s="1"/>
      <c r="B22" s="1"/>
      <c r="C22" s="1"/>
      <c r="D22" s="4" t="n">
        <f aca="false">SUM(D16:D21)</f>
        <v>2070465</v>
      </c>
      <c r="E22" s="4"/>
      <c r="F22" s="4"/>
      <c r="G22" s="4" t="n">
        <f aca="false">SUM(G16:G21)</f>
        <v>2898651</v>
      </c>
      <c r="H22" s="1"/>
      <c r="I22" s="1"/>
      <c r="J22" s="4"/>
      <c r="K22" s="4" t="n">
        <f aca="false">SUM(K16:K21)</f>
        <v>2615505.1</v>
      </c>
      <c r="N22" s="4" t="n">
        <f aca="false">SUM(N16:N21)</f>
        <v>1893045.6</v>
      </c>
    </row>
    <row r="23" customFormat="false" ht="12.75" hidden="false" customHeight="false" outlineLevel="0" collapsed="false">
      <c r="A23" s="1"/>
      <c r="B23" s="1"/>
      <c r="C23" s="1"/>
      <c r="D23" s="4"/>
      <c r="E23" s="4"/>
      <c r="F23" s="4"/>
      <c r="G23" s="4"/>
      <c r="H23" s="1"/>
      <c r="I23" s="1"/>
      <c r="J23" s="4"/>
      <c r="K23" s="4"/>
      <c r="N23" s="4"/>
    </row>
    <row r="24" customFormat="false" ht="12.75" hidden="false" customHeight="false" outlineLevel="0" collapsed="false">
      <c r="A24" s="3" t="s">
        <v>19</v>
      </c>
      <c r="B24" s="1"/>
      <c r="C24" s="1"/>
      <c r="D24" s="4"/>
      <c r="E24" s="4"/>
      <c r="F24" s="4"/>
      <c r="G24" s="4"/>
      <c r="H24" s="1"/>
      <c r="I24" s="1"/>
      <c r="J24" s="4"/>
      <c r="K24" s="4"/>
      <c r="N24" s="4"/>
    </row>
    <row r="25" customFormat="false" ht="15" hidden="false" customHeight="false" outlineLevel="0" collapsed="false">
      <c r="A25" s="1"/>
      <c r="B25" s="1" t="s">
        <v>20</v>
      </c>
      <c r="C25" s="1"/>
      <c r="D25" s="6" t="n">
        <v>528328</v>
      </c>
      <c r="E25" s="6"/>
      <c r="F25" s="5" t="n">
        <v>3.25</v>
      </c>
      <c r="G25" s="6" t="n">
        <f aca="false">D25*F25</f>
        <v>1717066</v>
      </c>
      <c r="H25" s="1"/>
      <c r="I25" s="1"/>
      <c r="J25" s="5" t="n">
        <v>1.35</v>
      </c>
      <c r="K25" s="6" t="n">
        <f aca="false">D25*J25</f>
        <v>713242.8</v>
      </c>
      <c r="M25" s="5" t="n">
        <v>1.25</v>
      </c>
      <c r="N25" s="6" t="n">
        <f aca="false">M25*(G25-K25)</f>
        <v>1254779</v>
      </c>
    </row>
    <row r="26" customFormat="false" ht="12.75" hidden="false" customHeight="false" outlineLevel="0" collapsed="false">
      <c r="A26" s="1"/>
      <c r="B26" s="1"/>
      <c r="C26" s="1"/>
      <c r="D26" s="4" t="n">
        <f aca="false">D25</f>
        <v>528328</v>
      </c>
      <c r="E26" s="4"/>
      <c r="F26" s="4"/>
      <c r="G26" s="4" t="n">
        <f aca="false">G25</f>
        <v>1717066</v>
      </c>
      <c r="H26" s="1"/>
      <c r="I26" s="1"/>
      <c r="J26" s="4"/>
      <c r="K26" s="4" t="n">
        <f aca="false">K25</f>
        <v>713242.8</v>
      </c>
      <c r="N26" s="4" t="n">
        <f aca="false">N25</f>
        <v>1254779</v>
      </c>
    </row>
    <row r="27" customFormat="false" ht="12.75" hidden="false" customHeight="false" outlineLevel="0" collapsed="false">
      <c r="A27" s="1"/>
      <c r="B27" s="1"/>
      <c r="C27" s="1"/>
      <c r="D27" s="4"/>
      <c r="E27" s="4"/>
      <c r="F27" s="4"/>
      <c r="G27" s="4"/>
      <c r="H27" s="1"/>
      <c r="I27" s="1"/>
      <c r="J27" s="4"/>
      <c r="K27" s="4"/>
      <c r="N27" s="4"/>
    </row>
    <row r="28" customFormat="false" ht="12.75" hidden="false" customHeight="false" outlineLevel="0" collapsed="false">
      <c r="A28" s="3" t="s">
        <v>21</v>
      </c>
      <c r="B28" s="1"/>
      <c r="C28" s="1"/>
      <c r="D28" s="4"/>
      <c r="E28" s="4"/>
      <c r="F28" s="4"/>
      <c r="G28" s="4"/>
      <c r="H28" s="1"/>
      <c r="I28" s="1"/>
      <c r="J28" s="4"/>
      <c r="K28" s="4"/>
      <c r="N28" s="4"/>
    </row>
    <row r="29" customFormat="false" ht="12.75" hidden="false" customHeight="false" outlineLevel="0" collapsed="false">
      <c r="A29" s="3"/>
      <c r="B29" s="3" t="s">
        <v>22</v>
      </c>
      <c r="C29" s="1"/>
      <c r="D29" s="4"/>
      <c r="E29" s="4"/>
      <c r="F29" s="4"/>
      <c r="G29" s="4"/>
      <c r="H29" s="1"/>
      <c r="I29" s="1"/>
      <c r="J29" s="4"/>
      <c r="K29" s="4"/>
      <c r="N29" s="4"/>
    </row>
    <row r="30" customFormat="false" ht="12.75" hidden="false" customHeight="false" outlineLevel="0" collapsed="false">
      <c r="A30" s="1"/>
      <c r="B30" s="1" t="s">
        <v>23</v>
      </c>
      <c r="C30" s="1"/>
      <c r="D30" s="7" t="n">
        <f aca="false">CTGprice!$I$21</f>
        <v>86040000</v>
      </c>
      <c r="E30" s="7"/>
      <c r="F30" s="5" t="n">
        <v>1.5</v>
      </c>
      <c r="G30" s="4" t="n">
        <f aca="false">D30*F30</f>
        <v>129060000</v>
      </c>
      <c r="H30" s="8"/>
      <c r="I30" s="1" t="s">
        <v>24</v>
      </c>
      <c r="J30" s="5" t="n">
        <v>1.5</v>
      </c>
      <c r="K30" s="4" t="n">
        <f aca="false">D30*J30</f>
        <v>129060000</v>
      </c>
      <c r="M30" s="5" t="n">
        <v>0</v>
      </c>
      <c r="N30" s="4" t="n">
        <f aca="false">M30*(G30-K30)</f>
        <v>0</v>
      </c>
    </row>
    <row r="31" customFormat="false" ht="12.75" hidden="false" customHeight="false" outlineLevel="0" collapsed="false">
      <c r="A31" s="1"/>
      <c r="B31" s="1" t="s">
        <v>25</v>
      </c>
      <c r="C31" s="1"/>
      <c r="D31" s="7" t="n">
        <v>240000</v>
      </c>
      <c r="E31" s="7"/>
      <c r="F31" s="5" t="n">
        <v>2.5</v>
      </c>
      <c r="G31" s="4" t="n">
        <f aca="false">D31*F31</f>
        <v>600000</v>
      </c>
      <c r="H31" s="8"/>
      <c r="I31" s="1" t="s">
        <v>11</v>
      </c>
      <c r="J31" s="5" t="n">
        <v>2.5</v>
      </c>
      <c r="K31" s="4" t="n">
        <f aca="false">D31*J31</f>
        <v>600000</v>
      </c>
      <c r="M31" s="5" t="n">
        <v>0</v>
      </c>
      <c r="N31" s="4" t="n">
        <f aca="false">M31*(G31-K31)</f>
        <v>0</v>
      </c>
    </row>
    <row r="32" customFormat="false" ht="13.5" hidden="false" customHeight="false" outlineLevel="0" collapsed="false">
      <c r="A32" s="1"/>
      <c r="B32" s="1" t="s">
        <v>26</v>
      </c>
      <c r="C32" s="1"/>
      <c r="D32" s="7" t="n">
        <f aca="false">906000+27500</f>
        <v>933500</v>
      </c>
      <c r="E32" s="7"/>
      <c r="F32" s="5" t="n">
        <v>0</v>
      </c>
      <c r="G32" s="4" t="n">
        <f aca="false">D32*F32</f>
        <v>0</v>
      </c>
      <c r="H32" s="8"/>
      <c r="I32" s="1" t="s">
        <v>27</v>
      </c>
      <c r="J32" s="5" t="n">
        <v>0</v>
      </c>
      <c r="K32" s="4" t="n">
        <f aca="false">D32*J32</f>
        <v>0</v>
      </c>
      <c r="M32" s="5" t="n">
        <v>0</v>
      </c>
      <c r="N32" s="4" t="n">
        <f aca="false">M32*(G32-K32)</f>
        <v>0</v>
      </c>
    </row>
    <row r="33" customFormat="false" ht="13.5" hidden="false" customHeight="false" outlineLevel="0" collapsed="false">
      <c r="A33" s="1"/>
      <c r="B33" s="1" t="s">
        <v>28</v>
      </c>
      <c r="C33" s="1"/>
      <c r="D33" s="7" t="n">
        <v>0</v>
      </c>
      <c r="E33" s="7"/>
      <c r="F33" s="5" t="n">
        <v>0</v>
      </c>
      <c r="G33" s="9" t="n">
        <f aca="false">CTGprice!$D$15*G5</f>
        <v>1680000</v>
      </c>
      <c r="H33" s="8"/>
      <c r="I33" s="1" t="s">
        <v>11</v>
      </c>
      <c r="J33" s="5" t="n">
        <v>0</v>
      </c>
      <c r="K33" s="9" t="n">
        <f aca="false">CTGprice!$D$15*K5</f>
        <v>1680000</v>
      </c>
      <c r="M33" s="5" t="n">
        <v>0</v>
      </c>
      <c r="N33" s="4" t="n">
        <f aca="false">M33*(G33-K33)</f>
        <v>0</v>
      </c>
    </row>
    <row r="34" customFormat="false" ht="13.5" hidden="false" customHeight="false" outlineLevel="0" collapsed="false">
      <c r="A34" s="1"/>
      <c r="B34" s="1" t="s">
        <v>29</v>
      </c>
      <c r="C34" s="1"/>
      <c r="D34" s="7" t="n">
        <v>0</v>
      </c>
      <c r="E34" s="7"/>
      <c r="F34" s="5" t="n">
        <v>0</v>
      </c>
      <c r="G34" s="9" t="n">
        <f aca="false">2800000*G5</f>
        <v>16800000</v>
      </c>
      <c r="H34" s="8"/>
      <c r="I34" s="1"/>
      <c r="J34" s="5" t="n">
        <v>0</v>
      </c>
      <c r="K34" s="4" t="n">
        <f aca="false">D34*J34</f>
        <v>0</v>
      </c>
      <c r="M34" s="5" t="n">
        <v>1.1</v>
      </c>
      <c r="N34" s="4" t="n">
        <f aca="false">M34*(G34-K34)</f>
        <v>18480000</v>
      </c>
    </row>
    <row r="35" customFormat="false" ht="15.75" hidden="false" customHeight="false" outlineLevel="0" collapsed="false">
      <c r="A35" s="1"/>
      <c r="B35" s="1" t="s">
        <v>30</v>
      </c>
      <c r="C35" s="1"/>
      <c r="D35" s="6" t="n">
        <v>0</v>
      </c>
      <c r="E35" s="6"/>
      <c r="F35" s="5" t="n">
        <v>0</v>
      </c>
      <c r="G35" s="10" t="n">
        <v>8000000</v>
      </c>
      <c r="H35" s="8"/>
      <c r="I35" s="1"/>
      <c r="J35" s="5" t="n">
        <v>0</v>
      </c>
      <c r="K35" s="6" t="n">
        <f aca="false">D35*J35</f>
        <v>0</v>
      </c>
      <c r="M35" s="5" t="n">
        <v>1.1</v>
      </c>
      <c r="N35" s="6" t="n">
        <f aca="false">M35*(G35-K35)</f>
        <v>8800000</v>
      </c>
    </row>
    <row r="36" customFormat="false" ht="12.75" hidden="false" customHeight="false" outlineLevel="0" collapsed="false">
      <c r="A36" s="1"/>
      <c r="B36" s="1"/>
      <c r="C36" s="1"/>
      <c r="D36" s="4" t="n">
        <f aca="false">SUM(D30:D35)</f>
        <v>87213500</v>
      </c>
      <c r="E36" s="4"/>
      <c r="F36" s="4"/>
      <c r="G36" s="4" t="n">
        <f aca="false">SUM(G30:G35)</f>
        <v>156140000</v>
      </c>
      <c r="H36" s="1"/>
      <c r="I36" s="1"/>
      <c r="J36" s="4"/>
      <c r="K36" s="4" t="n">
        <f aca="false">SUM(K30:K35)</f>
        <v>131340000</v>
      </c>
      <c r="N36" s="4" t="n">
        <f aca="false">SUM(N30:N35)</f>
        <v>27280000</v>
      </c>
    </row>
    <row r="37" customFormat="false" ht="12.75" hidden="false" customHeight="false" outlineLevel="0" collapsed="false">
      <c r="A37" s="1"/>
      <c r="B37" s="1"/>
      <c r="C37" s="1"/>
      <c r="D37" s="4"/>
      <c r="E37" s="4"/>
      <c r="F37" s="4"/>
      <c r="G37" s="4"/>
      <c r="H37" s="1"/>
      <c r="I37" s="1"/>
      <c r="J37" s="4"/>
      <c r="K37" s="4"/>
      <c r="N37" s="4"/>
    </row>
    <row r="38" customFormat="false" ht="12.75" hidden="false" customHeight="false" outlineLevel="0" collapsed="false">
      <c r="A38" s="1"/>
      <c r="B38" s="3" t="s">
        <v>31</v>
      </c>
      <c r="C38" s="1"/>
      <c r="D38" s="4"/>
      <c r="E38" s="4"/>
      <c r="F38" s="4"/>
      <c r="G38" s="4"/>
      <c r="H38" s="1"/>
      <c r="I38" s="1"/>
      <c r="J38" s="4"/>
      <c r="K38" s="4"/>
      <c r="N38" s="4"/>
    </row>
    <row r="39" customFormat="false" ht="12.75" hidden="false" customHeight="false" outlineLevel="0" collapsed="false">
      <c r="A39" s="1"/>
      <c r="B39" s="1" t="s">
        <v>32</v>
      </c>
      <c r="C39" s="1"/>
      <c r="D39" s="4" t="n">
        <v>262500</v>
      </c>
      <c r="E39" s="4"/>
      <c r="F39" s="5" t="n">
        <v>3</v>
      </c>
      <c r="G39" s="4" t="n">
        <f aca="false">D39*F39</f>
        <v>787500</v>
      </c>
      <c r="H39" s="1"/>
      <c r="I39" s="1"/>
      <c r="J39" s="5" t="n">
        <v>1.5</v>
      </c>
      <c r="K39" s="4" t="n">
        <f aca="false">D39*J39</f>
        <v>393750</v>
      </c>
      <c r="M39" s="5" t="n">
        <v>1.25</v>
      </c>
      <c r="N39" s="4" t="n">
        <f aca="false">M39*(G39-K39)</f>
        <v>492187.5</v>
      </c>
    </row>
    <row r="40" customFormat="false" ht="12.75" hidden="false" customHeight="false" outlineLevel="0" collapsed="false">
      <c r="A40" s="1"/>
      <c r="B40" s="1" t="s">
        <v>33</v>
      </c>
      <c r="C40" s="1"/>
      <c r="D40" s="4" t="n">
        <v>284762</v>
      </c>
      <c r="E40" s="4"/>
      <c r="F40" s="5" t="n">
        <v>3</v>
      </c>
      <c r="G40" s="4" t="n">
        <f aca="false">D40*F40</f>
        <v>854286</v>
      </c>
      <c r="H40" s="1"/>
      <c r="I40" s="1"/>
      <c r="J40" s="5" t="n">
        <v>1.35</v>
      </c>
      <c r="K40" s="4" t="n">
        <f aca="false">D40*J40</f>
        <v>384428.7</v>
      </c>
      <c r="M40" s="5" t="n">
        <v>1.25</v>
      </c>
      <c r="N40" s="4" t="n">
        <f aca="false">M40*(G40-K40)</f>
        <v>587321.625</v>
      </c>
    </row>
    <row r="41" customFormat="false" ht="12.75" hidden="false" customHeight="false" outlineLevel="0" collapsed="false">
      <c r="A41" s="1"/>
      <c r="B41" s="1" t="s">
        <v>34</v>
      </c>
      <c r="C41" s="1"/>
      <c r="D41" s="4" t="n">
        <v>150000</v>
      </c>
      <c r="E41" s="4"/>
      <c r="F41" s="5" t="n">
        <v>3</v>
      </c>
      <c r="G41" s="4" t="n">
        <f aca="false">D41*F41</f>
        <v>450000</v>
      </c>
      <c r="H41" s="1"/>
      <c r="I41" s="1"/>
      <c r="J41" s="5" t="n">
        <v>1.5</v>
      </c>
      <c r="K41" s="4" t="n">
        <f aca="false">D41*J41</f>
        <v>225000</v>
      </c>
      <c r="M41" s="5" t="n">
        <v>0.75</v>
      </c>
      <c r="N41" s="4" t="n">
        <f aca="false">M41*(G41-K41)</f>
        <v>168750</v>
      </c>
    </row>
    <row r="42" customFormat="false" ht="12.75" hidden="false" customHeight="false" outlineLevel="0" collapsed="false">
      <c r="A42" s="1"/>
      <c r="B42" s="1" t="s">
        <v>35</v>
      </c>
      <c r="C42" s="1"/>
      <c r="D42" s="4" t="n">
        <v>12440</v>
      </c>
      <c r="E42" s="4"/>
      <c r="F42" s="5" t="n">
        <v>2</v>
      </c>
      <c r="G42" s="4" t="n">
        <f aca="false">D42*F42</f>
        <v>24880</v>
      </c>
      <c r="H42" s="1"/>
      <c r="I42" s="1"/>
      <c r="J42" s="5" t="n">
        <v>1.35</v>
      </c>
      <c r="K42" s="4" t="n">
        <f aca="false">D42*J42</f>
        <v>16794</v>
      </c>
      <c r="M42" s="5" t="n">
        <v>1.25</v>
      </c>
      <c r="N42" s="4" t="n">
        <f aca="false">M42*(G42-K42)</f>
        <v>10107.5</v>
      </c>
    </row>
    <row r="43" customFormat="false" ht="12.75" hidden="false" customHeight="false" outlineLevel="0" collapsed="false">
      <c r="A43" s="1"/>
      <c r="B43" s="1" t="s">
        <v>36</v>
      </c>
      <c r="C43" s="1"/>
      <c r="D43" s="4" t="n">
        <f aca="false">2*718000</f>
        <v>1436000</v>
      </c>
      <c r="E43" s="4"/>
      <c r="F43" s="5" t="n">
        <v>2</v>
      </c>
      <c r="G43" s="4" t="n">
        <f aca="false">D43*F43</f>
        <v>2872000</v>
      </c>
      <c r="H43" s="1"/>
      <c r="I43" s="1" t="s">
        <v>11</v>
      </c>
      <c r="J43" s="5" t="n">
        <v>1.5</v>
      </c>
      <c r="K43" s="4" t="n">
        <f aca="false">D43*J43</f>
        <v>2154000</v>
      </c>
      <c r="M43" s="5" t="n">
        <v>1.1</v>
      </c>
      <c r="N43" s="4" t="n">
        <f aca="false">M43*(G43-K43)</f>
        <v>789800</v>
      </c>
    </row>
    <row r="44" customFormat="false" ht="12.75" hidden="false" customHeight="false" outlineLevel="0" collapsed="false">
      <c r="A44" s="1"/>
      <c r="B44" s="1" t="s">
        <v>37</v>
      </c>
      <c r="C44" s="1"/>
      <c r="D44" s="4" t="n">
        <v>580022</v>
      </c>
      <c r="E44" s="4"/>
      <c r="F44" s="5" t="n">
        <v>2</v>
      </c>
      <c r="G44" s="4" t="n">
        <f aca="false">D44*F44</f>
        <v>1160044</v>
      </c>
      <c r="H44" s="1"/>
      <c r="I44" s="1" t="s">
        <v>11</v>
      </c>
      <c r="J44" s="5" t="n">
        <v>1.45</v>
      </c>
      <c r="K44" s="4" t="n">
        <f aca="false">D44*J44</f>
        <v>841031.9</v>
      </c>
      <c r="M44" s="5" t="n">
        <v>1.25</v>
      </c>
      <c r="N44" s="4" t="n">
        <f aca="false">M44*(G44-K44)</f>
        <v>398765.125</v>
      </c>
    </row>
    <row r="45" customFormat="false" ht="12.75" hidden="false" customHeight="false" outlineLevel="0" collapsed="false">
      <c r="A45" s="1"/>
      <c r="B45" s="1" t="s">
        <v>38</v>
      </c>
      <c r="C45" s="1"/>
      <c r="D45" s="4" t="n">
        <v>70253</v>
      </c>
      <c r="E45" s="4"/>
      <c r="F45" s="5" t="n">
        <v>2</v>
      </c>
      <c r="G45" s="4" t="n">
        <f aca="false">D45*F45</f>
        <v>140506</v>
      </c>
      <c r="H45" s="1"/>
      <c r="I45" s="1"/>
      <c r="J45" s="5" t="n">
        <v>1.35</v>
      </c>
      <c r="K45" s="4" t="n">
        <f aca="false">D45*J45</f>
        <v>94841.55</v>
      </c>
      <c r="M45" s="5" t="n">
        <v>1.25</v>
      </c>
      <c r="N45" s="4" t="n">
        <f aca="false">M45*(G45-K45)</f>
        <v>57080.5625</v>
      </c>
    </row>
    <row r="46" customFormat="false" ht="12.75" hidden="false" customHeight="false" outlineLevel="0" collapsed="false">
      <c r="A46" s="1"/>
      <c r="B46" s="1" t="s">
        <v>39</v>
      </c>
      <c r="C46" s="1"/>
      <c r="D46" s="4" t="n">
        <v>69753</v>
      </c>
      <c r="E46" s="4"/>
      <c r="F46" s="5" t="n">
        <v>2</v>
      </c>
      <c r="G46" s="4" t="n">
        <f aca="false">D46*F46</f>
        <v>139506</v>
      </c>
      <c r="H46" s="1"/>
      <c r="I46" s="1"/>
      <c r="J46" s="5" t="n">
        <v>1.35</v>
      </c>
      <c r="K46" s="4" t="n">
        <f aca="false">D46*J46</f>
        <v>94166.55</v>
      </c>
      <c r="M46" s="5" t="n">
        <v>1.25</v>
      </c>
      <c r="N46" s="4" t="n">
        <f aca="false">M46*(G46-K46)</f>
        <v>56674.3125</v>
      </c>
    </row>
    <row r="47" customFormat="false" ht="12.75" hidden="false" customHeight="false" outlineLevel="0" collapsed="false">
      <c r="A47" s="1"/>
      <c r="B47" s="1" t="s">
        <v>40</v>
      </c>
      <c r="C47" s="1"/>
      <c r="D47" s="4" t="n">
        <v>123756</v>
      </c>
      <c r="E47" s="4"/>
      <c r="F47" s="5" t="n">
        <v>1.8</v>
      </c>
      <c r="G47" s="4" t="n">
        <f aca="false">D47*F47</f>
        <v>222760.8</v>
      </c>
      <c r="H47" s="1"/>
      <c r="I47" s="1"/>
      <c r="J47" s="5" t="n">
        <v>1.5</v>
      </c>
      <c r="K47" s="4" t="n">
        <f aca="false">D47*J47</f>
        <v>185634</v>
      </c>
      <c r="M47" s="5" t="n">
        <v>1.25</v>
      </c>
      <c r="N47" s="4" t="n">
        <f aca="false">M47*(G47-K47)</f>
        <v>46408.5</v>
      </c>
    </row>
    <row r="48" customFormat="false" ht="12.75" hidden="false" customHeight="false" outlineLevel="0" collapsed="false">
      <c r="A48" s="1"/>
      <c r="B48" s="1" t="s">
        <v>41</v>
      </c>
      <c r="C48" s="1"/>
      <c r="D48" s="4" t="n">
        <v>840032</v>
      </c>
      <c r="E48" s="4"/>
      <c r="F48" s="5" t="n">
        <v>1.8</v>
      </c>
      <c r="G48" s="4" t="n">
        <f aca="false">D48*F48</f>
        <v>1512057.6</v>
      </c>
      <c r="H48" s="1"/>
      <c r="I48" s="1" t="s">
        <v>11</v>
      </c>
      <c r="J48" s="5" t="n">
        <v>1.5</v>
      </c>
      <c r="K48" s="4" t="n">
        <f aca="false">D48*J48</f>
        <v>1260048</v>
      </c>
      <c r="M48" s="5" t="n">
        <v>1.15</v>
      </c>
      <c r="N48" s="4" t="n">
        <f aca="false">M48*(G48-K48)</f>
        <v>289811.04</v>
      </c>
    </row>
    <row r="49" customFormat="false" ht="12.75" hidden="false" customHeight="false" outlineLevel="0" collapsed="false">
      <c r="A49" s="1"/>
      <c r="B49" s="1" t="s">
        <v>42</v>
      </c>
      <c r="C49" s="1"/>
      <c r="D49" s="4" t="n">
        <v>233300</v>
      </c>
      <c r="E49" s="4"/>
      <c r="F49" s="5" t="n">
        <v>2</v>
      </c>
      <c r="G49" s="4" t="n">
        <f aca="false">D49*F49</f>
        <v>466600</v>
      </c>
      <c r="H49" s="1"/>
      <c r="I49" s="1"/>
      <c r="J49" s="5" t="n">
        <v>1.4</v>
      </c>
      <c r="K49" s="4" t="n">
        <f aca="false">D49*J49</f>
        <v>326620</v>
      </c>
      <c r="M49" s="5" t="n">
        <v>1.25</v>
      </c>
      <c r="N49" s="4" t="n">
        <f aca="false">M49*(G49-K49)</f>
        <v>174975</v>
      </c>
    </row>
    <row r="50" customFormat="false" ht="12.75" hidden="false" customHeight="false" outlineLevel="0" collapsed="false">
      <c r="A50" s="1"/>
      <c r="B50" s="1" t="s">
        <v>43</v>
      </c>
      <c r="C50" s="1"/>
      <c r="D50" s="4" t="n">
        <v>33032</v>
      </c>
      <c r="E50" s="4"/>
      <c r="F50" s="5" t="n">
        <v>2</v>
      </c>
      <c r="G50" s="4" t="n">
        <f aca="false">D50*F50</f>
        <v>66064</v>
      </c>
      <c r="H50" s="1"/>
      <c r="I50" s="1" t="s">
        <v>11</v>
      </c>
      <c r="J50" s="5" t="n">
        <v>1.4</v>
      </c>
      <c r="K50" s="4" t="n">
        <f aca="false">D50*J50</f>
        <v>46244.8</v>
      </c>
      <c r="M50" s="5" t="n">
        <v>1.15</v>
      </c>
      <c r="N50" s="4" t="n">
        <f aca="false">M50*(G50-K50)</f>
        <v>22792.08</v>
      </c>
    </row>
    <row r="51" customFormat="false" ht="12.75" hidden="false" customHeight="false" outlineLevel="0" collapsed="false">
      <c r="A51" s="1"/>
      <c r="B51" s="1" t="s">
        <v>44</v>
      </c>
      <c r="C51" s="1"/>
      <c r="D51" s="4" t="n">
        <v>203700</v>
      </c>
      <c r="E51" s="4"/>
      <c r="F51" s="5" t="n">
        <v>3.25</v>
      </c>
      <c r="G51" s="4" t="n">
        <f aca="false">D51*F51</f>
        <v>662025</v>
      </c>
      <c r="H51" s="1"/>
      <c r="I51" s="1"/>
      <c r="J51" s="5" t="n">
        <v>1.5</v>
      </c>
      <c r="K51" s="4" t="n">
        <f aca="false">D51*J51</f>
        <v>305550</v>
      </c>
      <c r="M51" s="5" t="n">
        <v>1.15</v>
      </c>
      <c r="N51" s="4" t="n">
        <f aca="false">M51*(G51-K51)</f>
        <v>409946.25</v>
      </c>
    </row>
    <row r="52" customFormat="false" ht="12.75" hidden="false" customHeight="false" outlineLevel="0" collapsed="false">
      <c r="A52" s="1"/>
      <c r="B52" s="1" t="s">
        <v>45</v>
      </c>
      <c r="C52" s="1"/>
      <c r="D52" s="4" t="n">
        <v>20779</v>
      </c>
      <c r="E52" s="4"/>
      <c r="F52" s="5" t="n">
        <v>3</v>
      </c>
      <c r="G52" s="4" t="n">
        <f aca="false">D52*F52</f>
        <v>62337</v>
      </c>
      <c r="H52" s="1"/>
      <c r="I52" s="1"/>
      <c r="J52" s="5" t="n">
        <v>1.25</v>
      </c>
      <c r="K52" s="4" t="n">
        <f aca="false">D52*J52</f>
        <v>25973.75</v>
      </c>
      <c r="M52" s="5" t="n">
        <v>1.1</v>
      </c>
      <c r="N52" s="4" t="n">
        <f aca="false">M52*(G52-K52)</f>
        <v>39999.575</v>
      </c>
    </row>
    <row r="53" customFormat="false" ht="12.75" hidden="false" customHeight="false" outlineLevel="0" collapsed="false">
      <c r="A53" s="1"/>
      <c r="B53" s="1" t="s">
        <v>46</v>
      </c>
      <c r="C53" s="1"/>
      <c r="D53" s="4" t="n">
        <v>73293</v>
      </c>
      <c r="E53" s="4"/>
      <c r="F53" s="5" t="n">
        <v>2.75</v>
      </c>
      <c r="G53" s="4" t="n">
        <f aca="false">D53*F53</f>
        <v>201555.75</v>
      </c>
      <c r="H53" s="1"/>
      <c r="I53" s="1" t="s">
        <v>11</v>
      </c>
      <c r="J53" s="5" t="n">
        <v>1.5</v>
      </c>
      <c r="K53" s="4" t="n">
        <f aca="false">D53*J53</f>
        <v>109939.5</v>
      </c>
      <c r="M53" s="5" t="n">
        <v>1.25</v>
      </c>
      <c r="N53" s="4" t="n">
        <f aca="false">M53*(G53-K53)</f>
        <v>114520.3125</v>
      </c>
    </row>
    <row r="54" customFormat="false" ht="12.75" hidden="false" customHeight="false" outlineLevel="0" collapsed="false">
      <c r="A54" s="1"/>
      <c r="B54" s="1" t="s">
        <v>47</v>
      </c>
      <c r="C54" s="1"/>
      <c r="D54" s="4" t="n">
        <v>461600</v>
      </c>
      <c r="E54" s="4"/>
      <c r="F54" s="5" t="n">
        <v>0</v>
      </c>
      <c r="G54" s="4" t="n">
        <f aca="false">D54*F54</f>
        <v>0</v>
      </c>
      <c r="H54" s="1"/>
      <c r="I54" s="1" t="s">
        <v>11</v>
      </c>
      <c r="J54" s="5" t="n">
        <v>0</v>
      </c>
      <c r="K54" s="4" t="n">
        <f aca="false">D54*J54</f>
        <v>0</v>
      </c>
      <c r="M54" s="5" t="n">
        <v>1</v>
      </c>
      <c r="N54" s="4" t="n">
        <f aca="false">M54*(G54-K54)</f>
        <v>0</v>
      </c>
    </row>
    <row r="55" customFormat="false" ht="12.75" hidden="false" customHeight="false" outlineLevel="0" collapsed="false">
      <c r="A55" s="1"/>
      <c r="B55" s="1" t="s">
        <v>48</v>
      </c>
      <c r="C55" s="1"/>
      <c r="D55" s="4" t="n">
        <v>47500</v>
      </c>
      <c r="E55" s="4"/>
      <c r="F55" s="5" t="n">
        <v>9</v>
      </c>
      <c r="G55" s="4" t="n">
        <f aca="false">D55*F55</f>
        <v>427500</v>
      </c>
      <c r="H55" s="1"/>
      <c r="I55" s="1"/>
      <c r="J55" s="5" t="n">
        <v>1.45</v>
      </c>
      <c r="K55" s="4" t="n">
        <f aca="false">D55*J55</f>
        <v>68875</v>
      </c>
      <c r="M55" s="5" t="n">
        <v>1.1</v>
      </c>
      <c r="N55" s="4" t="n">
        <f aca="false">M55*(G55-K55)</f>
        <v>394487.5</v>
      </c>
    </row>
    <row r="56" customFormat="false" ht="13.5" hidden="false" customHeight="false" outlineLevel="0" collapsed="false">
      <c r="A56" s="1"/>
      <c r="B56" s="1" t="s">
        <v>49</v>
      </c>
      <c r="C56" s="1"/>
      <c r="D56" s="4" t="n">
        <v>201233</v>
      </c>
      <c r="E56" s="4"/>
      <c r="F56" s="5" t="n">
        <v>7.5</v>
      </c>
      <c r="G56" s="4" t="n">
        <f aca="false">D56*F56</f>
        <v>1509247.5</v>
      </c>
      <c r="H56" s="1"/>
      <c r="I56" s="1"/>
      <c r="J56" s="5" t="n">
        <v>1.35</v>
      </c>
      <c r="K56" s="4" t="n">
        <f aca="false">D56*J56</f>
        <v>271664.55</v>
      </c>
      <c r="M56" s="5" t="n">
        <v>1.1</v>
      </c>
      <c r="N56" s="4" t="n">
        <f aca="false">M56*(G56-K56)</f>
        <v>1361341.245</v>
      </c>
    </row>
    <row r="57" customFormat="false" ht="13.5" hidden="false" customHeight="false" outlineLevel="0" collapsed="false">
      <c r="A57" s="1"/>
      <c r="B57" s="1" t="s">
        <v>50</v>
      </c>
      <c r="C57" s="1"/>
      <c r="D57" s="4" t="n">
        <v>634000</v>
      </c>
      <c r="E57" s="4"/>
      <c r="F57" s="5" t="n">
        <v>3.25</v>
      </c>
      <c r="G57" s="9" t="n">
        <v>1000000</v>
      </c>
      <c r="H57" s="1"/>
      <c r="I57" s="1"/>
      <c r="J57" s="5" t="n">
        <v>0</v>
      </c>
      <c r="K57" s="9" t="n">
        <f aca="false">D57*J57</f>
        <v>0</v>
      </c>
      <c r="L57" s="0" t="s">
        <v>51</v>
      </c>
      <c r="M57" s="5" t="n">
        <v>1.05</v>
      </c>
      <c r="N57" s="4" t="n">
        <f aca="false">M57*(G57-K57)</f>
        <v>1050000</v>
      </c>
    </row>
    <row r="58" customFormat="false" ht="12.75" hidden="false" customHeight="false" outlineLevel="0" collapsed="false">
      <c r="A58" s="1"/>
      <c r="B58" s="1" t="s">
        <v>52</v>
      </c>
      <c r="C58" s="1"/>
      <c r="D58" s="4" t="n">
        <v>260400</v>
      </c>
      <c r="E58" s="4"/>
      <c r="F58" s="5" t="n">
        <v>0</v>
      </c>
      <c r="G58" s="4" t="n">
        <f aca="false">D58*F58</f>
        <v>0</v>
      </c>
      <c r="H58" s="1"/>
      <c r="I58" s="1"/>
      <c r="J58" s="5" t="n">
        <v>0</v>
      </c>
      <c r="K58" s="4" t="n">
        <f aca="false">D58*J58</f>
        <v>0</v>
      </c>
      <c r="M58" s="5" t="n">
        <v>0</v>
      </c>
      <c r="N58" s="4" t="n">
        <f aca="false">M58*(G58-K58)</f>
        <v>0</v>
      </c>
    </row>
    <row r="59" customFormat="false" ht="12.75" hidden="false" customHeight="false" outlineLevel="0" collapsed="false">
      <c r="A59" s="1"/>
      <c r="B59" s="1" t="s">
        <v>53</v>
      </c>
      <c r="C59" s="1"/>
      <c r="D59" s="4" t="n">
        <v>5092500</v>
      </c>
      <c r="E59" s="4"/>
      <c r="F59" s="5" t="n">
        <v>0</v>
      </c>
      <c r="G59" s="4" t="n">
        <f aca="false">D59*F59</f>
        <v>0</v>
      </c>
      <c r="H59" s="1"/>
      <c r="I59" s="1" t="s">
        <v>11</v>
      </c>
      <c r="J59" s="5" t="n">
        <v>0</v>
      </c>
      <c r="K59" s="4" t="n">
        <f aca="false">D59*J59</f>
        <v>0</v>
      </c>
      <c r="M59" s="5" t="n">
        <v>0</v>
      </c>
      <c r="N59" s="4" t="n">
        <f aca="false">M59*(G59-K59)</f>
        <v>0</v>
      </c>
    </row>
    <row r="60" customFormat="false" ht="12.75" hidden="false" customHeight="false" outlineLevel="0" collapsed="false">
      <c r="A60" s="1"/>
      <c r="B60" s="1" t="s">
        <v>54</v>
      </c>
      <c r="C60" s="1"/>
      <c r="D60" s="4" t="n">
        <v>530000</v>
      </c>
      <c r="E60" s="4"/>
      <c r="F60" s="5" t="n">
        <v>4</v>
      </c>
      <c r="G60" s="4" t="n">
        <f aca="false">D60*F60</f>
        <v>2120000</v>
      </c>
      <c r="H60" s="1"/>
      <c r="I60" s="1" t="s">
        <v>11</v>
      </c>
      <c r="J60" s="5" t="n">
        <v>4</v>
      </c>
      <c r="K60" s="4" t="n">
        <f aca="false">D60*J60</f>
        <v>2120000</v>
      </c>
      <c r="M60" s="5" t="n">
        <v>0</v>
      </c>
      <c r="N60" s="4" t="n">
        <f aca="false">M60*(G60-K60)</f>
        <v>0</v>
      </c>
    </row>
    <row r="61" customFormat="false" ht="13.5" hidden="false" customHeight="false" outlineLevel="0" collapsed="false">
      <c r="A61" s="1"/>
      <c r="B61" s="1" t="s">
        <v>55</v>
      </c>
      <c r="C61" s="1"/>
      <c r="D61" s="4" t="n">
        <v>84000</v>
      </c>
      <c r="E61" s="4"/>
      <c r="F61" s="5" t="n">
        <v>2</v>
      </c>
      <c r="G61" s="4" t="n">
        <f aca="false">D61*F61</f>
        <v>168000</v>
      </c>
      <c r="H61" s="1"/>
      <c r="I61" s="1"/>
      <c r="J61" s="5" t="n">
        <v>2</v>
      </c>
      <c r="K61" s="4" t="n">
        <f aca="false">D61*J61</f>
        <v>168000</v>
      </c>
      <c r="M61" s="5" t="n">
        <v>0</v>
      </c>
      <c r="N61" s="4" t="n">
        <f aca="false">M61*(G61-K61)</f>
        <v>0</v>
      </c>
    </row>
    <row r="62" customFormat="false" ht="13.5" hidden="false" customHeight="false" outlineLevel="0" collapsed="false">
      <c r="A62" s="1"/>
      <c r="B62" s="1" t="s">
        <v>56</v>
      </c>
      <c r="C62" s="1"/>
      <c r="D62" s="4" t="n">
        <v>3714000</v>
      </c>
      <c r="E62" s="4"/>
      <c r="F62" s="5" t="n">
        <v>1.5</v>
      </c>
      <c r="G62" s="9" t="n">
        <f aca="false">K62</f>
        <v>4600000</v>
      </c>
      <c r="H62" s="1"/>
      <c r="I62" s="1" t="s">
        <v>11</v>
      </c>
      <c r="J62" s="5" t="n">
        <v>1.5</v>
      </c>
      <c r="K62" s="9" t="n">
        <f aca="false">5*920000</f>
        <v>4600000</v>
      </c>
      <c r="L62" s="0" t="s">
        <v>57</v>
      </c>
      <c r="M62" s="5" t="n">
        <v>0</v>
      </c>
      <c r="N62" s="4" t="n">
        <f aca="false">M62*(G62-K62)</f>
        <v>0</v>
      </c>
    </row>
    <row r="63" customFormat="false" ht="12.75" hidden="false" customHeight="false" outlineLevel="0" collapsed="false">
      <c r="A63" s="1"/>
      <c r="B63" s="1" t="s">
        <v>58</v>
      </c>
      <c r="C63" s="1"/>
      <c r="D63" s="4" t="n">
        <v>313200</v>
      </c>
      <c r="E63" s="4"/>
      <c r="F63" s="5" t="n">
        <v>2</v>
      </c>
      <c r="G63" s="4" t="n">
        <f aca="false">D63*F63</f>
        <v>626400</v>
      </c>
      <c r="H63" s="1"/>
      <c r="I63" s="1" t="s">
        <v>11</v>
      </c>
      <c r="J63" s="5" t="n">
        <v>1.75</v>
      </c>
      <c r="K63" s="4" t="n">
        <f aca="false">D63*J63</f>
        <v>548100</v>
      </c>
      <c r="M63" s="5" t="n">
        <v>1.25</v>
      </c>
      <c r="N63" s="4" t="n">
        <f aca="false">M63*(G63-K63)</f>
        <v>97875</v>
      </c>
    </row>
    <row r="64" customFormat="false" ht="12.75" hidden="false" customHeight="false" outlineLevel="0" collapsed="false">
      <c r="A64" s="1"/>
      <c r="B64" s="1" t="s">
        <v>59</v>
      </c>
      <c r="C64" s="1"/>
      <c r="D64" s="4" t="n">
        <v>36600</v>
      </c>
      <c r="E64" s="4"/>
      <c r="F64" s="5" t="n">
        <v>2.25</v>
      </c>
      <c r="G64" s="4" t="n">
        <f aca="false">D64*F64</f>
        <v>82350</v>
      </c>
      <c r="H64" s="1"/>
      <c r="I64" s="1"/>
      <c r="J64" s="5" t="n">
        <v>2.25</v>
      </c>
      <c r="K64" s="4" t="n">
        <f aca="false">D64*J64</f>
        <v>82350</v>
      </c>
      <c r="M64" s="5" t="n">
        <v>0</v>
      </c>
      <c r="N64" s="4" t="n">
        <f aca="false">M64*(G64-K64)</f>
        <v>0</v>
      </c>
    </row>
    <row r="65" customFormat="false" ht="13.5" hidden="false" customHeight="false" outlineLevel="0" collapsed="false">
      <c r="A65" s="1"/>
      <c r="B65" s="1" t="s">
        <v>60</v>
      </c>
      <c r="C65" s="1"/>
      <c r="D65" s="4" t="n">
        <v>182375</v>
      </c>
      <c r="E65" s="4"/>
      <c r="F65" s="5" t="n">
        <v>3</v>
      </c>
      <c r="G65" s="4" t="n">
        <f aca="false">D65*F65</f>
        <v>547125</v>
      </c>
      <c r="H65" s="1"/>
      <c r="I65" s="1" t="s">
        <v>11</v>
      </c>
      <c r="J65" s="5" t="n">
        <v>2</v>
      </c>
      <c r="K65" s="4" t="n">
        <f aca="false">D65*J65</f>
        <v>364750</v>
      </c>
      <c r="M65" s="5" t="n">
        <v>1.25</v>
      </c>
      <c r="N65" s="4" t="n">
        <f aca="false">M65*(G65-K65)</f>
        <v>227968.75</v>
      </c>
    </row>
    <row r="66" customFormat="false" ht="13.5" hidden="false" customHeight="false" outlineLevel="0" collapsed="false">
      <c r="A66" s="1"/>
      <c r="B66" s="1" t="s">
        <v>61</v>
      </c>
      <c r="C66" s="1"/>
      <c r="D66" s="4" t="n">
        <v>0</v>
      </c>
      <c r="E66" s="4"/>
      <c r="F66" s="5" t="n">
        <v>0</v>
      </c>
      <c r="G66" s="9" t="n">
        <v>2250000</v>
      </c>
      <c r="H66" s="1"/>
      <c r="I66" s="1"/>
      <c r="J66" s="5" t="n">
        <v>0</v>
      </c>
      <c r="K66" s="9" t="n">
        <v>2250000</v>
      </c>
      <c r="M66" s="5" t="n">
        <v>0</v>
      </c>
      <c r="N66" s="4" t="n">
        <f aca="false">M66*(G66-K66)</f>
        <v>0</v>
      </c>
    </row>
    <row r="67" customFormat="false" ht="12.75" hidden="false" customHeight="false" outlineLevel="0" collapsed="false">
      <c r="A67" s="1"/>
      <c r="B67" s="1" t="s">
        <v>62</v>
      </c>
      <c r="C67" s="1"/>
      <c r="D67" s="4" t="n">
        <v>355000</v>
      </c>
      <c r="E67" s="4"/>
      <c r="F67" s="5" t="n">
        <v>1.5</v>
      </c>
      <c r="G67" s="4" t="n">
        <f aca="false">D67*F67</f>
        <v>532500</v>
      </c>
      <c r="H67" s="1"/>
      <c r="I67" s="1"/>
      <c r="J67" s="5" t="n">
        <v>1.5</v>
      </c>
      <c r="K67" s="4" t="n">
        <f aca="false">D67*J67</f>
        <v>532500</v>
      </c>
      <c r="M67" s="5" t="n">
        <v>0</v>
      </c>
      <c r="N67" s="4" t="n">
        <f aca="false">M67*(G67-K67)</f>
        <v>0</v>
      </c>
    </row>
    <row r="68" customFormat="false" ht="15" hidden="false" customHeight="false" outlineLevel="0" collapsed="false">
      <c r="A68" s="1"/>
      <c r="B68" s="1" t="s">
        <v>63</v>
      </c>
      <c r="C68" s="1"/>
      <c r="D68" s="6" t="n">
        <v>141636</v>
      </c>
      <c r="E68" s="6"/>
      <c r="F68" s="5" t="n">
        <v>4</v>
      </c>
      <c r="G68" s="6" t="n">
        <f aca="false">D68*F68</f>
        <v>566544</v>
      </c>
      <c r="H68" s="1"/>
      <c r="I68" s="1"/>
      <c r="J68" s="5" t="n">
        <v>4</v>
      </c>
      <c r="K68" s="6" t="n">
        <f aca="false">D68*J68</f>
        <v>566544</v>
      </c>
      <c r="M68" s="5" t="n">
        <v>0</v>
      </c>
      <c r="N68" s="6" t="n">
        <f aca="false">M68*(G68-K68)</f>
        <v>0</v>
      </c>
    </row>
    <row r="69" customFormat="false" ht="12.75" hidden="false" customHeight="false" outlineLevel="0" collapsed="false">
      <c r="A69" s="1"/>
      <c r="B69" s="1"/>
      <c r="C69" s="1"/>
      <c r="D69" s="4" t="n">
        <f aca="false">SUM(D39:D68)</f>
        <v>16447666</v>
      </c>
      <c r="E69" s="4"/>
      <c r="F69" s="4"/>
      <c r="G69" s="4" t="n">
        <f aca="false">SUM(G39:G68)</f>
        <v>24051788.65</v>
      </c>
      <c r="H69" s="1"/>
      <c r="I69" s="1"/>
      <c r="J69" s="4"/>
      <c r="K69" s="4" t="n">
        <f aca="false">SUM(K39:K68)</f>
        <v>18036806.3</v>
      </c>
      <c r="N69" s="4" t="n">
        <f aca="false">SUM(N39:N68)</f>
        <v>6790811.8775</v>
      </c>
    </row>
    <row r="70" customFormat="false" ht="12.75" hidden="false" customHeight="false" outlineLevel="0" collapsed="false">
      <c r="A70" s="1"/>
      <c r="B70" s="1"/>
      <c r="C70" s="1"/>
      <c r="D70" s="4"/>
      <c r="E70" s="4"/>
      <c r="F70" s="4"/>
      <c r="G70" s="4"/>
      <c r="H70" s="1"/>
      <c r="I70" s="1"/>
      <c r="J70" s="4"/>
      <c r="K70" s="4"/>
      <c r="N70" s="4"/>
    </row>
    <row r="71" customFormat="false" ht="12.75" hidden="false" customHeight="false" outlineLevel="0" collapsed="false">
      <c r="A71" s="3" t="s">
        <v>11</v>
      </c>
      <c r="B71" s="3" t="s">
        <v>64</v>
      </c>
      <c r="C71" s="1"/>
      <c r="D71" s="4"/>
      <c r="E71" s="4"/>
      <c r="F71" s="4"/>
      <c r="G71" s="4"/>
      <c r="H71" s="1"/>
      <c r="I71" s="1"/>
      <c r="J71" s="4"/>
      <c r="K71" s="4"/>
      <c r="N71" s="4"/>
    </row>
    <row r="72" customFormat="false" ht="15" hidden="false" customHeight="false" outlineLevel="0" collapsed="false">
      <c r="A72" s="1"/>
      <c r="B72" s="1" t="s">
        <v>64</v>
      </c>
      <c r="C72" s="1"/>
      <c r="D72" s="6" t="n">
        <v>2802357</v>
      </c>
      <c r="E72" s="6"/>
      <c r="F72" s="5" t="n">
        <v>3.25</v>
      </c>
      <c r="G72" s="6" t="n">
        <f aca="false">D72*F72</f>
        <v>9107660.25</v>
      </c>
      <c r="H72" s="1"/>
      <c r="I72" s="1"/>
      <c r="J72" s="5" t="n">
        <v>1.8</v>
      </c>
      <c r="K72" s="6" t="n">
        <f aca="false">D72*J72</f>
        <v>5044242.6</v>
      </c>
      <c r="M72" s="5" t="n">
        <v>1.25</v>
      </c>
      <c r="N72" s="6" t="n">
        <f aca="false">M72*(G72-K72)</f>
        <v>5079272.0625</v>
      </c>
    </row>
    <row r="73" customFormat="false" ht="12.75" hidden="false" customHeight="false" outlineLevel="0" collapsed="false">
      <c r="A73" s="1"/>
      <c r="B73" s="1"/>
      <c r="C73" s="1"/>
      <c r="D73" s="4" t="n">
        <f aca="false">D72</f>
        <v>2802357</v>
      </c>
      <c r="E73" s="4"/>
      <c r="F73" s="4"/>
      <c r="G73" s="4" t="n">
        <f aca="false">G72</f>
        <v>9107660.25</v>
      </c>
      <c r="H73" s="1"/>
      <c r="I73" s="1"/>
      <c r="J73" s="4"/>
      <c r="K73" s="4" t="n">
        <f aca="false">K72</f>
        <v>5044242.6</v>
      </c>
      <c r="N73" s="4" t="n">
        <f aca="false">N72</f>
        <v>5079272.0625</v>
      </c>
    </row>
    <row r="74" customFormat="false" ht="12.75" hidden="false" customHeight="false" outlineLevel="0" collapsed="false">
      <c r="A74" s="1"/>
      <c r="B74" s="1"/>
      <c r="C74" s="1"/>
      <c r="D74" s="4"/>
      <c r="E74" s="4"/>
      <c r="F74" s="4"/>
      <c r="G74" s="4"/>
      <c r="H74" s="1"/>
      <c r="I74" s="1"/>
      <c r="J74" s="4"/>
      <c r="K74" s="4"/>
      <c r="N74" s="4"/>
    </row>
    <row r="75" customFormat="false" ht="12.75" hidden="false" customHeight="false" outlineLevel="0" collapsed="false">
      <c r="A75" s="1"/>
      <c r="B75" s="3" t="s">
        <v>65</v>
      </c>
      <c r="C75" s="1"/>
      <c r="D75" s="4" t="n">
        <f aca="false">D36+D69+D73</f>
        <v>106463523</v>
      </c>
      <c r="E75" s="4"/>
      <c r="F75" s="4"/>
      <c r="G75" s="4" t="n">
        <f aca="false">G36+G69+G73</f>
        <v>189299448.9</v>
      </c>
      <c r="H75" s="1"/>
      <c r="I75" s="1"/>
      <c r="J75" s="4"/>
      <c r="K75" s="4" t="n">
        <f aca="false">K36+K69+K73</f>
        <v>154421048.9</v>
      </c>
      <c r="N75" s="4" t="n">
        <f aca="false">N36+N69+N73</f>
        <v>39150083.94</v>
      </c>
    </row>
    <row r="76" customFormat="false" ht="12.75" hidden="false" customHeight="false" outlineLevel="0" collapsed="false">
      <c r="A76" s="1"/>
      <c r="B76" s="1"/>
      <c r="C76" s="1"/>
      <c r="D76" s="4"/>
      <c r="E76" s="4"/>
      <c r="F76" s="4"/>
      <c r="G76" s="4"/>
      <c r="H76" s="1"/>
      <c r="I76" s="1"/>
      <c r="J76" s="4"/>
      <c r="K76" s="4"/>
      <c r="N76" s="4"/>
    </row>
    <row r="77" customFormat="false" ht="12.75" hidden="false" customHeight="false" outlineLevel="0" collapsed="false">
      <c r="A77" s="3" t="s">
        <v>66</v>
      </c>
      <c r="B77" s="1"/>
      <c r="C77" s="1"/>
      <c r="D77" s="4"/>
      <c r="E77" s="4"/>
      <c r="F77" s="4"/>
      <c r="G77" s="4"/>
      <c r="H77" s="1"/>
      <c r="I77" s="1"/>
      <c r="J77" s="4"/>
      <c r="K77" s="4"/>
      <c r="N77" s="4"/>
    </row>
    <row r="78" customFormat="false" ht="12.75" hidden="false" customHeight="false" outlineLevel="0" collapsed="false">
      <c r="A78" s="1"/>
      <c r="B78" s="1" t="s">
        <v>67</v>
      </c>
      <c r="C78" s="1"/>
      <c r="D78" s="4" t="n">
        <v>404846</v>
      </c>
      <c r="E78" s="4"/>
      <c r="F78" s="5" t="n">
        <v>2.75</v>
      </c>
      <c r="G78" s="4" t="n">
        <f aca="false">D78*F78</f>
        <v>1113326.5</v>
      </c>
      <c r="H78" s="1"/>
      <c r="I78" s="1"/>
      <c r="J78" s="5" t="n">
        <v>2.25</v>
      </c>
      <c r="K78" s="4" t="n">
        <f aca="false">D78*J78</f>
        <v>910903.5</v>
      </c>
      <c r="M78" s="5" t="n">
        <v>1.2</v>
      </c>
      <c r="N78" s="4" t="n">
        <f aca="false">M78*(G78-K78)</f>
        <v>242907.6</v>
      </c>
    </row>
    <row r="79" customFormat="false" ht="12.75" hidden="false" customHeight="false" outlineLevel="0" collapsed="false">
      <c r="A79" s="1"/>
      <c r="B79" s="1" t="s">
        <v>68</v>
      </c>
      <c r="C79" s="1"/>
      <c r="D79" s="4" t="n">
        <v>469736</v>
      </c>
      <c r="E79" s="4"/>
      <c r="F79" s="5" t="n">
        <v>2</v>
      </c>
      <c r="G79" s="4" t="n">
        <f aca="false">D79*F79</f>
        <v>939472</v>
      </c>
      <c r="H79" s="1"/>
      <c r="I79" s="1"/>
      <c r="J79" s="5" t="n">
        <v>1.4</v>
      </c>
      <c r="K79" s="4" t="n">
        <f aca="false">D79*J79</f>
        <v>657630.4</v>
      </c>
      <c r="M79" s="5" t="n">
        <v>1.2</v>
      </c>
      <c r="N79" s="4" t="n">
        <f aca="false">M79*(G79-K79)</f>
        <v>338209.92</v>
      </c>
    </row>
    <row r="80" customFormat="false" ht="12.75" hidden="false" customHeight="false" outlineLevel="0" collapsed="false">
      <c r="A80" s="1"/>
      <c r="B80" s="1" t="s">
        <v>69</v>
      </c>
      <c r="C80" s="1"/>
      <c r="D80" s="4" t="n">
        <v>317869</v>
      </c>
      <c r="E80" s="4"/>
      <c r="F80" s="5" t="n">
        <v>4</v>
      </c>
      <c r="G80" s="4" t="n">
        <f aca="false">D80*F80</f>
        <v>1271476</v>
      </c>
      <c r="H80" s="1"/>
      <c r="I80" s="1"/>
      <c r="J80" s="5" t="n">
        <v>1.4</v>
      </c>
      <c r="K80" s="4" t="n">
        <f aca="false">D80*J80</f>
        <v>445016.6</v>
      </c>
      <c r="M80" s="5" t="n">
        <v>1.2</v>
      </c>
      <c r="N80" s="4" t="n">
        <f aca="false">M80*(G80-K80)</f>
        <v>991751.28</v>
      </c>
    </row>
    <row r="81" customFormat="false" ht="12.75" hidden="false" customHeight="false" outlineLevel="0" collapsed="false">
      <c r="A81" s="1"/>
      <c r="B81" s="1" t="s">
        <v>70</v>
      </c>
      <c r="C81" s="1"/>
      <c r="D81" s="4" t="n">
        <v>752981</v>
      </c>
      <c r="E81" s="4"/>
      <c r="F81" s="5" t="n">
        <v>3.25</v>
      </c>
      <c r="G81" s="4" t="n">
        <f aca="false">D81*F81</f>
        <v>2447188.25</v>
      </c>
      <c r="H81" s="1"/>
      <c r="I81" s="1"/>
      <c r="J81" s="5" t="n">
        <v>1.5</v>
      </c>
      <c r="K81" s="4" t="n">
        <f aca="false">D81*J81</f>
        <v>1129471.5</v>
      </c>
      <c r="M81" s="5" t="n">
        <v>1.2</v>
      </c>
      <c r="N81" s="4" t="n">
        <f aca="false">M81*(G81-K81)</f>
        <v>1581260.1</v>
      </c>
    </row>
    <row r="82" customFormat="false" ht="12.75" hidden="false" customHeight="false" outlineLevel="0" collapsed="false">
      <c r="A82" s="1"/>
      <c r="B82" s="1" t="s">
        <v>71</v>
      </c>
      <c r="C82" s="1"/>
      <c r="D82" s="4" t="n">
        <v>41482</v>
      </c>
      <c r="E82" s="4"/>
      <c r="F82" s="5" t="n">
        <v>2.5</v>
      </c>
      <c r="G82" s="4" t="n">
        <f aca="false">D82*F82</f>
        <v>103705</v>
      </c>
      <c r="H82" s="1"/>
      <c r="I82" s="1"/>
      <c r="J82" s="5" t="n">
        <v>1.4</v>
      </c>
      <c r="K82" s="4" t="n">
        <f aca="false">D82*J82</f>
        <v>58074.8</v>
      </c>
      <c r="M82" s="5" t="n">
        <v>1.2</v>
      </c>
      <c r="N82" s="4" t="n">
        <f aca="false">M82*(G82-K82)</f>
        <v>54756.24</v>
      </c>
    </row>
    <row r="83" customFormat="false" ht="12.75" hidden="false" customHeight="false" outlineLevel="0" collapsed="false">
      <c r="A83" s="1"/>
      <c r="B83" s="1" t="s">
        <v>72</v>
      </c>
      <c r="C83" s="1"/>
      <c r="D83" s="4" t="n">
        <v>44805</v>
      </c>
      <c r="E83" s="4"/>
      <c r="F83" s="5" t="n">
        <v>6</v>
      </c>
      <c r="G83" s="4" t="n">
        <f aca="false">D83*F83</f>
        <v>268830</v>
      </c>
      <c r="H83" s="1"/>
      <c r="I83" s="1"/>
      <c r="J83" s="5" t="n">
        <v>1.4</v>
      </c>
      <c r="K83" s="4" t="n">
        <f aca="false">D83*J83</f>
        <v>62727</v>
      </c>
      <c r="M83" s="5" t="n">
        <v>1.2</v>
      </c>
      <c r="N83" s="4" t="n">
        <f aca="false">M83*(G83-K83)</f>
        <v>247323.6</v>
      </c>
    </row>
    <row r="84" customFormat="false" ht="12.75" hidden="false" customHeight="false" outlineLevel="0" collapsed="false">
      <c r="A84" s="1"/>
      <c r="B84" s="1" t="s">
        <v>73</v>
      </c>
      <c r="C84" s="1"/>
      <c r="D84" s="4" t="n">
        <v>2724</v>
      </c>
      <c r="E84" s="4"/>
      <c r="F84" s="5" t="n">
        <v>6</v>
      </c>
      <c r="G84" s="4" t="n">
        <f aca="false">D84*F84</f>
        <v>16344</v>
      </c>
      <c r="H84" s="1"/>
      <c r="I84" s="1"/>
      <c r="J84" s="5" t="n">
        <v>1.4</v>
      </c>
      <c r="K84" s="4" t="n">
        <f aca="false">D84*J84</f>
        <v>3813.6</v>
      </c>
      <c r="M84" s="5" t="n">
        <v>1.2</v>
      </c>
      <c r="N84" s="4" t="n">
        <f aca="false">M84*(G84-K84)</f>
        <v>15036.48</v>
      </c>
    </row>
    <row r="85" customFormat="false" ht="12.75" hidden="false" customHeight="false" outlineLevel="0" collapsed="false">
      <c r="A85" s="1"/>
      <c r="B85" s="1" t="s">
        <v>32</v>
      </c>
      <c r="C85" s="1"/>
      <c r="D85" s="4" t="n">
        <v>105033</v>
      </c>
      <c r="E85" s="4"/>
      <c r="F85" s="5" t="n">
        <v>3</v>
      </c>
      <c r="G85" s="4" t="n">
        <f aca="false">D85*F85</f>
        <v>315099</v>
      </c>
      <c r="H85" s="1"/>
      <c r="I85" s="1"/>
      <c r="J85" s="5" t="n">
        <v>1.5</v>
      </c>
      <c r="K85" s="4" t="n">
        <f aca="false">D85*J85</f>
        <v>157549.5</v>
      </c>
      <c r="M85" s="5" t="n">
        <v>1.2</v>
      </c>
      <c r="N85" s="4" t="n">
        <f aca="false">M85*(G85-K85)</f>
        <v>189059.4</v>
      </c>
    </row>
    <row r="86" customFormat="false" ht="12.75" hidden="false" customHeight="false" outlineLevel="0" collapsed="false">
      <c r="A86" s="1"/>
      <c r="B86" s="1" t="s">
        <v>74</v>
      </c>
      <c r="C86" s="1"/>
      <c r="D86" s="4" t="n">
        <v>795979</v>
      </c>
      <c r="E86" s="4"/>
      <c r="F86" s="5" t="n">
        <v>5</v>
      </c>
      <c r="G86" s="4" t="n">
        <f aca="false">D86*F86</f>
        <v>3979895</v>
      </c>
      <c r="H86" s="1"/>
      <c r="I86" s="1"/>
      <c r="J86" s="5" t="n">
        <v>1.35</v>
      </c>
      <c r="K86" s="4" t="n">
        <f aca="false">D86*J86</f>
        <v>1074571.65</v>
      </c>
      <c r="M86" s="5" t="n">
        <v>1.2</v>
      </c>
      <c r="N86" s="4" t="n">
        <f aca="false">M86*(G86-K86)</f>
        <v>3486388.02</v>
      </c>
    </row>
    <row r="87" customFormat="false" ht="12.75" hidden="false" customHeight="false" outlineLevel="0" collapsed="false">
      <c r="A87" s="1"/>
      <c r="B87" s="1" t="s">
        <v>75</v>
      </c>
      <c r="C87" s="1"/>
      <c r="D87" s="4" t="n">
        <v>804952</v>
      </c>
      <c r="E87" s="4"/>
      <c r="F87" s="5" t="n">
        <v>3</v>
      </c>
      <c r="G87" s="4" t="n">
        <f aca="false">D87*F87</f>
        <v>2414856</v>
      </c>
      <c r="H87" s="1"/>
      <c r="I87" s="1"/>
      <c r="J87" s="5" t="n">
        <v>1.35</v>
      </c>
      <c r="K87" s="4" t="n">
        <f aca="false">D87*J87</f>
        <v>1086685.2</v>
      </c>
      <c r="M87" s="5" t="n">
        <v>1.2</v>
      </c>
      <c r="N87" s="4" t="n">
        <f aca="false">M87*(G87-K87)</f>
        <v>1593804.96</v>
      </c>
    </row>
    <row r="88" customFormat="false" ht="12.75" hidden="false" customHeight="false" outlineLevel="0" collapsed="false">
      <c r="A88" s="1"/>
      <c r="B88" s="1" t="s">
        <v>76</v>
      </c>
      <c r="C88" s="1"/>
      <c r="D88" s="4" t="n">
        <v>155089</v>
      </c>
      <c r="E88" s="4"/>
      <c r="F88" s="5" t="n">
        <v>4</v>
      </c>
      <c r="G88" s="4" t="n">
        <f aca="false">D88*F88</f>
        <v>620356</v>
      </c>
      <c r="H88" s="1"/>
      <c r="I88" s="1"/>
      <c r="J88" s="5" t="n">
        <v>1.3</v>
      </c>
      <c r="K88" s="4" t="n">
        <f aca="false">D88*J88</f>
        <v>201615.7</v>
      </c>
      <c r="M88" s="5" t="n">
        <v>1.2</v>
      </c>
      <c r="N88" s="4" t="n">
        <f aca="false">M88*(G88-K88)</f>
        <v>502488.36</v>
      </c>
    </row>
    <row r="89" customFormat="false" ht="12.75" hidden="false" customHeight="false" outlineLevel="0" collapsed="false">
      <c r="A89" s="1"/>
      <c r="B89" s="1" t="s">
        <v>77</v>
      </c>
      <c r="C89" s="1"/>
      <c r="D89" s="4" t="n">
        <v>164407</v>
      </c>
      <c r="E89" s="4"/>
      <c r="F89" s="5" t="n">
        <v>6</v>
      </c>
      <c r="G89" s="4" t="n">
        <f aca="false">D89*F89</f>
        <v>986442</v>
      </c>
      <c r="H89" s="1"/>
      <c r="I89" s="1"/>
      <c r="J89" s="5" t="n">
        <v>1.25</v>
      </c>
      <c r="K89" s="4" t="n">
        <f aca="false">D89*J89</f>
        <v>205508.75</v>
      </c>
      <c r="M89" s="5" t="n">
        <v>1.2</v>
      </c>
      <c r="N89" s="4" t="n">
        <f aca="false">M89*(G89-K89)</f>
        <v>937119.9</v>
      </c>
    </row>
    <row r="90" customFormat="false" ht="12.75" hidden="false" customHeight="false" outlineLevel="0" collapsed="false">
      <c r="A90" s="1"/>
      <c r="B90" s="1" t="s">
        <v>78</v>
      </c>
      <c r="C90" s="1"/>
      <c r="D90" s="4" t="n">
        <v>20209</v>
      </c>
      <c r="E90" s="4"/>
      <c r="F90" s="5" t="n">
        <v>3.25</v>
      </c>
      <c r="G90" s="4" t="n">
        <f aca="false">D90*F90</f>
        <v>65679.25</v>
      </c>
      <c r="H90" s="1"/>
      <c r="I90" s="1"/>
      <c r="J90" s="5" t="n">
        <v>1.3</v>
      </c>
      <c r="K90" s="4" t="n">
        <f aca="false">D90*J90</f>
        <v>26271.7</v>
      </c>
      <c r="M90" s="5" t="n">
        <v>1.2</v>
      </c>
      <c r="N90" s="4" t="n">
        <f aca="false">M90*(G90-K90)</f>
        <v>47289.06</v>
      </c>
    </row>
    <row r="91" customFormat="false" ht="15" hidden="false" customHeight="false" outlineLevel="0" collapsed="false">
      <c r="A91" s="1"/>
      <c r="B91" s="1" t="s">
        <v>79</v>
      </c>
      <c r="C91" s="1"/>
      <c r="D91" s="6" t="n">
        <v>672551</v>
      </c>
      <c r="E91" s="6"/>
      <c r="F91" s="5" t="n">
        <v>5</v>
      </c>
      <c r="G91" s="6" t="n">
        <f aca="false">D91*F91</f>
        <v>3362755</v>
      </c>
      <c r="H91" s="1"/>
      <c r="I91" s="1" t="s">
        <v>11</v>
      </c>
      <c r="J91" s="5" t="n">
        <v>1.35</v>
      </c>
      <c r="K91" s="6" t="n">
        <f aca="false">D91*J91</f>
        <v>907943.85</v>
      </c>
      <c r="M91" s="5" t="n">
        <v>1.2</v>
      </c>
      <c r="N91" s="6" t="n">
        <f aca="false">M91*(G91-K91)</f>
        <v>2945773.38</v>
      </c>
    </row>
    <row r="92" customFormat="false" ht="12.75" hidden="false" customHeight="false" outlineLevel="0" collapsed="false">
      <c r="A92" s="1"/>
      <c r="B92" s="1"/>
      <c r="C92" s="1"/>
      <c r="D92" s="4" t="n">
        <f aca="false">SUM(D78:D91)</f>
        <v>4752663</v>
      </c>
      <c r="E92" s="4"/>
      <c r="F92" s="4"/>
      <c r="G92" s="4" t="n">
        <f aca="false">SUM(G78:G91)</f>
        <v>17905424</v>
      </c>
      <c r="H92" s="1"/>
      <c r="I92" s="1"/>
      <c r="J92" s="4"/>
      <c r="K92" s="4" t="n">
        <f aca="false">SUM(K78:K91)</f>
        <v>6927783.75</v>
      </c>
      <c r="N92" s="4" t="n">
        <f aca="false">SUM(N78:N91)</f>
        <v>13173168.3</v>
      </c>
    </row>
    <row r="93" customFormat="false" ht="12.75" hidden="false" customHeight="false" outlineLevel="0" collapsed="false">
      <c r="A93" s="1"/>
      <c r="B93" s="1"/>
      <c r="C93" s="1"/>
      <c r="D93" s="4"/>
      <c r="E93" s="4"/>
      <c r="F93" s="4"/>
      <c r="G93" s="4"/>
      <c r="H93" s="1"/>
      <c r="I93" s="1"/>
      <c r="J93" s="4"/>
      <c r="K93" s="4"/>
      <c r="N93" s="4"/>
    </row>
    <row r="94" customFormat="false" ht="12.75" hidden="false" customHeight="false" outlineLevel="0" collapsed="false">
      <c r="A94" s="3" t="s">
        <v>80</v>
      </c>
      <c r="B94" s="1"/>
      <c r="C94" s="1"/>
      <c r="D94" s="4" t="s">
        <v>11</v>
      </c>
      <c r="E94" s="4"/>
      <c r="F94" s="4"/>
      <c r="G94" s="4" t="s">
        <v>11</v>
      </c>
      <c r="H94" s="1"/>
      <c r="I94" s="1"/>
      <c r="J94" s="4"/>
      <c r="K94" s="4" t="s">
        <v>11</v>
      </c>
      <c r="N94" s="4" t="s">
        <v>11</v>
      </c>
    </row>
    <row r="95" customFormat="false" ht="12.75" hidden="false" customHeight="false" outlineLevel="0" collapsed="false">
      <c r="A95" s="1"/>
      <c r="B95" s="1" t="s">
        <v>81</v>
      </c>
      <c r="C95" s="1"/>
      <c r="D95" s="4" t="n">
        <v>632940</v>
      </c>
      <c r="E95" s="4"/>
      <c r="F95" s="5" t="n">
        <v>1.75</v>
      </c>
      <c r="G95" s="4" t="n">
        <f aca="false">D95*F95</f>
        <v>1107645</v>
      </c>
      <c r="H95" s="1"/>
      <c r="I95" s="1"/>
      <c r="J95" s="5" t="n">
        <v>1.2</v>
      </c>
      <c r="K95" s="4" t="n">
        <f aca="false">D95*J95</f>
        <v>759528</v>
      </c>
      <c r="M95" s="5" t="n">
        <v>1.2</v>
      </c>
      <c r="N95" s="4" t="n">
        <f aca="false">M95*(G95-K95)</f>
        <v>417740.4</v>
      </c>
    </row>
    <row r="96" customFormat="false" ht="12.75" hidden="false" customHeight="false" outlineLevel="0" collapsed="false">
      <c r="A96" s="1"/>
      <c r="B96" s="1" t="s">
        <v>82</v>
      </c>
      <c r="C96" s="1"/>
      <c r="D96" s="4" t="n">
        <v>10000</v>
      </c>
      <c r="E96" s="4"/>
      <c r="F96" s="5" t="n">
        <v>1.75</v>
      </c>
      <c r="G96" s="4" t="n">
        <f aca="false">D96*F96</f>
        <v>17500</v>
      </c>
      <c r="H96" s="1"/>
      <c r="I96" s="1"/>
      <c r="J96" s="5" t="n">
        <v>1.25</v>
      </c>
      <c r="K96" s="4" t="n">
        <f aca="false">D96*J96</f>
        <v>12500</v>
      </c>
      <c r="M96" s="5" t="n">
        <v>1.2</v>
      </c>
      <c r="N96" s="4" t="n">
        <f aca="false">M96*(G96-K96)</f>
        <v>6000</v>
      </c>
    </row>
    <row r="97" customFormat="false" ht="12.75" hidden="false" customHeight="false" outlineLevel="0" collapsed="false">
      <c r="A97" s="1"/>
      <c r="B97" s="1" t="s">
        <v>83</v>
      </c>
      <c r="C97" s="1"/>
      <c r="D97" s="4" t="n">
        <v>85000</v>
      </c>
      <c r="E97" s="4"/>
      <c r="F97" s="5" t="n">
        <v>2.25</v>
      </c>
      <c r="G97" s="4" t="n">
        <f aca="false">D97*F97</f>
        <v>191250</v>
      </c>
      <c r="H97" s="1"/>
      <c r="I97" s="1"/>
      <c r="J97" s="5" t="n">
        <v>1.45</v>
      </c>
      <c r="K97" s="4" t="n">
        <f aca="false">D97*J97</f>
        <v>123250</v>
      </c>
      <c r="M97" s="5" t="n">
        <v>1.1</v>
      </c>
      <c r="N97" s="4" t="n">
        <f aca="false">M97*(G97-K97)</f>
        <v>74800</v>
      </c>
    </row>
    <row r="98" customFormat="false" ht="12.75" hidden="false" customHeight="false" outlineLevel="0" collapsed="false">
      <c r="A98" s="1"/>
      <c r="B98" s="1" t="s">
        <v>84</v>
      </c>
      <c r="C98" s="1"/>
      <c r="D98" s="4" t="n">
        <v>28000</v>
      </c>
      <c r="E98" s="4"/>
      <c r="F98" s="5" t="n">
        <v>1.75</v>
      </c>
      <c r="G98" s="4" t="n">
        <f aca="false">D98*F98</f>
        <v>49000</v>
      </c>
      <c r="H98" s="1"/>
      <c r="I98" s="1"/>
      <c r="J98" s="5" t="n">
        <v>1.45</v>
      </c>
      <c r="K98" s="4" t="n">
        <f aca="false">D98*J98</f>
        <v>40600</v>
      </c>
      <c r="M98" s="5" t="n">
        <v>1.25</v>
      </c>
      <c r="N98" s="4" t="n">
        <f aca="false">M98*(G98-K98)</f>
        <v>10500</v>
      </c>
    </row>
    <row r="99" customFormat="false" ht="15" hidden="false" customHeight="false" outlineLevel="0" collapsed="false">
      <c r="A99" s="1"/>
      <c r="B99" s="1" t="s">
        <v>85</v>
      </c>
      <c r="C99" s="1"/>
      <c r="D99" s="6" t="n">
        <v>82976</v>
      </c>
      <c r="E99" s="6"/>
      <c r="F99" s="5" t="n">
        <v>2</v>
      </c>
      <c r="G99" s="6" t="n">
        <f aca="false">D99*F99</f>
        <v>165952</v>
      </c>
      <c r="H99" s="1"/>
      <c r="I99" s="1"/>
      <c r="J99" s="5" t="n">
        <v>1.35</v>
      </c>
      <c r="K99" s="6" t="n">
        <f aca="false">D99*J99</f>
        <v>112017.6</v>
      </c>
      <c r="M99" s="5" t="n">
        <v>1.25</v>
      </c>
      <c r="N99" s="6" t="n">
        <f aca="false">M99*(G99-K99)</f>
        <v>67418</v>
      </c>
    </row>
    <row r="100" customFormat="false" ht="12.75" hidden="false" customHeight="false" outlineLevel="0" collapsed="false">
      <c r="A100" s="1"/>
      <c r="B100" s="1"/>
      <c r="C100" s="1"/>
      <c r="D100" s="4" t="n">
        <f aca="false">SUM(D95:D99)</f>
        <v>838916</v>
      </c>
      <c r="E100" s="4"/>
      <c r="F100" s="4"/>
      <c r="G100" s="4" t="n">
        <f aca="false">SUM(G95:G99)</f>
        <v>1531347</v>
      </c>
      <c r="H100" s="1"/>
      <c r="I100" s="1"/>
      <c r="J100" s="4"/>
      <c r="K100" s="4" t="n">
        <f aca="false">SUM(K95:K99)</f>
        <v>1047895.6</v>
      </c>
      <c r="N100" s="4" t="n">
        <f aca="false">SUM(N95:N99)</f>
        <v>576458.4</v>
      </c>
    </row>
    <row r="101" customFormat="false" ht="12.75" hidden="false" customHeight="false" outlineLevel="0" collapsed="false">
      <c r="A101" s="1"/>
      <c r="B101" s="1"/>
      <c r="C101" s="1"/>
      <c r="D101" s="4"/>
      <c r="E101" s="4"/>
      <c r="F101" s="4"/>
      <c r="G101" s="4"/>
      <c r="H101" s="1"/>
      <c r="I101" s="1"/>
      <c r="J101" s="4"/>
      <c r="K101" s="4"/>
      <c r="N101" s="4"/>
    </row>
    <row r="102" customFormat="false" ht="12.75" hidden="false" customHeight="false" outlineLevel="0" collapsed="false">
      <c r="A102" s="3" t="s">
        <v>86</v>
      </c>
      <c r="B102" s="1"/>
      <c r="C102" s="1"/>
      <c r="D102" s="4" t="s">
        <v>11</v>
      </c>
      <c r="E102" s="4"/>
      <c r="F102" s="4"/>
      <c r="G102" s="4" t="s">
        <v>11</v>
      </c>
      <c r="H102" s="1"/>
      <c r="I102" s="1"/>
      <c r="J102" s="4"/>
      <c r="K102" s="4" t="s">
        <v>11</v>
      </c>
      <c r="N102" s="4" t="s">
        <v>11</v>
      </c>
    </row>
    <row r="103" customFormat="false" ht="15" hidden="false" customHeight="false" outlineLevel="0" collapsed="false">
      <c r="A103" s="1"/>
      <c r="B103" s="1" t="s">
        <v>87</v>
      </c>
      <c r="C103" s="1"/>
      <c r="D103" s="6" t="n">
        <v>25000</v>
      </c>
      <c r="E103" s="6"/>
      <c r="F103" s="5" t="n">
        <v>4</v>
      </c>
      <c r="G103" s="6" t="n">
        <f aca="false">D103*F103</f>
        <v>100000</v>
      </c>
      <c r="H103" s="1"/>
      <c r="I103" s="1"/>
      <c r="J103" s="5" t="n">
        <v>1.75</v>
      </c>
      <c r="K103" s="6" t="n">
        <f aca="false">D103*J103</f>
        <v>43750</v>
      </c>
      <c r="M103" s="5" t="n">
        <v>1.1</v>
      </c>
      <c r="N103" s="6" t="n">
        <f aca="false">M103*(G103-K103)</f>
        <v>61875</v>
      </c>
    </row>
    <row r="104" customFormat="false" ht="12.75" hidden="false" customHeight="false" outlineLevel="0" collapsed="false">
      <c r="A104" s="1"/>
      <c r="B104" s="1"/>
      <c r="C104" s="1"/>
      <c r="D104" s="4" t="n">
        <f aca="false">D103</f>
        <v>25000</v>
      </c>
      <c r="E104" s="4"/>
      <c r="F104" s="4"/>
      <c r="G104" s="4" t="n">
        <f aca="false">G103</f>
        <v>100000</v>
      </c>
      <c r="H104" s="1"/>
      <c r="I104" s="1"/>
      <c r="J104" s="4"/>
      <c r="K104" s="4" t="n">
        <f aca="false">K103</f>
        <v>43750</v>
      </c>
      <c r="N104" s="4" t="n">
        <f aca="false">N103</f>
        <v>61875</v>
      </c>
    </row>
    <row r="105" customFormat="false" ht="12.75" hidden="false" customHeight="false" outlineLevel="0" collapsed="false">
      <c r="A105" s="1"/>
      <c r="B105" s="1"/>
      <c r="C105" s="11"/>
      <c r="D105" s="4"/>
      <c r="E105" s="4"/>
      <c r="F105" s="4"/>
      <c r="G105" s="4"/>
      <c r="H105" s="1"/>
      <c r="I105" s="1"/>
      <c r="J105" s="4"/>
      <c r="K105" s="4"/>
      <c r="N105" s="4"/>
    </row>
    <row r="106" customFormat="false" ht="12.75" hidden="false" customHeight="false" outlineLevel="0" collapsed="false">
      <c r="A106" s="3" t="s">
        <v>88</v>
      </c>
      <c r="B106" s="1"/>
      <c r="C106" s="11"/>
      <c r="D106" s="4" t="s">
        <v>11</v>
      </c>
      <c r="E106" s="4"/>
      <c r="F106" s="4"/>
      <c r="G106" s="4" t="s">
        <v>11</v>
      </c>
      <c r="H106" s="1"/>
      <c r="I106" s="1"/>
      <c r="J106" s="4"/>
      <c r="K106" s="4" t="s">
        <v>11</v>
      </c>
      <c r="N106" s="4" t="s">
        <v>11</v>
      </c>
    </row>
    <row r="107" customFormat="false" ht="12.75" hidden="false" customHeight="false" outlineLevel="0" collapsed="false">
      <c r="A107" s="1"/>
      <c r="B107" s="1" t="s">
        <v>89</v>
      </c>
      <c r="C107" s="11"/>
      <c r="D107" s="4" t="n">
        <v>73000</v>
      </c>
      <c r="E107" s="4"/>
      <c r="F107" s="5" t="n">
        <v>0</v>
      </c>
      <c r="G107" s="4" t="n">
        <f aca="false">D107*F107</f>
        <v>0</v>
      </c>
      <c r="H107" s="1"/>
      <c r="I107" s="1"/>
      <c r="J107" s="5" t="n">
        <v>0</v>
      </c>
      <c r="K107" s="4" t="n">
        <f aca="false">D107*J107</f>
        <v>0</v>
      </c>
      <c r="M107" s="5" t="n">
        <v>0</v>
      </c>
      <c r="N107" s="4" t="n">
        <f aca="false">M107*(G107-K107)</f>
        <v>0</v>
      </c>
    </row>
    <row r="108" customFormat="false" ht="12.75" hidden="false" customHeight="false" outlineLevel="0" collapsed="false">
      <c r="A108" s="1"/>
      <c r="B108" s="1" t="s">
        <v>90</v>
      </c>
      <c r="C108" s="11"/>
      <c r="D108" s="4" t="n">
        <v>200000</v>
      </c>
      <c r="E108" s="4"/>
      <c r="F108" s="5" t="n">
        <v>0</v>
      </c>
      <c r="G108" s="4" t="n">
        <f aca="false">D108*F108</f>
        <v>0</v>
      </c>
      <c r="H108" s="1"/>
      <c r="I108" s="1"/>
      <c r="J108" s="5" t="n">
        <v>0</v>
      </c>
      <c r="K108" s="4" t="n">
        <f aca="false">D108*J108</f>
        <v>0</v>
      </c>
      <c r="M108" s="5" t="n">
        <v>0</v>
      </c>
      <c r="N108" s="4" t="n">
        <f aca="false">M108*(G108-K108)</f>
        <v>0</v>
      </c>
    </row>
    <row r="109" customFormat="false" ht="12.75" hidden="false" customHeight="false" outlineLevel="0" collapsed="false">
      <c r="A109" s="1"/>
      <c r="B109" s="1" t="s">
        <v>91</v>
      </c>
      <c r="C109" s="11"/>
      <c r="D109" s="4" t="n">
        <f aca="false">200000-20000</f>
        <v>180000</v>
      </c>
      <c r="E109" s="4"/>
      <c r="F109" s="5" t="n">
        <v>0</v>
      </c>
      <c r="G109" s="4" t="n">
        <f aca="false">D109*F109</f>
        <v>0</v>
      </c>
      <c r="H109" s="1"/>
      <c r="I109" s="1"/>
      <c r="J109" s="5" t="n">
        <v>0</v>
      </c>
      <c r="K109" s="4" t="n">
        <f aca="false">D109*J109</f>
        <v>0</v>
      </c>
      <c r="M109" s="5" t="n">
        <v>0</v>
      </c>
      <c r="N109" s="4" t="n">
        <f aca="false">M109*(G109-K109)</f>
        <v>0</v>
      </c>
    </row>
    <row r="110" customFormat="false" ht="13.5" hidden="false" customHeight="false" outlineLevel="0" collapsed="false">
      <c r="A110" s="1"/>
      <c r="B110" s="1" t="s">
        <v>92</v>
      </c>
      <c r="C110" s="11"/>
      <c r="D110" s="4" t="n">
        <f aca="false">180000-23000</f>
        <v>157000</v>
      </c>
      <c r="E110" s="4"/>
      <c r="F110" s="5" t="n">
        <v>1.2</v>
      </c>
      <c r="G110" s="4" t="n">
        <f aca="false">D110*F110</f>
        <v>188400</v>
      </c>
      <c r="H110" s="1"/>
      <c r="I110" s="1"/>
      <c r="J110" s="5" t="n">
        <v>1.1</v>
      </c>
      <c r="K110" s="4" t="n">
        <f aca="false">D110*J110</f>
        <v>172700</v>
      </c>
      <c r="M110" s="5" t="n">
        <v>1.25</v>
      </c>
      <c r="N110" s="4" t="n">
        <f aca="false">M110*(G110-K110)</f>
        <v>19625</v>
      </c>
    </row>
    <row r="111" customFormat="false" ht="13.5" hidden="false" customHeight="false" outlineLevel="0" collapsed="false">
      <c r="A111" s="1"/>
      <c r="B111" s="1" t="s">
        <v>93</v>
      </c>
      <c r="C111" s="11"/>
      <c r="D111" s="4" t="n">
        <v>0</v>
      </c>
      <c r="E111" s="4"/>
      <c r="F111" s="5" t="n">
        <v>0</v>
      </c>
      <c r="G111" s="9" t="n">
        <f aca="false">10*1.5*500000</f>
        <v>7500000</v>
      </c>
      <c r="H111" s="1"/>
      <c r="I111" s="1" t="s">
        <v>94</v>
      </c>
      <c r="J111" s="5" t="n">
        <v>0</v>
      </c>
      <c r="K111" s="9" t="n">
        <f aca="false">10*1.5*500000</f>
        <v>7500000</v>
      </c>
      <c r="L111" s="1" t="s">
        <v>94</v>
      </c>
      <c r="M111" s="5" t="n">
        <v>0</v>
      </c>
      <c r="N111" s="4" t="n">
        <f aca="false">M111*(G111-K111)</f>
        <v>0</v>
      </c>
    </row>
    <row r="112" customFormat="false" ht="13.5" hidden="false" customHeight="false" outlineLevel="0" collapsed="false">
      <c r="A112" s="1"/>
      <c r="B112" s="1" t="s">
        <v>95</v>
      </c>
      <c r="C112" s="11"/>
      <c r="D112" s="4" t="n">
        <v>0</v>
      </c>
      <c r="E112" s="4"/>
      <c r="F112" s="5" t="n">
        <v>0</v>
      </c>
      <c r="G112" s="9" t="n">
        <v>1500000</v>
      </c>
      <c r="H112" s="1"/>
      <c r="I112" s="1"/>
      <c r="J112" s="5" t="n">
        <v>0</v>
      </c>
      <c r="K112" s="9" t="n">
        <v>1500000</v>
      </c>
      <c r="M112" s="5" t="n">
        <v>0</v>
      </c>
      <c r="N112" s="4" t="n">
        <f aca="false">M112*(G112-K112)</f>
        <v>0</v>
      </c>
    </row>
    <row r="113" customFormat="false" ht="13.5" hidden="false" customHeight="false" outlineLevel="0" collapsed="false">
      <c r="A113" s="1"/>
      <c r="B113" s="1" t="s">
        <v>96</v>
      </c>
      <c r="C113" s="11"/>
      <c r="D113" s="4" t="n">
        <v>0</v>
      </c>
      <c r="E113" s="4"/>
      <c r="F113" s="5" t="n">
        <v>0</v>
      </c>
      <c r="G113" s="9" t="n">
        <f aca="false">400000+1000000</f>
        <v>1400000</v>
      </c>
      <c r="H113" s="1"/>
      <c r="I113" s="1" t="s">
        <v>97</v>
      </c>
      <c r="J113" s="5" t="n">
        <v>0</v>
      </c>
      <c r="K113" s="9" t="n">
        <f aca="false">400000+1000000</f>
        <v>1400000</v>
      </c>
      <c r="M113" s="5" t="n">
        <v>0</v>
      </c>
      <c r="N113" s="4" t="n">
        <f aca="false">M113*(G113-K113)</f>
        <v>0</v>
      </c>
    </row>
    <row r="114" customFormat="false" ht="13.5" hidden="false" customHeight="false" outlineLevel="0" collapsed="false">
      <c r="A114" s="1"/>
      <c r="B114" s="1" t="s">
        <v>98</v>
      </c>
      <c r="C114" s="11"/>
      <c r="D114" s="4" t="n">
        <v>0</v>
      </c>
      <c r="E114" s="4"/>
      <c r="F114" s="5" t="n">
        <v>0</v>
      </c>
      <c r="G114" s="9" t="n">
        <v>600000</v>
      </c>
      <c r="H114" s="1"/>
      <c r="I114" s="1" t="s">
        <v>11</v>
      </c>
      <c r="J114" s="5" t="n">
        <v>0</v>
      </c>
      <c r="K114" s="9" t="n">
        <v>600000</v>
      </c>
      <c r="M114" s="5" t="n">
        <v>0</v>
      </c>
      <c r="N114" s="4" t="n">
        <f aca="false">M114*(G114-K114)</f>
        <v>0</v>
      </c>
    </row>
    <row r="115" customFormat="false" ht="15" hidden="false" customHeight="false" outlineLevel="0" collapsed="false">
      <c r="A115" s="1"/>
      <c r="B115" s="1" t="s">
        <v>99</v>
      </c>
      <c r="C115" s="11"/>
      <c r="D115" s="6" t="n">
        <v>258000</v>
      </c>
      <c r="E115" s="6"/>
      <c r="F115" s="5" t="n">
        <v>0</v>
      </c>
      <c r="G115" s="6" t="n">
        <f aca="false">D115*F115</f>
        <v>0</v>
      </c>
      <c r="H115" s="1"/>
      <c r="I115" s="1" t="s">
        <v>11</v>
      </c>
      <c r="J115" s="5" t="n">
        <v>0</v>
      </c>
      <c r="K115" s="6" t="n">
        <f aca="false">H115*J115</f>
        <v>0</v>
      </c>
      <c r="M115" s="5" t="n">
        <v>0</v>
      </c>
      <c r="N115" s="6" t="n">
        <f aca="false">M115*(G115-K115)</f>
        <v>0</v>
      </c>
    </row>
    <row r="116" customFormat="false" ht="12.75" hidden="false" customHeight="false" outlineLevel="0" collapsed="false">
      <c r="A116" s="1"/>
      <c r="B116" s="1"/>
      <c r="C116" s="11"/>
      <c r="D116" s="4" t="n">
        <f aca="false">SUM(D107:D115)</f>
        <v>868000</v>
      </c>
      <c r="E116" s="4"/>
      <c r="F116" s="4"/>
      <c r="G116" s="4" t="n">
        <f aca="false">SUM(G107:G115)</f>
        <v>11188400</v>
      </c>
      <c r="H116" s="1"/>
      <c r="I116" s="1"/>
      <c r="J116" s="4"/>
      <c r="K116" s="4" t="n">
        <f aca="false">SUM(K107:K115)</f>
        <v>11172700</v>
      </c>
      <c r="N116" s="4" t="n">
        <f aca="false">SUM(N107:N115)</f>
        <v>19625</v>
      </c>
    </row>
    <row r="117" customFormat="false" ht="12.75" hidden="false" customHeight="false" outlineLevel="0" collapsed="false">
      <c r="A117" s="1"/>
      <c r="B117" s="1"/>
      <c r="C117" s="11"/>
      <c r="D117" s="4"/>
      <c r="E117" s="4"/>
      <c r="F117" s="4"/>
      <c r="G117" s="4"/>
      <c r="H117" s="1"/>
      <c r="I117" s="1"/>
      <c r="J117" s="4"/>
      <c r="K117" s="4"/>
      <c r="N117" s="4"/>
    </row>
    <row r="118" customFormat="false" ht="12.75" hidden="false" customHeight="false" outlineLevel="0" collapsed="false">
      <c r="A118" s="1"/>
      <c r="B118" s="1"/>
      <c r="C118" s="1"/>
      <c r="D118" s="4"/>
      <c r="E118" s="4"/>
      <c r="F118" s="4"/>
      <c r="G118" s="4"/>
      <c r="H118" s="1"/>
      <c r="I118" s="1"/>
      <c r="J118" s="4"/>
      <c r="K118" s="4"/>
      <c r="N118" s="4"/>
    </row>
    <row r="119" customFormat="false" ht="12.75" hidden="false" customHeight="false" outlineLevel="0" collapsed="false">
      <c r="A119" s="3" t="s">
        <v>100</v>
      </c>
      <c r="B119" s="1"/>
      <c r="C119" s="1"/>
      <c r="D119" s="4" t="n">
        <f aca="false">D13+D22+D26+D75+D92+D100+D104+D116</f>
        <v>117119771</v>
      </c>
      <c r="E119" s="4"/>
      <c r="F119" s="4"/>
      <c r="G119" s="4" t="n">
        <f aca="false">G13+G22+G26+G75+G92+G100+G104+G116</f>
        <v>226842363.3</v>
      </c>
      <c r="H119" s="1"/>
      <c r="I119" s="1"/>
      <c r="J119" s="4"/>
      <c r="K119" s="4" t="n">
        <f aca="false">K13+K22+K26+K75+K92+K100+K104+K116</f>
        <v>178829377.35</v>
      </c>
      <c r="N119" s="4" t="n">
        <f aca="false">N13+N22+N26+N75+N92+N100+N104+N116</f>
        <v>57701911.24</v>
      </c>
    </row>
    <row r="120" customFormat="false" ht="12.75" hidden="false" customHeight="false" outlineLevel="0" collapsed="false">
      <c r="A120" s="1"/>
      <c r="B120" s="1"/>
      <c r="C120" s="1"/>
      <c r="D120" s="4"/>
      <c r="E120" s="4"/>
      <c r="F120" s="4"/>
      <c r="G120" s="4"/>
      <c r="H120" s="1"/>
      <c r="I120" s="1"/>
      <c r="J120" s="4"/>
      <c r="K120" s="4"/>
      <c r="N120" s="4"/>
    </row>
    <row r="121" customFormat="false" ht="15" hidden="false" customHeight="false" outlineLevel="0" collapsed="false">
      <c r="A121" s="1"/>
      <c r="B121" s="1" t="s">
        <v>101</v>
      </c>
      <c r="C121" s="12" t="n">
        <v>0.02</v>
      </c>
      <c r="D121" s="6" t="n">
        <f aca="false">$C$121*D119</f>
        <v>2342395.42</v>
      </c>
      <c r="E121" s="6"/>
      <c r="F121" s="6"/>
      <c r="G121" s="6" t="n">
        <f aca="false">$C$121*G119</f>
        <v>4536847.266</v>
      </c>
      <c r="H121" s="1"/>
      <c r="I121" s="1"/>
      <c r="J121" s="6"/>
      <c r="K121" s="6" t="n">
        <f aca="false">$C$121*K119</f>
        <v>3576587.547</v>
      </c>
      <c r="N121" s="6" t="n">
        <f aca="false">$C$121*N119</f>
        <v>1154038.2248</v>
      </c>
    </row>
    <row r="122" customFormat="false" ht="12.75" hidden="false" customHeight="false" outlineLevel="0" collapsed="false">
      <c r="A122" s="1"/>
      <c r="B122" s="1"/>
      <c r="C122" s="1"/>
      <c r="D122" s="4"/>
      <c r="E122" s="4"/>
      <c r="F122" s="4"/>
      <c r="G122" s="4"/>
      <c r="H122" s="1"/>
      <c r="I122" s="1"/>
      <c r="J122" s="4"/>
      <c r="K122" s="4"/>
      <c r="N122" s="4"/>
    </row>
    <row r="123" customFormat="false" ht="12.75" hidden="false" customHeight="false" outlineLevel="0" collapsed="false">
      <c r="A123" s="3" t="s">
        <v>102</v>
      </c>
      <c r="B123" s="1"/>
      <c r="C123" s="1"/>
      <c r="D123" s="4" t="n">
        <f aca="false">D119+D121</f>
        <v>119462166.42</v>
      </c>
      <c r="E123" s="4"/>
      <c r="F123" s="4"/>
      <c r="G123" s="4" t="n">
        <f aca="false">G119+G121</f>
        <v>231379210.566</v>
      </c>
      <c r="H123" s="1"/>
      <c r="I123" s="1"/>
      <c r="J123" s="4"/>
      <c r="K123" s="4" t="n">
        <f aca="false">K119+K121</f>
        <v>182405964.897</v>
      </c>
      <c r="N123" s="4" t="n">
        <f aca="false">N119+N121</f>
        <v>58855949.4648</v>
      </c>
    </row>
    <row r="124" customFormat="false" ht="13.5" hidden="false" customHeight="false" outlineLevel="0" collapsed="false">
      <c r="A124" s="1"/>
      <c r="B124" s="1"/>
      <c r="C124" s="1"/>
      <c r="D124" s="4" t="s">
        <v>11</v>
      </c>
      <c r="E124" s="4"/>
      <c r="F124" s="4"/>
      <c r="G124" s="4" t="s">
        <v>11</v>
      </c>
      <c r="H124" s="1"/>
      <c r="I124" s="1"/>
      <c r="J124" s="4"/>
      <c r="K124" s="4" t="s">
        <v>11</v>
      </c>
      <c r="N124" s="4" t="s">
        <v>11</v>
      </c>
    </row>
    <row r="125" customFormat="false" ht="13.5" hidden="false" customHeight="false" outlineLevel="0" collapsed="false">
      <c r="A125" s="1"/>
      <c r="B125" s="1" t="s">
        <v>103</v>
      </c>
      <c r="C125" s="12" t="n">
        <v>0.0196</v>
      </c>
      <c r="D125" s="9" t="n">
        <f aca="false">D128-(D126+D123)</f>
        <v>-29762166.42</v>
      </c>
      <c r="E125" s="4"/>
      <c r="F125" s="13" t="n">
        <v>0.02</v>
      </c>
      <c r="G125" s="4" t="n">
        <f aca="false">G123*F125</f>
        <v>4627584.21132</v>
      </c>
      <c r="H125" s="1"/>
      <c r="I125" s="1"/>
      <c r="J125" s="4"/>
      <c r="K125" s="4" t="n">
        <f aca="false">K123*F125</f>
        <v>3648119.29794</v>
      </c>
      <c r="N125" s="4" t="n">
        <f aca="false">N123*F125</f>
        <v>1177118.989296</v>
      </c>
    </row>
    <row r="126" customFormat="false" ht="15.75" hidden="false" customHeight="false" outlineLevel="0" collapsed="false">
      <c r="A126" s="1"/>
      <c r="B126" s="1" t="s">
        <v>104</v>
      </c>
      <c r="C126" s="12" t="n">
        <v>0.0588</v>
      </c>
      <c r="D126" s="10" t="n">
        <v>3000000</v>
      </c>
      <c r="E126" s="6"/>
      <c r="F126" s="13" t="n">
        <v>0.06</v>
      </c>
      <c r="G126" s="6" t="n">
        <f aca="false">G123*F126</f>
        <v>13882752.63396</v>
      </c>
      <c r="H126" s="1"/>
      <c r="I126" s="1"/>
      <c r="J126" s="6"/>
      <c r="K126" s="6" t="n">
        <f aca="false">K123*F126</f>
        <v>10944357.89382</v>
      </c>
      <c r="N126" s="6" t="n">
        <f aca="false">N123*F126</f>
        <v>3531356.967888</v>
      </c>
    </row>
    <row r="127" customFormat="false" ht="13.5" hidden="false" customHeight="false" outlineLevel="0" collapsed="false">
      <c r="A127" s="1"/>
      <c r="B127" s="1"/>
      <c r="C127" s="1" t="s">
        <v>11</v>
      </c>
      <c r="D127" s="1"/>
      <c r="E127" s="11"/>
      <c r="F127" s="11"/>
      <c r="G127" s="11"/>
      <c r="H127" s="1"/>
      <c r="I127" s="1"/>
      <c r="J127" s="11"/>
      <c r="K127" s="11"/>
      <c r="N127" s="11"/>
    </row>
    <row r="128" customFormat="false" ht="13.5" hidden="false" customHeight="false" outlineLevel="0" collapsed="false">
      <c r="A128" s="3" t="s">
        <v>105</v>
      </c>
      <c r="B128" s="1"/>
      <c r="C128" s="1"/>
      <c r="D128" s="9" t="n">
        <v>92700000</v>
      </c>
      <c r="E128" s="4"/>
      <c r="F128" s="4"/>
      <c r="G128" s="4" t="n">
        <f aca="false">G123+G125+G126</f>
        <v>249889547.41128</v>
      </c>
      <c r="H128" s="1"/>
      <c r="I128" s="1"/>
      <c r="J128" s="4"/>
      <c r="K128" s="4" t="n">
        <f aca="false">K123+K125+K126</f>
        <v>196998442.08876</v>
      </c>
      <c r="N128" s="4" t="n">
        <f aca="false">N123+N125+N126</f>
        <v>63564425.421984</v>
      </c>
    </row>
    <row r="129" customFormat="false" ht="12.75" hidden="false" customHeight="false" outlineLevel="0" collapsed="false">
      <c r="A129" s="3" t="s">
        <v>106</v>
      </c>
      <c r="B129" s="1"/>
      <c r="C129" s="1"/>
      <c r="D129" s="14" t="n">
        <f aca="false">D128/(D6*1000)</f>
        <v>515</v>
      </c>
      <c r="E129" s="14"/>
      <c r="F129" s="14"/>
      <c r="G129" s="14" t="n">
        <f aca="false">G128/(G6*1000)</f>
        <v>724.317528728348</v>
      </c>
      <c r="H129" s="1"/>
      <c r="I129" s="1"/>
      <c r="J129" s="14"/>
      <c r="K129" s="14" t="n">
        <f aca="false">K128/(K6*1000)</f>
        <v>729.623859588</v>
      </c>
      <c r="N129" s="14" t="n">
        <f aca="false">N128/(N6*1000)</f>
        <v>184.24471136807</v>
      </c>
    </row>
    <row r="130" customFormat="false" ht="12.75" hidden="false" customHeight="false" outlineLevel="0" collapsed="false">
      <c r="A130" s="1"/>
      <c r="B130" s="1"/>
      <c r="C130" s="1"/>
      <c r="D130" s="4"/>
      <c r="E130" s="4"/>
      <c r="F130" s="4"/>
      <c r="G130" s="4"/>
      <c r="H130" s="1"/>
      <c r="I130" s="1"/>
      <c r="J130" s="4"/>
      <c r="K130" s="4"/>
      <c r="N130" s="4"/>
    </row>
    <row r="131" customFormat="false" ht="12.75" hidden="false" customHeight="false" outlineLevel="0" collapsed="false">
      <c r="A131" s="3" t="s">
        <v>107</v>
      </c>
      <c r="B131" s="1"/>
      <c r="C131" s="1"/>
      <c r="D131" s="12" t="n">
        <f aca="false">D126/(D123-D36)</f>
        <v>0.0930271026072402</v>
      </c>
      <c r="E131" s="12"/>
      <c r="F131" s="12"/>
      <c r="G131" s="12" t="s">
        <v>11</v>
      </c>
      <c r="H131" s="1"/>
      <c r="I131" s="1"/>
      <c r="J131" s="12"/>
      <c r="K131" s="12" t="s">
        <v>11</v>
      </c>
      <c r="N131" s="12" t="s">
        <v>11</v>
      </c>
    </row>
    <row r="132" customFormat="false" ht="12.7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N132" s="1"/>
    </row>
    <row r="133" customFormat="false" ht="12.7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N133" s="1"/>
    </row>
    <row r="134" customFormat="false" ht="12.75" hidden="false" customHeight="false" outlineLevel="0" collapsed="false">
      <c r="A134" s="1"/>
      <c r="B134" s="1"/>
      <c r="C134" s="1"/>
      <c r="D134" s="15" t="n">
        <f aca="false">D128</f>
        <v>92700000</v>
      </c>
      <c r="E134" s="15"/>
      <c r="F134" s="15"/>
      <c r="G134" s="15" t="n">
        <f aca="false">G128</f>
        <v>249889547.41128</v>
      </c>
      <c r="H134" s="1"/>
      <c r="I134" s="1"/>
      <c r="J134" s="15"/>
      <c r="K134" s="15" t="n">
        <f aca="false">K128</f>
        <v>196998442.08876</v>
      </c>
      <c r="N134" s="15" t="n">
        <f aca="false">N128</f>
        <v>63564425.421984</v>
      </c>
    </row>
    <row r="135" customFormat="false" ht="12.75" hidden="false" customHeight="false" outlineLevel="0" collapsed="false">
      <c r="A135" s="1"/>
      <c r="B135" s="1"/>
      <c r="C135" s="1"/>
      <c r="D135" s="15" t="s">
        <v>11</v>
      </c>
      <c r="E135" s="15"/>
      <c r="F135" s="15"/>
      <c r="G135" s="15" t="s">
        <v>11</v>
      </c>
      <c r="H135" s="1"/>
      <c r="I135" s="1"/>
      <c r="J135" s="15"/>
      <c r="K135" s="15" t="s">
        <v>11</v>
      </c>
      <c r="N135" s="15" t="s">
        <v>11</v>
      </c>
    </row>
    <row r="136" customFormat="false" ht="12.7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3" t="s">
        <v>108</v>
      </c>
      <c r="N136" s="15" t="n">
        <f aca="false">K134+N134</f>
        <v>260562867.510744</v>
      </c>
    </row>
    <row r="137" customFormat="false" ht="12.7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N137" s="1"/>
    </row>
    <row r="138" customFormat="false" ht="12.7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N138" s="1"/>
    </row>
    <row r="139" customFormat="false" ht="12.7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N139" s="1"/>
    </row>
    <row r="140" customFormat="false" ht="12.7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N140" s="1"/>
    </row>
    <row r="141" customFormat="false" ht="12.7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N141" s="1"/>
    </row>
    <row r="142" customFormat="false" ht="12.7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N142" s="1"/>
    </row>
    <row r="143" customFormat="false" ht="12.7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N143" s="1"/>
    </row>
    <row r="144" customFormat="false" ht="12.7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N144" s="1"/>
    </row>
    <row r="145" customFormat="false" ht="12.7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N145" s="1"/>
    </row>
    <row r="146" customFormat="false" ht="12.7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N146" s="1"/>
    </row>
    <row r="147" customFormat="false" ht="12.7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N147" s="1"/>
    </row>
    <row r="148" customFormat="false" ht="12.7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N148" s="1"/>
    </row>
    <row r="149" customFormat="false" ht="12.7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N149" s="1"/>
    </row>
    <row r="150" customFormat="false" ht="12.7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N150" s="1"/>
    </row>
    <row r="151" customFormat="false" ht="12.7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N151" s="1"/>
    </row>
    <row r="152" customFormat="false" ht="12.7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N152" s="1"/>
    </row>
    <row r="153" customFormat="false" ht="12.7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N153" s="1"/>
    </row>
    <row r="154" customFormat="false" ht="12.7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N154" s="1"/>
    </row>
    <row r="155" customFormat="false" ht="12.7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N155" s="1"/>
    </row>
    <row r="156" customFormat="false" ht="12.7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N15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5" activeCellId="0" sqref="I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3"/>
    <col collapsed="false" customWidth="true" hidden="false" outlineLevel="0" max="2" min="2" style="0" width="5.41"/>
    <col collapsed="false" customWidth="true" hidden="false" outlineLevel="0" max="3" min="3" style="0" width="5.71"/>
    <col collapsed="false" customWidth="true" hidden="false" outlineLevel="0" max="4" min="4" style="0" width="14.85"/>
    <col collapsed="false" customWidth="true" hidden="false" outlineLevel="0" max="9" min="9" style="0" width="14.85"/>
  </cols>
  <sheetData>
    <row r="1" customFormat="false" ht="12.75" hidden="false" customHeight="false" outlineLevel="0" collapsed="false">
      <c r="H1" s="0" t="s">
        <v>109</v>
      </c>
    </row>
    <row r="3" customFormat="false" ht="12.75" hidden="false" customHeight="false" outlineLevel="0" collapsed="false">
      <c r="I3" s="0" t="s">
        <v>110</v>
      </c>
    </row>
    <row r="4" customFormat="false" ht="12.75" hidden="false" customHeight="false" outlineLevel="0" collapsed="false">
      <c r="H4" s="0" t="s">
        <v>111</v>
      </c>
      <c r="I4" s="0" t="n">
        <v>6</v>
      </c>
    </row>
    <row r="5" customFormat="false" ht="12.75" hidden="false" customHeight="false" outlineLevel="0" collapsed="false">
      <c r="H5" s="0" t="s">
        <v>112</v>
      </c>
    </row>
    <row r="6" customFormat="false" ht="12.75" hidden="false" customHeight="false" outlineLevel="0" collapsed="false">
      <c r="A6" s="0" t="s">
        <v>113</v>
      </c>
      <c r="D6" s="4" t="n">
        <v>13500000</v>
      </c>
      <c r="H6" s="0" t="s">
        <v>109</v>
      </c>
      <c r="I6" s="16" t="n">
        <f aca="false">IF(H6=$H$1,D6*$I$4,0)</f>
        <v>81000000</v>
      </c>
    </row>
    <row r="7" customFormat="false" ht="12.75" hidden="false" customHeight="false" outlineLevel="0" collapsed="false">
      <c r="A7" s="0" t="s">
        <v>114</v>
      </c>
      <c r="D7" s="4" t="n">
        <v>310000</v>
      </c>
      <c r="H7" s="0" t="s">
        <v>109</v>
      </c>
      <c r="I7" s="16" t="n">
        <f aca="false">IF(H7=$H$1,D7*$I$4,0)</f>
        <v>1860000</v>
      </c>
    </row>
    <row r="8" customFormat="false" ht="12.75" hidden="false" customHeight="false" outlineLevel="0" collapsed="false">
      <c r="A8" s="0" t="s">
        <v>115</v>
      </c>
      <c r="D8" s="4" t="n">
        <v>450000</v>
      </c>
      <c r="H8" s="0" t="s">
        <v>109</v>
      </c>
      <c r="I8" s="16" t="n">
        <f aca="false">IF(H8=$H$1,D8*$I$4,0)</f>
        <v>2700000</v>
      </c>
    </row>
    <row r="9" customFormat="false" ht="12.75" hidden="false" customHeight="false" outlineLevel="0" collapsed="false">
      <c r="A9" s="0" t="s">
        <v>116</v>
      </c>
      <c r="D9" s="4" t="n">
        <v>62000</v>
      </c>
      <c r="F9" s="0" t="s">
        <v>11</v>
      </c>
      <c r="H9" s="0" t="s">
        <v>117</v>
      </c>
      <c r="I9" s="16" t="n">
        <f aca="false">IF(H9=$H$1,D9*$I$4,0)</f>
        <v>0</v>
      </c>
      <c r="J9" s="0" t="s">
        <v>118</v>
      </c>
    </row>
    <row r="10" customFormat="false" ht="12.75" hidden="false" customHeight="false" outlineLevel="0" collapsed="false">
      <c r="A10" s="0" t="s">
        <v>119</v>
      </c>
      <c r="D10" s="4" t="n">
        <v>950000</v>
      </c>
      <c r="H10" s="0" t="s">
        <v>117</v>
      </c>
      <c r="I10" s="16" t="n">
        <f aca="false">IF(H10=$H$1,D10*$I$4,0)</f>
        <v>0</v>
      </c>
    </row>
    <row r="11" customFormat="false" ht="12.75" hidden="false" customHeight="false" outlineLevel="0" collapsed="false">
      <c r="A11" s="0" t="s">
        <v>50</v>
      </c>
      <c r="D11" s="4" t="n">
        <v>150000</v>
      </c>
      <c r="H11" s="0" t="s">
        <v>117</v>
      </c>
      <c r="I11" s="16" t="n">
        <f aca="false">IF(H11=$H$1,D11*$I$4,0)</f>
        <v>0</v>
      </c>
    </row>
    <row r="12" customFormat="false" ht="12.75" hidden="false" customHeight="false" outlineLevel="0" collapsed="false">
      <c r="A12" s="0" t="s">
        <v>120</v>
      </c>
      <c r="D12" s="4" t="n">
        <v>57000</v>
      </c>
      <c r="H12" s="0" t="s">
        <v>109</v>
      </c>
      <c r="I12" s="16" t="n">
        <f aca="false">IF(H12=$H$1,D12*$I$4,0)</f>
        <v>342000</v>
      </c>
    </row>
    <row r="13" customFormat="false" ht="12.75" hidden="false" customHeight="false" outlineLevel="0" collapsed="false">
      <c r="A13" s="0" t="s">
        <v>121</v>
      </c>
      <c r="D13" s="4" t="n">
        <v>23000</v>
      </c>
      <c r="H13" s="0" t="s">
        <v>109</v>
      </c>
      <c r="I13" s="16" t="n">
        <f aca="false">IF(H13=$H$1,D13*$I$4,0)</f>
        <v>138000</v>
      </c>
    </row>
    <row r="14" customFormat="false" ht="12.75" hidden="false" customHeight="false" outlineLevel="0" collapsed="false">
      <c r="A14" s="0" t="s">
        <v>122</v>
      </c>
      <c r="D14" s="4" t="n">
        <f aca="false">944000/4</f>
        <v>236000</v>
      </c>
      <c r="H14" s="0" t="s">
        <v>117</v>
      </c>
      <c r="I14" s="16" t="n">
        <f aca="false">IF(H14=$H$1,D14*$I$4,0)</f>
        <v>0</v>
      </c>
      <c r="J14" s="0" t="s">
        <v>123</v>
      </c>
    </row>
    <row r="15" customFormat="false" ht="12.75" hidden="false" customHeight="false" outlineLevel="0" collapsed="false">
      <c r="A15" s="0" t="s">
        <v>28</v>
      </c>
      <c r="D15" s="4" t="n">
        <f aca="false">1120000/4</f>
        <v>280000</v>
      </c>
      <c r="H15" s="0" t="s">
        <v>117</v>
      </c>
      <c r="I15" s="16" t="n">
        <f aca="false">IF(H15=$H$1,D15*$I$4,0)</f>
        <v>0</v>
      </c>
      <c r="J15" s="0" t="s">
        <v>124</v>
      </c>
    </row>
    <row r="16" customFormat="false" ht="12.75" hidden="false" customHeight="false" outlineLevel="0" collapsed="false">
      <c r="A16" s="0" t="s">
        <v>125</v>
      </c>
      <c r="D16" s="4" t="n">
        <f aca="false">988000/4</f>
        <v>247000</v>
      </c>
      <c r="H16" s="0" t="s">
        <v>117</v>
      </c>
      <c r="I16" s="16" t="n">
        <f aca="false">IF(H16=$H$1,D16*$I$4,0)</f>
        <v>0</v>
      </c>
      <c r="J16" s="0" t="s">
        <v>126</v>
      </c>
    </row>
    <row r="17" customFormat="false" ht="12.75" hidden="false" customHeight="false" outlineLevel="0" collapsed="false">
      <c r="A17" s="0" t="s">
        <v>127</v>
      </c>
      <c r="D17" s="4" t="n">
        <f aca="false">192000/4</f>
        <v>48000</v>
      </c>
      <c r="H17" s="0" t="s">
        <v>117</v>
      </c>
      <c r="I17" s="16" t="n">
        <f aca="false">IF(H17=$H$1,D17*$I$4,0)</f>
        <v>0</v>
      </c>
      <c r="J17" s="0" t="s">
        <v>128</v>
      </c>
    </row>
    <row r="18" customFormat="false" ht="12.75" hidden="false" customHeight="false" outlineLevel="0" collapsed="false">
      <c r="A18" s="0" t="s">
        <v>129</v>
      </c>
      <c r="D18" s="4" t="n">
        <f aca="false">74000/4</f>
        <v>18500</v>
      </c>
      <c r="H18" s="0" t="s">
        <v>117</v>
      </c>
      <c r="I18" s="16" t="n">
        <f aca="false">IF(H18=$H$1,D18*$I$4,0)</f>
        <v>0</v>
      </c>
    </row>
    <row r="19" customFormat="false" ht="15" hidden="false" customHeight="false" outlineLevel="0" collapsed="false">
      <c r="A19" s="0" t="s">
        <v>130</v>
      </c>
      <c r="D19" s="4" t="n">
        <v>150000</v>
      </c>
      <c r="H19" s="0" t="s">
        <v>117</v>
      </c>
      <c r="I19" s="17" t="n">
        <f aca="false">IF(H19=$H$1,D19*$I$4,0)</f>
        <v>0</v>
      </c>
    </row>
    <row r="20" customFormat="false" ht="12.75" hidden="false" customHeight="false" outlineLevel="0" collapsed="false">
      <c r="D20" s="4"/>
    </row>
    <row r="21" customFormat="false" ht="12.75" hidden="false" customHeight="false" outlineLevel="0" collapsed="false">
      <c r="D21" s="4" t="n">
        <f aca="false">SUM(D6:D20)</f>
        <v>16481500</v>
      </c>
      <c r="I21" s="4" t="n">
        <f aca="false">SUM(I6:I20)</f>
        <v>86040000</v>
      </c>
    </row>
    <row r="22" customFormat="false" ht="12.75" hidden="false" customHeight="false" outlineLevel="0" collapsed="false">
      <c r="D22" s="4"/>
      <c r="I22" s="4" t="n">
        <f aca="false">I21/I4</f>
        <v>14340000</v>
      </c>
    </row>
    <row r="23" customFormat="false" ht="12.75" hidden="false" customHeight="false" outlineLevel="0" collapsed="false">
      <c r="D23" s="4"/>
    </row>
    <row r="24" customFormat="false" ht="12.75" hidden="false" customHeight="false" outlineLevel="0" collapsed="false">
      <c r="A24" s="18" t="s">
        <v>131</v>
      </c>
      <c r="D24" s="4"/>
    </row>
    <row r="25" customFormat="false" ht="12.75" hidden="false" customHeight="false" outlineLevel="0" collapsed="false">
      <c r="A25" s="19" t="s">
        <v>28</v>
      </c>
      <c r="D25" s="4" t="n">
        <v>280000</v>
      </c>
    </row>
    <row r="26" customFormat="false" ht="12.75" hidden="false" customHeight="false" outlineLevel="0" collapsed="false">
      <c r="A26" s="19" t="s">
        <v>132</v>
      </c>
      <c r="D26" s="4" t="n">
        <v>198000</v>
      </c>
    </row>
    <row r="27" customFormat="false" ht="12.75" hidden="false" customHeight="false" outlineLevel="0" collapsed="false">
      <c r="A27" s="19" t="s">
        <v>133</v>
      </c>
      <c r="D27" s="4" t="n">
        <v>233000</v>
      </c>
    </row>
    <row r="28" customFormat="false" ht="12.75" hidden="false" customHeight="false" outlineLevel="0" collapsed="false">
      <c r="A28" s="19" t="s">
        <v>119</v>
      </c>
      <c r="D28" s="4" t="n">
        <v>950000</v>
      </c>
    </row>
    <row r="29" customFormat="false" ht="12.75" hidden="false" customHeight="false" outlineLevel="0" collapsed="false">
      <c r="A29" s="0" t="s">
        <v>113</v>
      </c>
      <c r="D29" s="4" t="n">
        <v>13500000</v>
      </c>
    </row>
    <row r="30" customFormat="false" ht="12.75" hidden="false" customHeight="false" outlineLevel="0" collapsed="false">
      <c r="A30" s="0" t="s">
        <v>114</v>
      </c>
      <c r="D30" s="4" t="n">
        <v>310000</v>
      </c>
    </row>
    <row r="31" customFormat="false" ht="12.75" hidden="false" customHeight="false" outlineLevel="0" collapsed="false">
      <c r="A31" s="0" t="s">
        <v>115</v>
      </c>
      <c r="D31" s="4" t="n">
        <v>450000</v>
      </c>
    </row>
    <row r="32" customFormat="false" ht="12.75" hidden="false" customHeight="false" outlineLevel="0" collapsed="false">
      <c r="A32" s="0" t="s">
        <v>116</v>
      </c>
      <c r="D32" s="4" t="n">
        <v>62000</v>
      </c>
    </row>
    <row r="33" customFormat="false" ht="12.75" hidden="false" customHeight="false" outlineLevel="0" collapsed="false">
      <c r="A33" s="0" t="s">
        <v>119</v>
      </c>
      <c r="D33" s="4" t="n">
        <v>950000</v>
      </c>
    </row>
    <row r="34" customFormat="false" ht="12.75" hidden="false" customHeight="false" outlineLevel="0" collapsed="false">
      <c r="A34" s="0" t="s">
        <v>50</v>
      </c>
      <c r="D34" s="4" t="n">
        <v>150000</v>
      </c>
    </row>
    <row r="35" customFormat="false" ht="12.75" hidden="false" customHeight="false" outlineLevel="0" collapsed="false">
      <c r="D35" s="4"/>
    </row>
    <row r="36" customFormat="false" ht="12.75" hidden="false" customHeight="false" outlineLevel="0" collapsed="false">
      <c r="A36" s="0" t="s">
        <v>134</v>
      </c>
      <c r="D36" s="4" t="n">
        <f aca="false">907536/4</f>
        <v>226884</v>
      </c>
    </row>
    <row r="37" customFormat="false" ht="12.75" hidden="false" customHeight="false" outlineLevel="0" collapsed="false">
      <c r="A37" s="0" t="s">
        <v>135</v>
      </c>
      <c r="D37" s="4" t="n">
        <v>206258</v>
      </c>
    </row>
    <row r="38" customFormat="false" ht="12.75" hidden="false" customHeight="false" outlineLevel="0" collapsed="false">
      <c r="A38" s="0" t="s">
        <v>136</v>
      </c>
      <c r="D38" s="4" t="n">
        <v>68753</v>
      </c>
    </row>
    <row r="39" customFormat="false" ht="12.75" hidden="false" customHeight="false" outlineLevel="0" collapsed="false">
      <c r="A39" s="0" t="s">
        <v>137</v>
      </c>
      <c r="D39" s="4" t="n">
        <v>34376</v>
      </c>
    </row>
    <row r="40" customFormat="false" ht="12.75" hidden="false" customHeight="false" outlineLevel="0" collapsed="false">
      <c r="A40" s="0" t="s">
        <v>138</v>
      </c>
      <c r="D40" s="4" t="n">
        <v>34376</v>
      </c>
    </row>
    <row r="41" customFormat="false" ht="12.75" hidden="false" customHeight="false" outlineLevel="0" collapsed="false">
      <c r="A41" s="0" t="s">
        <v>139</v>
      </c>
      <c r="D41" s="4" t="n">
        <v>41252</v>
      </c>
    </row>
    <row r="42" customFormat="false" ht="12.75" hidden="false" customHeight="false" outlineLevel="0" collapsed="false">
      <c r="A42" s="0" t="s">
        <v>140</v>
      </c>
      <c r="D42" s="4" t="n">
        <v>34376</v>
      </c>
    </row>
    <row r="43" customFormat="false" ht="12.75" hidden="false" customHeight="false" outlineLevel="0" collapsed="false">
      <c r="D43" s="4"/>
    </row>
    <row r="44" customFormat="false" ht="12.75" hidden="false" customHeight="false" outlineLevel="0" collapsed="false">
      <c r="A44" s="0" t="s">
        <v>141</v>
      </c>
      <c r="D44" s="4" t="n">
        <v>56377</v>
      </c>
    </row>
    <row r="45" customFormat="false" ht="12.75" hidden="false" customHeight="false" outlineLevel="0" collapsed="false">
      <c r="D45" s="4"/>
    </row>
    <row r="46" customFormat="false" ht="12.75" hidden="false" customHeight="false" outlineLevel="0" collapsed="false">
      <c r="A46" s="0" t="s">
        <v>142</v>
      </c>
      <c r="B46" s="0" t="n">
        <v>2</v>
      </c>
      <c r="C46" s="5" t="n">
        <v>0.5</v>
      </c>
      <c r="D46" s="4" t="n">
        <v>154006</v>
      </c>
    </row>
    <row r="47" customFormat="false" ht="12.75" hidden="false" customHeight="false" outlineLevel="0" collapsed="false">
      <c r="A47" s="0" t="s">
        <v>143</v>
      </c>
      <c r="D47" s="4" t="n">
        <v>137506</v>
      </c>
    </row>
    <row r="48" customFormat="false" ht="12.75" hidden="false" customHeight="false" outlineLevel="0" collapsed="false">
      <c r="A48" s="0" t="s">
        <v>144</v>
      </c>
      <c r="D48" s="4" t="n">
        <v>495020</v>
      </c>
    </row>
    <row r="49" customFormat="false" ht="12.75" hidden="false" customHeight="false" outlineLevel="0" collapsed="false">
      <c r="A49" s="0" t="s">
        <v>145</v>
      </c>
      <c r="D49" s="4" t="n">
        <v>61878</v>
      </c>
    </row>
    <row r="50" customFormat="false" ht="12.75" hidden="false" customHeight="false" outlineLevel="0" collapsed="false">
      <c r="A50" s="0" t="s">
        <v>146</v>
      </c>
      <c r="D50" s="4" t="n">
        <v>36164</v>
      </c>
    </row>
    <row r="51" customFormat="false" ht="12.75" hidden="false" customHeight="false" outlineLevel="0" collapsed="false">
      <c r="D51" s="4"/>
    </row>
    <row r="52" customFormat="false" ht="12.75" hidden="false" customHeight="false" outlineLevel="0" collapsed="false">
      <c r="A52" s="0" t="s">
        <v>147</v>
      </c>
      <c r="D52" s="4" t="n">
        <v>99334</v>
      </c>
    </row>
    <row r="53" customFormat="false" ht="12.75" hidden="false" customHeight="false" outlineLevel="0" collapsed="false">
      <c r="A53" s="0" t="s">
        <v>148</v>
      </c>
      <c r="D53" s="4" t="n">
        <v>199383</v>
      </c>
    </row>
    <row r="54" customFormat="false" ht="12.75" hidden="false" customHeight="false" outlineLevel="0" collapsed="false">
      <c r="D54" s="4"/>
    </row>
    <row r="55" customFormat="false" ht="12.75" hidden="false" customHeight="false" outlineLevel="0" collapsed="false">
      <c r="A55" s="0" t="s">
        <v>149</v>
      </c>
      <c r="D55" s="4" t="n">
        <v>44002</v>
      </c>
    </row>
    <row r="56" customFormat="false" ht="12.75" hidden="false" customHeight="false" outlineLevel="0" collapsed="false">
      <c r="D56" s="4"/>
    </row>
    <row r="57" customFormat="false" ht="12.75" hidden="false" customHeight="false" outlineLevel="0" collapsed="false">
      <c r="A57" s="0" t="s">
        <v>150</v>
      </c>
      <c r="D57" s="4" t="n">
        <v>90794</v>
      </c>
    </row>
    <row r="58" customFormat="false" ht="12.75" hidden="false" customHeight="false" outlineLevel="0" collapsed="false">
      <c r="D58" s="4"/>
    </row>
    <row r="59" customFormat="false" ht="12.75" hidden="false" customHeight="false" outlineLevel="0" collapsed="false">
      <c r="A59" s="0" t="s">
        <v>151</v>
      </c>
      <c r="D59" s="4" t="n">
        <v>165007</v>
      </c>
    </row>
    <row r="60" customFormat="false" ht="12.75" hidden="false" customHeight="false" outlineLevel="0" collapsed="false">
      <c r="D60" s="4"/>
    </row>
    <row r="61" customFormat="false" ht="12.75" hidden="false" customHeight="false" outlineLevel="0" collapsed="false">
      <c r="A61" s="0" t="s">
        <v>152</v>
      </c>
      <c r="D61" s="4" t="n">
        <v>226884</v>
      </c>
    </row>
    <row r="62" customFormat="false" ht="12.75" hidden="false" customHeight="false" outlineLevel="0" collapsed="false">
      <c r="D62" s="4"/>
    </row>
    <row r="63" customFormat="false" ht="12.75" hidden="false" customHeight="false" outlineLevel="0" collapsed="false">
      <c r="D63" s="4"/>
    </row>
    <row r="64" customFormat="false" ht="12.75" hidden="false" customHeight="false" outlineLevel="0" collapsed="false">
      <c r="D64" s="4"/>
    </row>
    <row r="65" customFormat="false" ht="12.75" hidden="false" customHeight="false" outlineLevel="0" collapsed="false">
      <c r="D65" s="4"/>
    </row>
    <row r="66" customFormat="false" ht="12.75" hidden="false" customHeight="false" outlineLevel="0" collapsed="false">
      <c r="D66" s="4"/>
    </row>
    <row r="67" customFormat="false" ht="12.75" hidden="false" customHeight="false" outlineLevel="0" collapsed="false">
      <c r="D67" s="4"/>
    </row>
    <row r="68" customFormat="false" ht="12.75" hidden="false" customHeight="false" outlineLevel="0" collapsed="false">
      <c r="D6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3" min="3" style="0" width="10.28"/>
  </cols>
  <sheetData>
    <row r="3" customFormat="false" ht="12.75" hidden="false" customHeight="false" outlineLevel="0" collapsed="false">
      <c r="A3" s="0" t="s">
        <v>153</v>
      </c>
      <c r="B3" s="0" t="s">
        <v>154</v>
      </c>
      <c r="C3" s="20" t="n">
        <v>47500</v>
      </c>
    </row>
    <row r="4" customFormat="false" ht="12.75" hidden="false" customHeight="false" outlineLevel="0" collapsed="false">
      <c r="A4" s="0" t="s">
        <v>155</v>
      </c>
      <c r="C4" s="21" t="n">
        <v>0.9</v>
      </c>
    </row>
    <row r="5" customFormat="false" ht="12.75" hidden="false" customHeight="false" outlineLevel="0" collapsed="false">
      <c r="A5" s="0" t="s">
        <v>156</v>
      </c>
      <c r="B5" s="0" t="s">
        <v>157</v>
      </c>
      <c r="C5" s="20" t="n">
        <f aca="false">C3/C4</f>
        <v>52777.7777777778</v>
      </c>
    </row>
    <row r="6" customFormat="false" ht="12.75" hidden="false" customHeight="false" outlineLevel="0" collapsed="false">
      <c r="A6" s="0" t="s">
        <v>158</v>
      </c>
      <c r="B6" s="0" t="s">
        <v>159</v>
      </c>
      <c r="C6" s="20" t="n">
        <v>13800</v>
      </c>
    </row>
    <row r="7" customFormat="false" ht="12.75" hidden="false" customHeight="false" outlineLevel="0" collapsed="false">
      <c r="B7" s="0" t="s">
        <v>160</v>
      </c>
      <c r="C7" s="20" t="n">
        <f aca="false">C5*1000/(C6*3^0.5)</f>
        <v>2208.06262371234</v>
      </c>
    </row>
    <row r="8" customFormat="false" ht="12.75" hidden="false" customHeight="false" outlineLevel="0" collapsed="false">
      <c r="C8" s="20"/>
    </row>
    <row r="9" customFormat="false" ht="12.75" hidden="false" customHeight="false" outlineLevel="0" collapsed="false">
      <c r="C9" s="20"/>
    </row>
    <row r="10" customFormat="false" ht="12.75" hidden="false" customHeight="false" outlineLevel="0" collapsed="false">
      <c r="C10" s="20"/>
    </row>
    <row r="11" customFormat="false" ht="12.75" hidden="false" customHeight="false" outlineLevel="0" collapsed="false">
      <c r="C11" s="20"/>
    </row>
    <row r="12" customFormat="false" ht="12.75" hidden="false" customHeight="false" outlineLevel="0" collapsed="false">
      <c r="C12" s="20"/>
    </row>
    <row r="13" customFormat="false" ht="12.75" hidden="false" customHeight="false" outlineLevel="0" collapsed="false">
      <c r="C13" s="20"/>
    </row>
    <row r="14" customFormat="false" ht="12.75" hidden="false" customHeight="false" outlineLevel="0" collapsed="false">
      <c r="C14" s="20"/>
    </row>
    <row r="15" customFormat="false" ht="12.75" hidden="false" customHeight="false" outlineLevel="0" collapsed="false">
      <c r="C15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2000-02-14T22:50:36Z</dcterms:created>
  <dc:creator>EI</dc:creator>
  <dc:description/>
  <dc:language>en-US</dc:language>
  <cp:lastModifiedBy>EI</cp:lastModifiedBy>
  <cp:lastPrinted>2000-05-02T11:53:02Z</cp:lastPrinted>
  <cp:revision>0</cp:revision>
  <dc:subject/>
  <dc:title/>
</cp:coreProperties>
</file>