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7" authorId="0">
      <text>
        <r>
          <rPr>
            <b val="true"/>
            <sz val="8"/>
            <color rgb="FF000000"/>
            <rFont val="Tahoma"/>
            <family val="0"/>
          </rPr>
          <t xml:space="preserve">kward:
</t>
        </r>
        <r>
          <rPr>
            <sz val="8"/>
            <color rgb="FF000000"/>
            <rFont val="Tahoma"/>
            <family val="0"/>
          </rPr>
          <t xml:space="preserve">check against TW invoice 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5</xdr:row>
                <xdr:rowOff>7</xdr:rowOff>
              </xdr:from>
              <xdr:to>
                <xdr:col>4</xdr:col>
                <xdr:colOff>32</xdr:colOff>
                <xdr:row>9</xdr:row>
                <xdr:rowOff>12</xdr:rowOff>
              </xdr:to>
            </anchor>
          </commentPr>
        </mc:Choice>
        <mc:Fallback/>
      </mc:AlternateContent>
    </comment>
    <comment ref="C8" authorId="0">
      <text>
        <r>
          <rPr>
            <b val="true"/>
            <sz val="8"/>
            <color rgb="FF000000"/>
            <rFont val="Tahoma"/>
            <family val="0"/>
          </rPr>
          <t xml:space="preserve">kward:
</t>
        </r>
        <r>
          <rPr>
            <sz val="8"/>
            <color rgb="FF000000"/>
            <rFont val="Tahoma"/>
            <family val="0"/>
          </rPr>
          <t xml:space="preserve">check against TW invoice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6</xdr:row>
                <xdr:rowOff>7</xdr:rowOff>
              </xdr:from>
              <xdr:to>
                <xdr:col>4</xdr:col>
                <xdr:colOff>32</xdr:colOff>
                <xdr:row>10</xdr:row>
                <xdr:rowOff>12</xdr:rowOff>
              </xdr:to>
            </anchor>
          </commentPr>
        </mc:Choice>
        <mc:Fallback/>
      </mc:AlternateContent>
    </comment>
    <comment ref="C9" authorId="0">
      <text>
        <r>
          <rPr>
            <b val="true"/>
            <sz val="8"/>
            <color rgb="FF000000"/>
            <rFont val="Tahoma"/>
            <family val="0"/>
          </rPr>
          <t xml:space="preserve">kward:
</t>
        </r>
        <r>
          <rPr>
            <sz val="8"/>
            <color rgb="FF000000"/>
            <rFont val="Tahoma"/>
            <family val="0"/>
          </rPr>
          <t xml:space="preserve">check against TW invoice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7</xdr:row>
                <xdr:rowOff>7</xdr:rowOff>
              </xdr:from>
              <xdr:to>
                <xdr:col>4</xdr:col>
                <xdr:colOff>32</xdr:colOff>
                <xdr:row>11</xdr:row>
                <xdr:rowOff>12</xdr:rowOff>
              </xdr:to>
            </anchor>
          </commentPr>
        </mc:Choice>
        <mc:Fallback/>
      </mc:AlternateContent>
    </comment>
    <comment ref="C11" authorId="0">
      <text>
        <r>
          <rPr>
            <b val="true"/>
            <sz val="8"/>
            <color rgb="FF000000"/>
            <rFont val="Tahoma"/>
            <family val="0"/>
          </rPr>
          <t xml:space="preserve">kward:
</t>
        </r>
        <r>
          <rPr>
            <sz val="8"/>
            <color rgb="FF000000"/>
            <rFont val="Tahoma"/>
            <family val="0"/>
          </rPr>
          <t xml:space="preserve">check against TW invoice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9</xdr:row>
                <xdr:rowOff>7</xdr:rowOff>
              </xdr:from>
              <xdr:to>
                <xdr:col>4</xdr:col>
                <xdr:colOff>33</xdr:colOff>
                <xdr:row>13</xdr:row>
                <xdr:rowOff>9</xdr:rowOff>
              </xdr:to>
            </anchor>
          </commentPr>
        </mc:Choice>
        <mc:Fallback/>
      </mc:AlternateContent>
    </comment>
    <comment ref="C12" authorId="0">
      <text>
        <r>
          <rPr>
            <b val="true"/>
            <sz val="8"/>
            <color rgb="FF000000"/>
            <rFont val="Tahoma"/>
            <family val="0"/>
          </rPr>
          <t xml:space="preserve">kward:
</t>
        </r>
        <r>
          <rPr>
            <sz val="8"/>
            <color rgb="FF000000"/>
            <rFont val="Tahoma"/>
            <family val="0"/>
          </rPr>
          <t xml:space="preserve">check against TW invoice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10</xdr:row>
                <xdr:rowOff>7</xdr:rowOff>
              </xdr:from>
              <xdr:to>
                <xdr:col>4</xdr:col>
                <xdr:colOff>33</xdr:colOff>
                <xdr:row>14</xdr:row>
                <xdr:rowOff>9</xdr:rowOff>
              </xdr:to>
            </anchor>
          </commentPr>
        </mc:Choice>
        <mc:Fallback/>
      </mc:AlternateContent>
    </comment>
    <comment ref="C13" authorId="0">
      <text>
        <r>
          <rPr>
            <b val="true"/>
            <sz val="8"/>
            <color rgb="FF000000"/>
            <rFont val="Tahoma"/>
            <family val="0"/>
          </rPr>
          <t xml:space="preserve">kward:
</t>
        </r>
        <r>
          <rPr>
            <sz val="8"/>
            <color rgb="FF000000"/>
            <rFont val="Tahoma"/>
            <family val="0"/>
          </rPr>
          <t xml:space="preserve">check against TW invoice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11</xdr:row>
                <xdr:rowOff>8</xdr:rowOff>
              </xdr:from>
              <xdr:to>
                <xdr:col>4</xdr:col>
                <xdr:colOff>33</xdr:colOff>
                <xdr:row>14</xdr:row>
                <xdr:rowOff>27</xdr:rowOff>
              </xdr:to>
            </anchor>
          </commentPr>
        </mc:Choice>
        <mc:Fallback/>
      </mc:AlternateContent>
    </comment>
    <comment ref="F15" authorId="0">
      <text>
        <r>
          <rPr>
            <b val="true"/>
            <sz val="8"/>
            <color rgb="FF000000"/>
            <rFont val="Tahoma"/>
            <family val="0"/>
          </rPr>
          <t xml:space="preserve">kward:
</t>
        </r>
        <r>
          <rPr>
            <sz val="8"/>
            <color rgb="FF000000"/>
            <rFont val="Tahoma"/>
            <family val="0"/>
          </rPr>
          <t xml:space="preserve">check against Sitara for alternate pricing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37</xdr:colOff>
                <xdr:row>13</xdr:row>
                <xdr:rowOff>8</xdr:rowOff>
              </xdr:from>
              <xdr:to>
                <xdr:col>7</xdr:col>
                <xdr:colOff>52</xdr:colOff>
                <xdr:row>14</xdr:row>
                <xdr:rowOff>64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<sst xmlns="http://schemas.openxmlformats.org/spreadsheetml/2006/main" count="49" uniqueCount="46">
  <si>
    <t xml:space="preserve">Citizens Utilities- Griffith Plant Deliveries</t>
  </si>
  <si>
    <t xml:space="preserve">Inputs:</t>
  </si>
  <si>
    <t xml:space="preserve">Delivery Month</t>
  </si>
  <si>
    <t xml:space="preserve">Delivery Demand Quantity (DDQ)</t>
  </si>
  <si>
    <t xml:space="preserve">Transportation (San Juan Lateral):</t>
  </si>
  <si>
    <t xml:space="preserve">       Reservation Charge</t>
  </si>
  <si>
    <t xml:space="preserve">       Commodity Charge</t>
  </si>
  <si>
    <t xml:space="preserve">       Fuel Charge</t>
  </si>
  <si>
    <t xml:space="preserve">Transportation (Mainline):</t>
  </si>
  <si>
    <t xml:space="preserve">3+4</t>
  </si>
  <si>
    <t xml:space="preserve">Transportation Charges</t>
  </si>
  <si>
    <t xml:space="preserve">San Juan Lateral</t>
  </si>
  <si>
    <t xml:space="preserve">Mainline</t>
  </si>
  <si>
    <t xml:space="preserve">Additional Charge</t>
  </si>
  <si>
    <t xml:space="preserve">Date</t>
  </si>
  <si>
    <t xml:space="preserve">Scheduled Delivery Volume (MMBtu)</t>
  </si>
  <si>
    <t xml:space="preserve">Reciept Volume including Fuel</t>
  </si>
  <si>
    <t xml:space="preserve">Transport Only Volume</t>
  </si>
  <si>
    <t xml:space="preserve">Deal Demand Charge = $.09</t>
  </si>
  <si>
    <t xml:space="preserve">Contract Price (San Juan Gas Daily Mid or Negotiated Fixed Price)</t>
  </si>
  <si>
    <t xml:space="preserve">Commodity Sales to Citizens</t>
  </si>
  <si>
    <t xml:space="preserve">Lateral Demand Charge</t>
  </si>
  <si>
    <t xml:space="preserve">Lateral Commodity Charge</t>
  </si>
  <si>
    <t xml:space="preserve">Lateral Fuel</t>
  </si>
  <si>
    <t xml:space="preserve">Lateral Fuel /MMBtu</t>
  </si>
  <si>
    <t xml:space="preserve">Total San Juan Lateral Transport Charge</t>
  </si>
  <si>
    <t xml:space="preserve">Mainline Commodity Charge</t>
  </si>
  <si>
    <t xml:space="preserve">Mainline Fuel</t>
  </si>
  <si>
    <t xml:space="preserve">MainlineFuel /MMBtu</t>
  </si>
  <si>
    <t xml:space="preserve">Total Mainline Transport Charge</t>
  </si>
  <si>
    <t xml:space="preserve">PG&amp;E Topock Gas Daily Mid</t>
  </si>
  <si>
    <t xml:space="preserve">San Juan Gas Daily Mid</t>
  </si>
  <si>
    <t xml:space="preserve">Total Transport Charges</t>
  </si>
  <si>
    <t xml:space="preserve">Spread </t>
  </si>
  <si>
    <t xml:space="preserve">Sales Spread Value</t>
  </si>
  <si>
    <t xml:space="preserve">8.5% of Sales Spread Value</t>
  </si>
  <si>
    <t xml:space="preserve">8.5% of Demand Spread Value</t>
  </si>
  <si>
    <t xml:space="preserve">Total Daily Charge to be billed to Citizens</t>
  </si>
  <si>
    <t xml:space="preserve">Enron (7.5%) (Origination for Kim &amp; Chris)</t>
  </si>
  <si>
    <t xml:space="preserve">Citizens (1%) (Paid to John Cogan)</t>
  </si>
  <si>
    <t xml:space="preserve">$.02 of Deal Demand charge to EARMS</t>
  </si>
  <si>
    <t xml:space="preserve">Total</t>
  </si>
  <si>
    <t xml:space="preserve">add formula so that if</t>
  </si>
  <si>
    <t xml:space="preserve">1)we don’t' sell phys gas or </t>
  </si>
  <si>
    <t xml:space="preserve">2)spread &lt; 0</t>
  </si>
  <si>
    <t xml:space="preserve">this space is zero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</si>
</sst>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\$* #,##0.00_);_(\$* \(#,##0.00\);_(\$* \-??_);_(@_)"/>
    <numFmt numFmtId="166" formatCode="_(\$* #,##0_);_(\$* \(#,##0\);_(\$* \-??_);_(@_)"/>
    <numFmt numFmtId="167" formatCode="[$-409]mmm\-yy"/>
    <numFmt numFmtId="168" formatCode="_(* #,##0.00_);_(* \(#,##0.00\);_(* \-??_);_(@_)"/>
    <numFmt numFmtId="169" formatCode="_(* #,##0_);_(* \(#,##0\);_(* \-??_);_(@_)"/>
    <numFmt numFmtId="170" formatCode="0.00%"/>
    <numFmt numFmtId="171" formatCode="[$-409]d\-mmm"/>
    <numFmt numFmtId="172" formatCode="_(* #,##0.0000_);_(* \(#,##0.0000\);_(* \-??_);_(@_)"/>
    <numFmt numFmtId="173" formatCode="_(\$* #,##0.0000_);_(\$* \(#,##0.0000\);_(\$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0"/>
      <color rgb="FF3366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3366FF"/>
        <bgColor rgb="FF0066CC"/>
      </patternFill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</fills>
  <borders count="33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2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4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3" borderId="13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4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3" borderId="15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4" fillId="3" borderId="12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4" fillId="3" borderId="13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3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1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5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1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1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2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5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966240</xdr:colOff>
      <xdr:row>2</xdr:row>
      <xdr:rowOff>105120</xdr:rowOff>
    </xdr:from>
    <xdr:to>
      <xdr:col>4</xdr:col>
      <xdr:colOff>795960</xdr:colOff>
      <xdr:row>9</xdr:row>
      <xdr:rowOff>123840</xdr:rowOff>
    </xdr:to>
    <xdr:sp>
      <xdr:nvSpPr>
        <xdr:cNvPr id="0" name="Rectangle 12"/>
        <xdr:cNvSpPr/>
      </xdr:nvSpPr>
      <xdr:spPr>
        <a:xfrm>
          <a:off x="4573080" y="438480"/>
          <a:ext cx="966960" cy="1152360"/>
        </a:xfrm>
        <a:prstGeom prst="rect">
          <a:avLst/>
        </a:prstGeom>
        <a:solidFill>
          <a:srgbClr val="ffff00"/>
        </a:solidFill>
        <a:ln w="936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solidFill>
                <a:srgbClr val="3366ff"/>
              </a:solidFill>
              <a:effectLst/>
              <a:uFillTx/>
              <a:latin typeface="Arial"/>
            </a:rPr>
            <a:t>Note:  All columns with green headings are inputs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C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8.41"/>
    <col collapsed="false" customWidth="true" hidden="false" outlineLevel="0" max="3" min="3" style="1" width="13.7"/>
    <col collapsed="false" customWidth="true" hidden="false" outlineLevel="0" max="4" min="4" style="0" width="16.13"/>
    <col collapsed="false" customWidth="true" hidden="false" outlineLevel="0" max="5" min="5" style="2" width="15.13"/>
    <col collapsed="false" customWidth="true" hidden="false" outlineLevel="0" max="6" min="6" style="0" width="16.28"/>
    <col collapsed="false" customWidth="true" hidden="false" outlineLevel="0" max="7" min="7" style="3" width="16.28"/>
    <col collapsed="false" customWidth="true" hidden="false" outlineLevel="0" max="8" min="8" style="4" width="9.14"/>
    <col collapsed="false" customWidth="true" hidden="false" outlineLevel="0" max="9" min="9" style="3" width="12.99"/>
    <col collapsed="false" customWidth="true" hidden="false" outlineLevel="0" max="12" min="10" style="0" width="10.28"/>
    <col collapsed="false" customWidth="true" hidden="false" outlineLevel="0" max="13" min="13" style="3" width="12.99"/>
    <col collapsed="false" customWidth="true" hidden="false" outlineLevel="0" max="15" min="14" style="0" width="9.28"/>
    <col collapsed="false" customWidth="true" hidden="false" outlineLevel="0" max="16" min="16" style="0" width="11.13"/>
    <col collapsed="false" customWidth="true" hidden="false" outlineLevel="0" max="18" min="17" style="0" width="9.28"/>
    <col collapsed="false" customWidth="true" hidden="false" outlineLevel="0" max="19" min="19" style="0" width="10.71"/>
    <col collapsed="false" customWidth="true" hidden="false" outlineLevel="0" max="20" min="20" style="0" width="10.99"/>
    <col collapsed="false" customWidth="true" hidden="false" outlineLevel="0" max="23" min="21" style="0" width="11.13"/>
    <col collapsed="false" customWidth="true" hidden="false" outlineLevel="0" max="24" min="24" style="0" width="15.13"/>
    <col collapsed="false" customWidth="true" hidden="false" outlineLevel="0" max="25" min="25" style="0" width="7.42"/>
    <col collapsed="false" customWidth="true" hidden="false" outlineLevel="0" max="26" min="26" style="0" width="11.85"/>
    <col collapsed="false" customWidth="true" hidden="false" outlineLevel="0" max="27" min="27" style="0" width="10.41"/>
    <col collapsed="false" customWidth="true" hidden="false" outlineLevel="0" max="28" min="28" style="0" width="6.7"/>
    <col collapsed="false" customWidth="true" hidden="false" outlineLevel="0" max="29" min="29" style="0" width="10.41"/>
  </cols>
  <sheetData>
    <row r="1" customFormat="false" ht="12.75" hidden="false" customHeight="false" outlineLevel="0" collapsed="false">
      <c r="A1" s="5" t="s">
        <v>0</v>
      </c>
    </row>
    <row r="2" customFormat="false" ht="13.5" hidden="false" customHeight="false" outlineLevel="0" collapsed="false"/>
    <row r="3" customFormat="false" ht="12.75" hidden="false" customHeight="false" outlineLevel="0" collapsed="false">
      <c r="B3" s="6" t="s">
        <v>1</v>
      </c>
      <c r="C3" s="7"/>
    </row>
    <row r="4" customFormat="false" ht="12.75" hidden="false" customHeight="false" outlineLevel="0" collapsed="false">
      <c r="B4" s="8" t="s">
        <v>2</v>
      </c>
      <c r="C4" s="9" t="n">
        <v>37104</v>
      </c>
    </row>
    <row r="5" customFormat="false" ht="12.75" hidden="false" customHeight="false" outlineLevel="0" collapsed="false">
      <c r="B5" s="8" t="s">
        <v>3</v>
      </c>
      <c r="C5" s="10" t="n">
        <f aca="false">IF(C4&lt;37196,20000,15000)</f>
        <v>20000</v>
      </c>
    </row>
    <row r="6" customFormat="false" ht="12.75" hidden="false" customHeight="false" outlineLevel="0" collapsed="false">
      <c r="B6" s="8" t="s">
        <v>4</v>
      </c>
      <c r="C6" s="11"/>
    </row>
    <row r="7" customFormat="false" ht="12.75" hidden="false" customHeight="false" outlineLevel="0" collapsed="false">
      <c r="B7" s="8" t="s">
        <v>5</v>
      </c>
      <c r="C7" s="12" t="n">
        <v>0.1031</v>
      </c>
    </row>
    <row r="8" customFormat="false" ht="12.75" hidden="false" customHeight="false" outlineLevel="0" collapsed="false">
      <c r="B8" s="8" t="s">
        <v>6</v>
      </c>
      <c r="C8" s="12" t="n">
        <v>0.0011</v>
      </c>
    </row>
    <row r="9" customFormat="false" ht="12.75" hidden="false" customHeight="false" outlineLevel="0" collapsed="false">
      <c r="B9" s="8" t="s">
        <v>7</v>
      </c>
      <c r="C9" s="13" t="n">
        <v>0.0025</v>
      </c>
      <c r="P9" s="0" t="n">
        <v>4</v>
      </c>
      <c r="V9" s="0" t="n">
        <v>5</v>
      </c>
      <c r="W9" s="0" t="n">
        <v>5</v>
      </c>
    </row>
    <row r="10" customFormat="false" ht="12.75" hidden="false" customHeight="false" outlineLevel="0" collapsed="false">
      <c r="B10" s="8" t="s">
        <v>8</v>
      </c>
      <c r="C10" s="11"/>
      <c r="I10" s="14"/>
      <c r="L10" s="0" t="n">
        <v>3</v>
      </c>
    </row>
    <row r="11" customFormat="false" ht="12.75" hidden="false" customHeight="false" outlineLevel="0" collapsed="false">
      <c r="B11" s="8" t="s">
        <v>5</v>
      </c>
      <c r="C11" s="12" t="n">
        <v>0.2082</v>
      </c>
      <c r="I11" s="14"/>
    </row>
    <row r="12" customFormat="false" ht="13.5" hidden="false" customHeight="false" outlineLevel="0" collapsed="false">
      <c r="B12" s="8" t="s">
        <v>6</v>
      </c>
      <c r="C12" s="12" t="n">
        <v>0.023</v>
      </c>
      <c r="S12" s="0" t="s">
        <v>9</v>
      </c>
    </row>
    <row r="13" customFormat="false" ht="13.5" hidden="false" customHeight="false" outlineLevel="0" collapsed="false">
      <c r="B13" s="15" t="s">
        <v>7</v>
      </c>
      <c r="C13" s="16" t="n">
        <v>0.045</v>
      </c>
      <c r="H13" s="17" t="s">
        <v>10</v>
      </c>
      <c r="I13" s="17"/>
      <c r="J13" s="17"/>
      <c r="K13" s="17"/>
      <c r="L13" s="17"/>
      <c r="M13" s="17"/>
      <c r="N13" s="17"/>
      <c r="O13" s="17"/>
      <c r="P13" s="17"/>
    </row>
    <row r="14" customFormat="false" ht="13.5" hidden="false" customHeight="false" outlineLevel="0" collapsed="false">
      <c r="A14" s="18"/>
      <c r="B14" s="18"/>
      <c r="C14" s="19"/>
      <c r="D14" s="18"/>
      <c r="E14" s="20" t="n">
        <v>1</v>
      </c>
      <c r="F14" s="14" t="n">
        <v>2</v>
      </c>
      <c r="H14" s="21" t="s">
        <v>11</v>
      </c>
      <c r="I14" s="21"/>
      <c r="J14" s="21"/>
      <c r="K14" s="21"/>
      <c r="L14" s="21"/>
      <c r="M14" s="22" t="s">
        <v>12</v>
      </c>
      <c r="N14" s="22"/>
      <c r="O14" s="22"/>
      <c r="P14" s="22"/>
      <c r="Q14" s="23" t="s">
        <v>13</v>
      </c>
      <c r="R14" s="23"/>
      <c r="S14" s="23"/>
      <c r="T14" s="23"/>
      <c r="U14" s="23"/>
      <c r="V14" s="23"/>
      <c r="W14" s="23"/>
      <c r="X14" s="18"/>
      <c r="Z14" s="24"/>
      <c r="AA14" s="25"/>
      <c r="AC14" s="23"/>
    </row>
    <row r="15" customFormat="false" ht="64.5" hidden="false" customHeight="false" outlineLevel="0" collapsed="false">
      <c r="A15" s="26" t="s">
        <v>14</v>
      </c>
      <c r="B15" s="27" t="s">
        <v>15</v>
      </c>
      <c r="C15" s="28" t="s">
        <v>16</v>
      </c>
      <c r="D15" s="29" t="s">
        <v>17</v>
      </c>
      <c r="E15" s="30" t="s">
        <v>18</v>
      </c>
      <c r="F15" s="31" t="s">
        <v>19</v>
      </c>
      <c r="G15" s="32" t="s">
        <v>20</v>
      </c>
      <c r="H15" s="33" t="s">
        <v>21</v>
      </c>
      <c r="I15" s="34" t="s">
        <v>22</v>
      </c>
      <c r="J15" s="28" t="s">
        <v>23</v>
      </c>
      <c r="K15" s="28" t="s">
        <v>24</v>
      </c>
      <c r="L15" s="28" t="s">
        <v>25</v>
      </c>
      <c r="M15" s="34" t="s">
        <v>26</v>
      </c>
      <c r="N15" s="28" t="s">
        <v>27</v>
      </c>
      <c r="O15" s="28" t="s">
        <v>28</v>
      </c>
      <c r="P15" s="35" t="s">
        <v>29</v>
      </c>
      <c r="Q15" s="27" t="s">
        <v>30</v>
      </c>
      <c r="R15" s="29" t="s">
        <v>31</v>
      </c>
      <c r="S15" s="36" t="s">
        <v>32</v>
      </c>
      <c r="T15" s="28" t="s">
        <v>33</v>
      </c>
      <c r="U15" s="28" t="s">
        <v>34</v>
      </c>
      <c r="V15" s="37" t="s">
        <v>35</v>
      </c>
      <c r="W15" s="35" t="s">
        <v>36</v>
      </c>
      <c r="X15" s="38" t="s">
        <v>37</v>
      </c>
      <c r="Z15" s="39" t="s">
        <v>38</v>
      </c>
      <c r="AA15" s="40" t="s">
        <v>39</v>
      </c>
      <c r="AC15" s="41" t="s">
        <v>40</v>
      </c>
    </row>
    <row r="16" customFormat="false" ht="12.75" hidden="false" customHeight="false" outlineLevel="0" collapsed="false">
      <c r="A16" s="42" t="n">
        <f aca="false">C4</f>
        <v>37104</v>
      </c>
      <c r="B16" s="43" t="n">
        <v>14085</v>
      </c>
      <c r="C16" s="44" t="n">
        <f aca="false">$B16/(1-$C$9)/(1-$C$13)</f>
        <v>14785.6552375704</v>
      </c>
      <c r="D16" s="43" t="n">
        <v>14085</v>
      </c>
      <c r="E16" s="45" t="n">
        <f aca="false">$C$5*0.09</f>
        <v>1800</v>
      </c>
      <c r="F16" s="46" t="n">
        <v>3.015</v>
      </c>
      <c r="G16" s="47" t="n">
        <f aca="false">C16*F16</f>
        <v>44578.7505412747</v>
      </c>
      <c r="H16" s="48" t="n">
        <f aca="false">$C$7*$C$5</f>
        <v>2062</v>
      </c>
      <c r="I16" s="49" t="n">
        <f aca="false">$C$8*D16</f>
        <v>15.4935</v>
      </c>
      <c r="J16" s="49" t="n">
        <f aca="false">((F16/(1-$C$9)/(1-$C$13))-F16)*D16</f>
        <v>2112.47554127465</v>
      </c>
      <c r="K16" s="50" t="n">
        <f aca="false">((F16/(1-$C$9)/(1-$C$13))-F16)</f>
        <v>0.149980514112506</v>
      </c>
      <c r="L16" s="49" t="n">
        <f aca="false">SUM(H16:J16)</f>
        <v>4189.96904127465</v>
      </c>
      <c r="M16" s="49" t="n">
        <f aca="false">$C$12*D16</f>
        <v>323.955</v>
      </c>
      <c r="N16" s="49" t="n">
        <f aca="false">((F16/(1-$C$9))-F16)*$D16</f>
        <v>106.431766917291</v>
      </c>
      <c r="O16" s="50" t="n">
        <f aca="false">((F16/(1-$C$9))-F16)</f>
        <v>0.00755639097744343</v>
      </c>
      <c r="P16" s="51" t="n">
        <f aca="false">SUM(M16:N16)</f>
        <v>430.386766917291</v>
      </c>
      <c r="Q16" s="52" t="n">
        <v>3.31</v>
      </c>
      <c r="R16" s="53" t="n">
        <v>3.015</v>
      </c>
      <c r="S16" s="54" t="n">
        <f aca="false">(L16+P16)</f>
        <v>4620.35580819194</v>
      </c>
      <c r="T16" s="55" t="n">
        <f aca="false">IF((((Q16-0.1)-($C$7+$C$8+$C$11+$C$12+K16+O16)-R16)&gt;(-$C$11+-$C$12)),((Q16-0.1)-($C$7+$C$8+$C$11+$C$12+K16+O16)-R16),(-$C$11+-$C$12))</f>
        <v>-0.2312</v>
      </c>
      <c r="U16" s="56" t="n">
        <f aca="false">B16*T16</f>
        <v>-3256.452</v>
      </c>
      <c r="V16" s="57" t="n">
        <f aca="false">0.085*U16</f>
        <v>-276.79842</v>
      </c>
      <c r="W16" s="58" t="n">
        <f aca="false">(($C$11-0.09)*$C$5)*0.085</f>
        <v>200.94</v>
      </c>
      <c r="X16" s="59" t="n">
        <f aca="false">E16+G16+S16+V16+W16</f>
        <v>50923.2479294666</v>
      </c>
      <c r="Z16" s="60" t="n">
        <f aca="false">(U16*0.075)+((($C$11-0.09)*$C$5)*0.075)</f>
        <v>-66.9339</v>
      </c>
      <c r="AA16" s="51" t="n">
        <f aca="false">(U16*0.01)+((($C$11-0.09)*$C$5)*0.01)</f>
        <v>-8.92452</v>
      </c>
      <c r="AC16" s="61" t="n">
        <f aca="false">$C$5*0.02</f>
        <v>400</v>
      </c>
    </row>
    <row r="17" customFormat="false" ht="12.75" hidden="false" customHeight="false" outlineLevel="0" collapsed="false">
      <c r="A17" s="42" t="n">
        <f aca="false">A16+1</f>
        <v>37105</v>
      </c>
      <c r="B17" s="43" t="n">
        <v>13743</v>
      </c>
      <c r="C17" s="44" t="n">
        <f aca="false">$B17/(1-$C$9)/(1-$C$13)</f>
        <v>14426.6425225367</v>
      </c>
      <c r="D17" s="43" t="n">
        <v>13743</v>
      </c>
      <c r="E17" s="45" t="n">
        <f aca="false">$C$5*0.09</f>
        <v>1800</v>
      </c>
      <c r="F17" s="46" t="n">
        <v>2.915</v>
      </c>
      <c r="G17" s="47" t="n">
        <f aca="false">C17*F17</f>
        <v>42053.6629531945</v>
      </c>
      <c r="H17" s="48" t="n">
        <f aca="false">$C$7*$C$5</f>
        <v>2062</v>
      </c>
      <c r="I17" s="49" t="n">
        <f aca="false">$C$8*D17</f>
        <v>15.1173</v>
      </c>
      <c r="J17" s="49" t="n">
        <f aca="false">((F17/(1-$C$9)/(1-$C$13))-F17)*D17</f>
        <v>1992.81795319451</v>
      </c>
      <c r="K17" s="50" t="n">
        <f aca="false">((F17/(1-$C$9)/(1-$C$13))-F17)</f>
        <v>0.14500603603249</v>
      </c>
      <c r="L17" s="49" t="n">
        <f aca="false">SUM(H17:J17)</f>
        <v>4069.93525319451</v>
      </c>
      <c r="M17" s="49" t="n">
        <f aca="false">$C$12*D17</f>
        <v>316.089</v>
      </c>
      <c r="N17" s="49" t="n">
        <f aca="false">((F17/(1-$C$9))-F17)*$D17</f>
        <v>100.403120300751</v>
      </c>
      <c r="O17" s="50" t="n">
        <f aca="false">((F17/(1-$C$9))-F17)</f>
        <v>0.00730576441102748</v>
      </c>
      <c r="P17" s="51" t="n">
        <f aca="false">SUM(M17:N17)</f>
        <v>416.492120300751</v>
      </c>
      <c r="Q17" s="52" t="n">
        <v>3.53</v>
      </c>
      <c r="R17" s="53" t="n">
        <v>2.915</v>
      </c>
      <c r="S17" s="54" t="n">
        <f aca="false">(L17+P17)</f>
        <v>4486.42737349526</v>
      </c>
      <c r="T17" s="55" t="n">
        <f aca="false">IF((((Q17-0.1)-($C$7+$C$8+$C$11+$C$12+K17+O17)-R17)&gt;(-$C$11+-$C$12)),((Q17-0.1)-($C$7+$C$8+$C$11+$C$12+K17+O17)-R17),(-$C$11+-$C$12))</f>
        <v>0.0272881995564824</v>
      </c>
      <c r="U17" s="56" t="n">
        <f aca="false">B17*T17</f>
        <v>375.021726504738</v>
      </c>
      <c r="V17" s="57" t="n">
        <f aca="false">0.085*U17</f>
        <v>31.8768467529027</v>
      </c>
      <c r="W17" s="58" t="n">
        <f aca="false">(($C$11-0.09)*$C$5)*0.085</f>
        <v>200.94</v>
      </c>
      <c r="X17" s="59" t="n">
        <f aca="false">E17+G17+S17+V17+W17</f>
        <v>48572.9071734427</v>
      </c>
      <c r="Z17" s="60" t="n">
        <f aca="false">(U17*0.075)+((($C$11-0.09)*$C$5)*0.075)</f>
        <v>205.426629487855</v>
      </c>
      <c r="AA17" s="51" t="n">
        <f aca="false">(U17*0.01)+((($C$11-0.09)*$C$5)*0.01)</f>
        <v>27.3902172650474</v>
      </c>
      <c r="AC17" s="61" t="n">
        <f aca="false">$C$5*0.02</f>
        <v>400</v>
      </c>
    </row>
    <row r="18" customFormat="false" ht="12.75" hidden="false" customHeight="false" outlineLevel="0" collapsed="false">
      <c r="A18" s="42" t="n">
        <f aca="false">A17+1</f>
        <v>37106</v>
      </c>
      <c r="B18" s="43" t="n">
        <v>20000</v>
      </c>
      <c r="C18" s="44" t="n">
        <f aca="false">$B18/(1-$C$9)/(1-$C$13)</f>
        <v>20994.8956160034</v>
      </c>
      <c r="D18" s="43" t="n">
        <v>20000</v>
      </c>
      <c r="E18" s="45" t="n">
        <f aca="false">$C$5*0.09</f>
        <v>1800</v>
      </c>
      <c r="F18" s="46" t="n">
        <v>2.635</v>
      </c>
      <c r="G18" s="47" t="n">
        <f aca="false">C18*F18</f>
        <v>55321.5499481688</v>
      </c>
      <c r="H18" s="48" t="n">
        <f aca="false">$C$7*$C$5</f>
        <v>2062</v>
      </c>
      <c r="I18" s="49" t="n">
        <f aca="false">$C$8*D18</f>
        <v>22</v>
      </c>
      <c r="J18" s="49" t="n">
        <f aca="false">((F18/(1-$C$9)/(1-$C$13))-F18)*D18</f>
        <v>2621.54994816885</v>
      </c>
      <c r="K18" s="50" t="n">
        <f aca="false">((F18/(1-$C$9)/(1-$C$13))-F18)</f>
        <v>0.131077497408442</v>
      </c>
      <c r="L18" s="49" t="n">
        <f aca="false">SUM(H18:J18)</f>
        <v>4705.54994816885</v>
      </c>
      <c r="M18" s="49" t="n">
        <f aca="false">$C$12*D18</f>
        <v>460</v>
      </c>
      <c r="N18" s="49" t="n">
        <f aca="false">((F18/(1-$C$9))-F18)*$D18</f>
        <v>132.080200501248</v>
      </c>
      <c r="O18" s="50" t="n">
        <f aca="false">((F18/(1-$C$9))-F18)</f>
        <v>0.00660401002506239</v>
      </c>
      <c r="P18" s="51" t="n">
        <f aca="false">SUM(M18:N18)</f>
        <v>592.080200501248</v>
      </c>
      <c r="Q18" s="52" t="n">
        <v>3.605</v>
      </c>
      <c r="R18" s="53" t="n">
        <v>2.635</v>
      </c>
      <c r="S18" s="54" t="n">
        <f aca="false">(L18+P18)</f>
        <v>5297.63014867009</v>
      </c>
      <c r="T18" s="55" t="n">
        <f aca="false">IF((((Q18-0.1)-($C$7+$C$8+$C$11+$C$12+K18+O18)-R18)&gt;(-$C$11+-$C$12)),((Q18-0.1)-($C$7+$C$8+$C$11+$C$12+K18+O18)-R18),(-$C$11+-$C$12))</f>
        <v>0.396918492566496</v>
      </c>
      <c r="U18" s="56" t="n">
        <f aca="false">B18*T18</f>
        <v>7938.36985132991</v>
      </c>
      <c r="V18" s="57" t="n">
        <f aca="false">0.085*U18</f>
        <v>674.761437363042</v>
      </c>
      <c r="W18" s="58" t="n">
        <f aca="false">(($C$11-0.09)*$C$5)*0.085</f>
        <v>200.94</v>
      </c>
      <c r="X18" s="59" t="n">
        <f aca="false">E18+G18+S18+V18+W18</f>
        <v>63294.881534202</v>
      </c>
      <c r="Z18" s="60" t="n">
        <f aca="false">(U18*0.075)+((($C$11-0.09)*$C$5)*0.075)</f>
        <v>772.677738849743</v>
      </c>
      <c r="AA18" s="51" t="n">
        <f aca="false">(U18*0.01)+((($C$11-0.09)*$C$5)*0.01)</f>
        <v>103.023698513299</v>
      </c>
      <c r="AC18" s="61" t="n">
        <f aca="false">$C$5*0.02</f>
        <v>400</v>
      </c>
    </row>
    <row r="19" customFormat="false" ht="12.75" hidden="false" customHeight="false" outlineLevel="0" collapsed="false">
      <c r="A19" s="42" t="n">
        <f aca="false">A18+1</f>
        <v>37107</v>
      </c>
      <c r="B19" s="43" t="n">
        <v>20000</v>
      </c>
      <c r="C19" s="44" t="n">
        <f aca="false">$B19/(1-$C$9)/(1-$C$13)</f>
        <v>20994.8956160034</v>
      </c>
      <c r="D19" s="43" t="n">
        <v>20000</v>
      </c>
      <c r="E19" s="45" t="n">
        <f aca="false">$C$5*0.09</f>
        <v>1800</v>
      </c>
      <c r="F19" s="46" t="n">
        <v>2.49</v>
      </c>
      <c r="G19" s="47" t="n">
        <f aca="false">C19*F19</f>
        <v>52277.2900838484</v>
      </c>
      <c r="H19" s="48" t="n">
        <f aca="false">$C$7*$C$5</f>
        <v>2062</v>
      </c>
      <c r="I19" s="49" t="n">
        <f aca="false">$C$8*D19</f>
        <v>22</v>
      </c>
      <c r="J19" s="49" t="n">
        <f aca="false">((F19/(1-$C$9)/(1-$C$13))-F19)*D19</f>
        <v>2477.29008384836</v>
      </c>
      <c r="K19" s="50" t="n">
        <f aca="false">((F19/(1-$C$9)/(1-$C$13))-F19)</f>
        <v>0.123864504192418</v>
      </c>
      <c r="L19" s="49" t="n">
        <f aca="false">SUM(H19:J19)</f>
        <v>4561.29008384837</v>
      </c>
      <c r="M19" s="49" t="n">
        <f aca="false">$C$12*D19</f>
        <v>460</v>
      </c>
      <c r="N19" s="49" t="n">
        <f aca="false">((F19/(1-$C$9))-F19)*$D19</f>
        <v>124.812030075185</v>
      </c>
      <c r="O19" s="50" t="n">
        <f aca="false">((F19/(1-$C$9))-F19)</f>
        <v>0.00624060150375927</v>
      </c>
      <c r="P19" s="51" t="n">
        <f aca="false">SUM(M19:N19)</f>
        <v>584.812030075185</v>
      </c>
      <c r="Q19" s="52" t="n">
        <v>3.305</v>
      </c>
      <c r="R19" s="53" t="n">
        <v>2.49</v>
      </c>
      <c r="S19" s="54" t="n">
        <f aca="false">(L19+P19)</f>
        <v>5146.10211392355</v>
      </c>
      <c r="T19" s="55" t="n">
        <f aca="false">IF((((Q19-0.1)-($C$7+$C$8+$C$11+$C$12+K19+O19)-R19)&gt;(-$C$11+-$C$12)),((Q19-0.1)-($C$7+$C$8+$C$11+$C$12+K19+O19)-R19),(-$C$11+-$C$12))</f>
        <v>0.249494894303822</v>
      </c>
      <c r="U19" s="56" t="n">
        <f aca="false">B19*T19</f>
        <v>4989.89788607645</v>
      </c>
      <c r="V19" s="57" t="n">
        <f aca="false">0.085*U19</f>
        <v>424.141320316498</v>
      </c>
      <c r="W19" s="58" t="n">
        <f aca="false">(($C$11-0.09)*$C$5)*0.085</f>
        <v>200.94</v>
      </c>
      <c r="X19" s="59" t="n">
        <f aca="false">E19+G19+S19+V19+W19</f>
        <v>59848.4735180884</v>
      </c>
      <c r="Z19" s="60" t="n">
        <f aca="false">(U19*0.075)+((($C$11-0.09)*$C$5)*0.075)</f>
        <v>551.542341455734</v>
      </c>
      <c r="AA19" s="51" t="n">
        <f aca="false">(U19*0.01)+((($C$11-0.09)*$C$5)*0.01)</f>
        <v>73.5389788607645</v>
      </c>
      <c r="AC19" s="61" t="n">
        <f aca="false">$C$5*0.02</f>
        <v>400</v>
      </c>
    </row>
    <row r="20" customFormat="false" ht="12.75" hidden="false" customHeight="false" outlineLevel="0" collapsed="false">
      <c r="A20" s="42" t="n">
        <f aca="false">A19+1</f>
        <v>37108</v>
      </c>
      <c r="B20" s="43" t="n">
        <v>20000</v>
      </c>
      <c r="C20" s="44" t="n">
        <f aca="false">$B20/(1-$C$9)/(1-$C$13)</f>
        <v>20994.8956160034</v>
      </c>
      <c r="D20" s="43" t="n">
        <v>20000</v>
      </c>
      <c r="E20" s="45" t="n">
        <f aca="false">$C$5*0.09</f>
        <v>1800</v>
      </c>
      <c r="F20" s="46" t="n">
        <v>2.49</v>
      </c>
      <c r="G20" s="47" t="n">
        <f aca="false">C20*F20</f>
        <v>52277.2900838484</v>
      </c>
      <c r="H20" s="48" t="n">
        <f aca="false">$C$7*$C$5</f>
        <v>2062</v>
      </c>
      <c r="I20" s="49" t="n">
        <f aca="false">$C$8*D20</f>
        <v>22</v>
      </c>
      <c r="J20" s="49" t="n">
        <f aca="false">((F20/(1-$C$9)/(1-$C$13))-F20)*D20</f>
        <v>2477.29008384836</v>
      </c>
      <c r="K20" s="50" t="n">
        <f aca="false">((F20/(1-$C$9)/(1-$C$13))-F20)</f>
        <v>0.123864504192418</v>
      </c>
      <c r="L20" s="49" t="n">
        <f aca="false">SUM(H20:J20)</f>
        <v>4561.29008384837</v>
      </c>
      <c r="M20" s="49" t="n">
        <f aca="false">$C$12*D20</f>
        <v>460</v>
      </c>
      <c r="N20" s="49" t="n">
        <f aca="false">((F20/(1-$C$9))-F20)*$D20</f>
        <v>124.812030075185</v>
      </c>
      <c r="O20" s="50" t="n">
        <f aca="false">((F20/(1-$C$9))-F20)</f>
        <v>0.00624060150375927</v>
      </c>
      <c r="P20" s="51" t="n">
        <f aca="false">SUM(M20:N20)</f>
        <v>584.812030075185</v>
      </c>
      <c r="Q20" s="52" t="n">
        <v>3.305</v>
      </c>
      <c r="R20" s="53" t="n">
        <v>2.49</v>
      </c>
      <c r="S20" s="54" t="n">
        <f aca="false">(L20+P20)</f>
        <v>5146.10211392355</v>
      </c>
      <c r="T20" s="55" t="n">
        <f aca="false">IF((((Q20-0.1)-($C$7+$C$8+$C$11+$C$12+K20+O20)-R20)&gt;(-$C$11+-$C$12)),((Q20-0.1)-($C$7+$C$8+$C$11+$C$12+K20+O20)-R20),(-$C$11+-$C$12))</f>
        <v>0.249494894303822</v>
      </c>
      <c r="U20" s="56" t="n">
        <f aca="false">B20*T20</f>
        <v>4989.89788607645</v>
      </c>
      <c r="V20" s="57" t="n">
        <f aca="false">0.085*U20</f>
        <v>424.141320316498</v>
      </c>
      <c r="W20" s="58" t="n">
        <f aca="false">(($C$11-0.09)*$C$5)*0.085</f>
        <v>200.94</v>
      </c>
      <c r="X20" s="59" t="n">
        <f aca="false">E20+G20+S20+V20+W20</f>
        <v>59848.4735180884</v>
      </c>
      <c r="Z20" s="60" t="n">
        <f aca="false">(U20*0.075)+((($C$11-0.09)*$C$5)*0.075)</f>
        <v>551.542341455734</v>
      </c>
      <c r="AA20" s="51" t="n">
        <f aca="false">(U20*0.01)+((($C$11-0.09)*$C$5)*0.01)</f>
        <v>73.5389788607645</v>
      </c>
      <c r="AC20" s="61" t="n">
        <f aca="false">$C$5*0.02</f>
        <v>400</v>
      </c>
    </row>
    <row r="21" customFormat="false" ht="12.75" hidden="false" customHeight="false" outlineLevel="0" collapsed="false">
      <c r="A21" s="42" t="n">
        <f aca="false">A20+1</f>
        <v>37109</v>
      </c>
      <c r="B21" s="43" t="n">
        <v>20000</v>
      </c>
      <c r="C21" s="44" t="n">
        <f aca="false">$B21/(1-$C$9)/(1-$C$13)</f>
        <v>20994.8956160034</v>
      </c>
      <c r="D21" s="43" t="n">
        <v>20000</v>
      </c>
      <c r="E21" s="45" t="n">
        <f aca="false">$C$5*0.09</f>
        <v>1800</v>
      </c>
      <c r="F21" s="46" t="n">
        <v>2.49</v>
      </c>
      <c r="G21" s="47" t="n">
        <f aca="false">C21*F21</f>
        <v>52277.2900838484</v>
      </c>
      <c r="H21" s="48" t="n">
        <f aca="false">$C$7*$C$5</f>
        <v>2062</v>
      </c>
      <c r="I21" s="49" t="n">
        <f aca="false">$C$8*D21</f>
        <v>22</v>
      </c>
      <c r="J21" s="49" t="n">
        <f aca="false">((F21/(1-$C$9)/(1-$C$13))-F21)*D21</f>
        <v>2477.29008384836</v>
      </c>
      <c r="K21" s="50" t="n">
        <f aca="false">((F21/(1-$C$9)/(1-$C$13))-F21)</f>
        <v>0.123864504192418</v>
      </c>
      <c r="L21" s="49" t="n">
        <f aca="false">SUM(H21:J21)</f>
        <v>4561.29008384837</v>
      </c>
      <c r="M21" s="49" t="n">
        <f aca="false">$C$12*D21</f>
        <v>460</v>
      </c>
      <c r="N21" s="49" t="n">
        <f aca="false">((F21/(1-$C$9))-F21)*$D21</f>
        <v>124.812030075185</v>
      </c>
      <c r="O21" s="50" t="n">
        <f aca="false">((F21/(1-$C$9))-F21)</f>
        <v>0.00624060150375927</v>
      </c>
      <c r="P21" s="51" t="n">
        <f aca="false">SUM(M21:N21)</f>
        <v>584.812030075185</v>
      </c>
      <c r="Q21" s="52" t="n">
        <v>3.305</v>
      </c>
      <c r="R21" s="53" t="n">
        <v>2.49</v>
      </c>
      <c r="S21" s="54" t="n">
        <f aca="false">(L21+P21)</f>
        <v>5146.10211392355</v>
      </c>
      <c r="T21" s="55" t="n">
        <f aca="false">IF((((Q21-0.1)-($C$7+$C$8+$C$11+$C$12+K21+O21)-R21)&gt;(-$C$11+-$C$12)),((Q21-0.1)-($C$7+$C$8+$C$11+$C$12+K21+O21)-R21),(-$C$11+-$C$12))</f>
        <v>0.249494894303822</v>
      </c>
      <c r="U21" s="56" t="n">
        <f aca="false">B21*T21</f>
        <v>4989.89788607645</v>
      </c>
      <c r="V21" s="57" t="n">
        <f aca="false">0.085*U21</f>
        <v>424.141320316498</v>
      </c>
      <c r="W21" s="58" t="n">
        <f aca="false">(($C$11-0.09)*$C$5)*0.085</f>
        <v>200.94</v>
      </c>
      <c r="X21" s="59" t="n">
        <f aca="false">E21+G21+S21+V21+W21</f>
        <v>59848.4735180884</v>
      </c>
      <c r="Z21" s="60" t="n">
        <f aca="false">(U21*0.075)+((($C$11-0.09)*$C$5)*0.075)</f>
        <v>551.542341455734</v>
      </c>
      <c r="AA21" s="51" t="n">
        <f aca="false">(U21*0.01)+((($C$11-0.09)*$C$5)*0.01)</f>
        <v>73.5389788607645</v>
      </c>
      <c r="AC21" s="61" t="n">
        <f aca="false">$C$5*0.02</f>
        <v>400</v>
      </c>
    </row>
    <row r="22" customFormat="false" ht="12.75" hidden="false" customHeight="false" outlineLevel="0" collapsed="false">
      <c r="A22" s="42" t="n">
        <f aca="false">A21+1</f>
        <v>37110</v>
      </c>
      <c r="B22" s="43" t="n">
        <v>20000</v>
      </c>
      <c r="C22" s="44" t="n">
        <f aca="false">$B22/(1-$C$9)/(1-$C$13)</f>
        <v>20994.8956160034</v>
      </c>
      <c r="D22" s="43" t="n">
        <v>20000</v>
      </c>
      <c r="E22" s="45" t="n">
        <f aca="false">$C$5*0.09</f>
        <v>1800</v>
      </c>
      <c r="F22" s="46" t="n">
        <v>2.55</v>
      </c>
      <c r="G22" s="47" t="n">
        <f aca="false">C22*F22</f>
        <v>53536.9838208086</v>
      </c>
      <c r="H22" s="48" t="n">
        <f aca="false">$C$7*$C$5</f>
        <v>2062</v>
      </c>
      <c r="I22" s="49" t="n">
        <f aca="false">$C$8*D22</f>
        <v>22</v>
      </c>
      <c r="J22" s="49" t="n">
        <f aca="false">((F22/(1-$C$9)/(1-$C$13))-F22)*D22</f>
        <v>2536.98382080857</v>
      </c>
      <c r="K22" s="50" t="n">
        <f aca="false">((F22/(1-$C$9)/(1-$C$13))-F22)</f>
        <v>0.126849191040428</v>
      </c>
      <c r="L22" s="49" t="n">
        <f aca="false">SUM(H22:J22)</f>
        <v>4620.98382080857</v>
      </c>
      <c r="M22" s="49" t="n">
        <f aca="false">$C$12*D22</f>
        <v>460</v>
      </c>
      <c r="N22" s="49" t="n">
        <f aca="false">((F22/(1-$C$9))-F22)*$D22</f>
        <v>127.819548872177</v>
      </c>
      <c r="O22" s="50" t="n">
        <f aca="false">((F22/(1-$C$9))-F22)</f>
        <v>0.00639097744360884</v>
      </c>
      <c r="P22" s="51" t="n">
        <f aca="false">SUM(M22:N22)</f>
        <v>587.819548872177</v>
      </c>
      <c r="Q22" s="52" t="n">
        <v>3.38</v>
      </c>
      <c r="R22" s="53" t="n">
        <v>2.55</v>
      </c>
      <c r="S22" s="54" t="n">
        <f aca="false">(L22+P22)</f>
        <v>5208.80336968074</v>
      </c>
      <c r="T22" s="55" t="n">
        <f aca="false">IF((((Q22-0.1)-($C$7+$C$8+$C$11+$C$12+K22+O22)-R22)&gt;(-$C$11+-$C$12)),((Q22-0.1)-($C$7+$C$8+$C$11+$C$12+K22+O22)-R22),(-$C$11+-$C$12))</f>
        <v>0.261359831515963</v>
      </c>
      <c r="U22" s="56" t="n">
        <f aca="false">B22*T22</f>
        <v>5227.19663031926</v>
      </c>
      <c r="V22" s="57" t="n">
        <f aca="false">0.085*U22</f>
        <v>444.311713577137</v>
      </c>
      <c r="W22" s="58" t="n">
        <f aca="false">(($C$11-0.09)*$C$5)*0.085</f>
        <v>200.94</v>
      </c>
      <c r="X22" s="59" t="n">
        <f aca="false">E22+G22+S22+V22+W22</f>
        <v>61191.0389040665</v>
      </c>
      <c r="Z22" s="60" t="n">
        <f aca="false">(U22*0.075)+((($C$11-0.09)*$C$5)*0.075)</f>
        <v>569.339747273944</v>
      </c>
      <c r="AA22" s="51" t="n">
        <f aca="false">(U22*0.01)+((($C$11-0.09)*$C$5)*0.01)</f>
        <v>75.9119663031926</v>
      </c>
      <c r="AC22" s="61" t="n">
        <f aca="false">$C$5*0.02</f>
        <v>400</v>
      </c>
    </row>
    <row r="23" customFormat="false" ht="12.75" hidden="false" customHeight="false" outlineLevel="0" collapsed="false">
      <c r="A23" s="42" t="n">
        <f aca="false">A22+1</f>
        <v>37111</v>
      </c>
      <c r="B23" s="43" t="n">
        <v>20000</v>
      </c>
      <c r="C23" s="44" t="n">
        <f aca="false">$B23/(1-$C$9)/(1-$C$13)</f>
        <v>20994.8956160034</v>
      </c>
      <c r="D23" s="43" t="n">
        <v>20000</v>
      </c>
      <c r="E23" s="45" t="n">
        <f aca="false">$C$5*0.09</f>
        <v>1800</v>
      </c>
      <c r="F23" s="46" t="n">
        <v>2.595</v>
      </c>
      <c r="G23" s="47" t="n">
        <f aca="false">C23*F23</f>
        <v>54481.7541235287</v>
      </c>
      <c r="H23" s="48" t="n">
        <f aca="false">$C$7*$C$5</f>
        <v>2062</v>
      </c>
      <c r="I23" s="49" t="n">
        <f aca="false">$C$8*D23</f>
        <v>22</v>
      </c>
      <c r="J23" s="49" t="n">
        <f aca="false">((F23/(1-$C$9)/(1-$C$13))-F23)*D23</f>
        <v>2581.75412352871</v>
      </c>
      <c r="K23" s="50" t="n">
        <f aca="false">((F23/(1-$C$9)/(1-$C$13))-F23)</f>
        <v>0.129087706176436</v>
      </c>
      <c r="L23" s="49" t="n">
        <f aca="false">SUM(H23:J23)</f>
        <v>4665.75412352871</v>
      </c>
      <c r="M23" s="49" t="n">
        <f aca="false">$C$12*D23</f>
        <v>460</v>
      </c>
      <c r="N23" s="49" t="n">
        <f aca="false">((F23/(1-$C$9))-F23)*$D23</f>
        <v>130.07518796992</v>
      </c>
      <c r="O23" s="50" t="n">
        <f aca="false">((F23/(1-$C$9))-F23)</f>
        <v>0.00650375939849601</v>
      </c>
      <c r="P23" s="51" t="n">
        <f aca="false">SUM(M23:N23)</f>
        <v>590.07518796992</v>
      </c>
      <c r="Q23" s="52" t="n">
        <v>3.4</v>
      </c>
      <c r="R23" s="53" t="n">
        <v>2.595</v>
      </c>
      <c r="S23" s="54" t="n">
        <f aca="false">(L23+P23)</f>
        <v>5255.82931149863</v>
      </c>
      <c r="T23" s="55" t="n">
        <f aca="false">IF((((Q23-0.1)-($C$7+$C$8+$C$11+$C$12+K23+O23)-R23)&gt;(-$C$11+-$C$12)),((Q23-0.1)-($C$7+$C$8+$C$11+$C$12+K23+O23)-R23),(-$C$11+-$C$12))</f>
        <v>0.234008534425068</v>
      </c>
      <c r="U23" s="56" t="n">
        <f aca="false">B23*T23</f>
        <v>4680.17068850136</v>
      </c>
      <c r="V23" s="57" t="n">
        <f aca="false">0.085*U23</f>
        <v>397.814508522616</v>
      </c>
      <c r="W23" s="58" t="n">
        <f aca="false">(($C$11-0.09)*$C$5)*0.085</f>
        <v>200.94</v>
      </c>
      <c r="X23" s="59" t="n">
        <f aca="false">E23+G23+S23+V23+W23</f>
        <v>62136.33794355</v>
      </c>
      <c r="Z23" s="60" t="n">
        <f aca="false">(U23*0.075)+((($C$11-0.09)*$C$5)*0.075)</f>
        <v>528.312801637602</v>
      </c>
      <c r="AA23" s="51" t="n">
        <f aca="false">(U23*0.01)+((($C$11-0.09)*$C$5)*0.01)</f>
        <v>70.4417068850136</v>
      </c>
      <c r="AC23" s="61" t="n">
        <f aca="false">$C$5*0.02</f>
        <v>400</v>
      </c>
    </row>
    <row r="24" customFormat="false" ht="12.75" hidden="false" customHeight="false" outlineLevel="0" collapsed="false">
      <c r="A24" s="42" t="n">
        <f aca="false">A23+1</f>
        <v>37112</v>
      </c>
      <c r="B24" s="43" t="n">
        <v>10000</v>
      </c>
      <c r="C24" s="44" t="n">
        <f aca="false">$B24/(1-$C$9)/(1-$C$13)</f>
        <v>10497.4478080017</v>
      </c>
      <c r="D24" s="43" t="n">
        <v>10000</v>
      </c>
      <c r="E24" s="45" t="n">
        <f aca="false">$C$5*0.09</f>
        <v>1800</v>
      </c>
      <c r="F24" s="46" t="n">
        <v>2.625</v>
      </c>
      <c r="G24" s="47" t="n">
        <f aca="false">C24*F24</f>
        <v>27555.8004960044</v>
      </c>
      <c r="H24" s="48" t="n">
        <f aca="false">$C$7*$C$5</f>
        <v>2062</v>
      </c>
      <c r="I24" s="49" t="n">
        <f aca="false">$C$8*D24</f>
        <v>11</v>
      </c>
      <c r="J24" s="49" t="n">
        <f aca="false">((F24/(1-$C$9)/(1-$C$13))-F24)*D24</f>
        <v>1305.80049600441</v>
      </c>
      <c r="K24" s="50" t="n">
        <f aca="false">((F24/(1-$C$9)/(1-$C$13))-F24)</f>
        <v>0.130580049600441</v>
      </c>
      <c r="L24" s="49" t="n">
        <f aca="false">SUM(H24:J24)</f>
        <v>3378.80049600441</v>
      </c>
      <c r="M24" s="49" t="n">
        <f aca="false">$C$12*D24</f>
        <v>230</v>
      </c>
      <c r="N24" s="49" t="n">
        <f aca="false">((F24/(1-$C$9))-F24)*$D24</f>
        <v>65.789473684208</v>
      </c>
      <c r="O24" s="50" t="n">
        <f aca="false">((F24/(1-$C$9))-F24)</f>
        <v>0.0065789473684208</v>
      </c>
      <c r="P24" s="51" t="n">
        <f aca="false">SUM(M24:N24)</f>
        <v>295.789473684208</v>
      </c>
      <c r="Q24" s="52" t="n">
        <v>3.235</v>
      </c>
      <c r="R24" s="53" t="n">
        <v>2.625</v>
      </c>
      <c r="S24" s="54" t="n">
        <f aca="false">(L24+P24)</f>
        <v>3674.58996968862</v>
      </c>
      <c r="T24" s="55" t="n">
        <f aca="false">IF((((Q24-0.1)-($C$7+$C$8+$C$11+$C$12+K24+O24)-R24)&gt;(-$C$11+-$C$12)),((Q24-0.1)-($C$7+$C$8+$C$11+$C$12+K24+O24)-R24),(-$C$11+-$C$12))</f>
        <v>0.0374410030311383</v>
      </c>
      <c r="U24" s="56" t="n">
        <f aca="false">B24*T24</f>
        <v>374.410030311383</v>
      </c>
      <c r="V24" s="57" t="n">
        <f aca="false">0.085*U24</f>
        <v>31.8248525764675</v>
      </c>
      <c r="W24" s="58" t="n">
        <f aca="false">(($C$11-0.09)*$C$5)*0.085</f>
        <v>200.94</v>
      </c>
      <c r="X24" s="59" t="n">
        <f aca="false">E24+G24+S24+V24+W24</f>
        <v>33263.1553182695</v>
      </c>
      <c r="Z24" s="60" t="n">
        <f aca="false">(U24*0.075)+((($C$11-0.09)*$C$5)*0.075)</f>
        <v>205.380752273354</v>
      </c>
      <c r="AA24" s="51" t="n">
        <f aca="false">(U24*0.01)+((($C$11-0.09)*$C$5)*0.01)</f>
        <v>27.3841003031138</v>
      </c>
      <c r="AC24" s="61" t="n">
        <f aca="false">$C$5*0.02</f>
        <v>400</v>
      </c>
    </row>
    <row r="25" customFormat="false" ht="12.75" hidden="false" customHeight="false" outlineLevel="0" collapsed="false">
      <c r="A25" s="42" t="n">
        <f aca="false">A24+1</f>
        <v>37113</v>
      </c>
      <c r="B25" s="43" t="n">
        <v>0</v>
      </c>
      <c r="C25" s="44" t="n">
        <f aca="false">$B25/(1-$C$9)/(1-$C$13)</f>
        <v>0</v>
      </c>
      <c r="D25" s="43" t="n">
        <v>0</v>
      </c>
      <c r="E25" s="45" t="n">
        <f aca="false">$C$5*0.09</f>
        <v>1800</v>
      </c>
      <c r="F25" s="46" t="n">
        <v>2.61</v>
      </c>
      <c r="G25" s="47" t="n">
        <f aca="false">C25*F25</f>
        <v>0</v>
      </c>
      <c r="H25" s="48" t="n">
        <f aca="false">$C$7*$C$5</f>
        <v>2062</v>
      </c>
      <c r="I25" s="49" t="n">
        <f aca="false">$C$8*D25</f>
        <v>0</v>
      </c>
      <c r="J25" s="49" t="n">
        <f aca="false">((F25/(1-$C$9)/(1-$C$13))-F25)*D25</f>
        <v>0</v>
      </c>
      <c r="K25" s="50" t="n">
        <f aca="false">((F25/(1-$C$9)/(1-$C$13))-F25)</f>
        <v>0.129833877888438</v>
      </c>
      <c r="L25" s="49" t="n">
        <f aca="false">SUM(H25:J25)</f>
        <v>2062</v>
      </c>
      <c r="M25" s="49" t="n">
        <f aca="false">$C$12*D25</f>
        <v>0</v>
      </c>
      <c r="N25" s="49" t="n">
        <f aca="false">((F25/(1-$C$9))-F25)*$D25</f>
        <v>0</v>
      </c>
      <c r="O25" s="50" t="n">
        <f aca="false">((F25/(1-$C$9))-F25)</f>
        <v>0.0065413533834584</v>
      </c>
      <c r="P25" s="51" t="n">
        <f aca="false">SUM(M25:N25)</f>
        <v>0</v>
      </c>
      <c r="Q25" s="52" t="n">
        <v>3.2</v>
      </c>
      <c r="R25" s="53" t="n">
        <v>2.61</v>
      </c>
      <c r="S25" s="54" t="n">
        <f aca="false">(L25+P25)</f>
        <v>2062</v>
      </c>
      <c r="T25" s="55" t="n">
        <f aca="false">IF((((Q25-0.1)-($C$7+$C$8+$C$11+$C$12+K25+O25)-R25)&gt;(-$C$11+-$C$12)),((Q25-0.1)-($C$7+$C$8+$C$11+$C$12+K25+O25)-R25),(-$C$11+-$C$12))</f>
        <v>0.0182247687281039</v>
      </c>
      <c r="U25" s="56" t="n">
        <f aca="false">B25*T25</f>
        <v>0</v>
      </c>
      <c r="V25" s="57" t="n">
        <f aca="false">0.085*U25</f>
        <v>0</v>
      </c>
      <c r="W25" s="58" t="n">
        <f aca="false">(($C$11-0.09)*$C$5)*0.085</f>
        <v>200.94</v>
      </c>
      <c r="X25" s="59" t="n">
        <f aca="false">E25+G25+S25+V25+W25</f>
        <v>4062.94</v>
      </c>
      <c r="Z25" s="60" t="n">
        <f aca="false">(U25*0.075)+((($C$11-0.09)*$C$5)*0.075)</f>
        <v>177.3</v>
      </c>
      <c r="AA25" s="51" t="n">
        <f aca="false">(U25*0.01)+((($C$11-0.09)*$C$5)*0.01)</f>
        <v>23.64</v>
      </c>
      <c r="AC25" s="61" t="n">
        <f aca="false">$C$5*0.02</f>
        <v>400</v>
      </c>
    </row>
    <row r="26" customFormat="false" ht="12.75" hidden="false" customHeight="false" outlineLevel="0" collapsed="false">
      <c r="A26" s="42" t="n">
        <f aca="false">A25+1</f>
        <v>37114</v>
      </c>
      <c r="B26" s="43" t="n">
        <v>18600</v>
      </c>
      <c r="C26" s="44" t="n">
        <f aca="false">$B26/(1-$C$9)/(1-$C$13)</f>
        <v>19525.2529228831</v>
      </c>
      <c r="D26" s="43" t="n">
        <v>18600</v>
      </c>
      <c r="E26" s="45" t="n">
        <f aca="false">$C$5*0.09</f>
        <v>1800</v>
      </c>
      <c r="F26" s="46" t="n">
        <v>2.48</v>
      </c>
      <c r="G26" s="47" t="n">
        <f aca="false">C26*F26</f>
        <v>48422.6272487501</v>
      </c>
      <c r="H26" s="48" t="n">
        <f aca="false">$C$7*$C$5</f>
        <v>2062</v>
      </c>
      <c r="I26" s="49" t="n">
        <f aca="false">$C$8*D26</f>
        <v>20.46</v>
      </c>
      <c r="J26" s="49" t="n">
        <f aca="false">((F26/(1-$C$9)/(1-$C$13))-F26)*D26</f>
        <v>2294.62724875015</v>
      </c>
      <c r="K26" s="50" t="n">
        <f aca="false">((F26/(1-$C$9)/(1-$C$13))-F26)</f>
        <v>0.123367056384417</v>
      </c>
      <c r="L26" s="49" t="n">
        <f aca="false">SUM(H26:J26)</f>
        <v>4377.08724875015</v>
      </c>
      <c r="M26" s="49" t="n">
        <f aca="false">$C$12*D26</f>
        <v>427.8</v>
      </c>
      <c r="N26" s="49" t="n">
        <f aca="false">((F26/(1-$C$9))-F26)*$D26</f>
        <v>115.609022556389</v>
      </c>
      <c r="O26" s="50" t="n">
        <f aca="false">((F26/(1-$C$9))-F26)</f>
        <v>0.00621553884711767</v>
      </c>
      <c r="P26" s="51" t="n">
        <f aca="false">SUM(M26:N26)</f>
        <v>543.409022556389</v>
      </c>
      <c r="Q26" s="52" t="n">
        <v>2.96</v>
      </c>
      <c r="R26" s="53" t="n">
        <v>2.48</v>
      </c>
      <c r="S26" s="54" t="n">
        <f aca="false">(L26+P26)</f>
        <v>4920.49627130654</v>
      </c>
      <c r="T26" s="55" t="n">
        <f aca="false">IF((((Q26-0.1)-($C$7+$C$8+$C$11+$C$12+K26+O26)-R26)&gt;(-$C$11+-$C$12)),((Q26-0.1)-($C$7+$C$8+$C$11+$C$12+K26+O26)-R26),(-$C$11+-$C$12))</f>
        <v>-0.0849825952315344</v>
      </c>
      <c r="U26" s="56" t="n">
        <f aca="false">B26*T26</f>
        <v>-1580.67627130654</v>
      </c>
      <c r="V26" s="57" t="n">
        <f aca="false">0.085*U26</f>
        <v>-134.357483061056</v>
      </c>
      <c r="W26" s="58" t="n">
        <f aca="false">(($C$11-0.09)*$C$5)*0.085</f>
        <v>200.94</v>
      </c>
      <c r="X26" s="59" t="n">
        <f aca="false">E26+G26+S26+V26+W26</f>
        <v>55209.7060369956</v>
      </c>
      <c r="Z26" s="60" t="n">
        <f aca="false">(U26*0.075)+((($C$11-0.09)*$C$5)*0.075)</f>
        <v>58.7492796520095</v>
      </c>
      <c r="AA26" s="51" t="n">
        <f aca="false">(U26*0.01)+((($C$11-0.09)*$C$5)*0.01)</f>
        <v>7.8332372869346</v>
      </c>
      <c r="AC26" s="61" t="n">
        <f aca="false">$C$5*0.02</f>
        <v>400</v>
      </c>
    </row>
    <row r="27" customFormat="false" ht="12.75" hidden="false" customHeight="false" outlineLevel="0" collapsed="false">
      <c r="A27" s="42" t="n">
        <f aca="false">A26+1</f>
        <v>37115</v>
      </c>
      <c r="B27" s="43" t="n">
        <v>20000</v>
      </c>
      <c r="C27" s="44" t="n">
        <f aca="false">$B27/(1-$C$9)/(1-$C$13)</f>
        <v>20994.8956160034</v>
      </c>
      <c r="D27" s="43" t="n">
        <v>20000</v>
      </c>
      <c r="E27" s="45" t="n">
        <f aca="false">$C$5*0.09</f>
        <v>1800</v>
      </c>
      <c r="F27" s="46" t="n">
        <v>2.48</v>
      </c>
      <c r="G27" s="47" t="n">
        <f aca="false">C27*F27</f>
        <v>52067.3411276883</v>
      </c>
      <c r="H27" s="48" t="n">
        <f aca="false">$C$7*$C$5</f>
        <v>2062</v>
      </c>
      <c r="I27" s="49" t="n">
        <f aca="false">$C$8*D27</f>
        <v>22</v>
      </c>
      <c r="J27" s="49" t="n">
        <f aca="false">((F27/(1-$C$9)/(1-$C$13))-F27)*D27</f>
        <v>2467.34112768833</v>
      </c>
      <c r="K27" s="50" t="n">
        <f aca="false">((F27/(1-$C$9)/(1-$C$13))-F27)</f>
        <v>0.123367056384417</v>
      </c>
      <c r="L27" s="49" t="n">
        <f aca="false">SUM(H27:J27)</f>
        <v>4551.34112768833</v>
      </c>
      <c r="M27" s="49" t="n">
        <f aca="false">$C$12*D27</f>
        <v>460</v>
      </c>
      <c r="N27" s="49" t="n">
        <f aca="false">((F27/(1-$C$9))-F27)*$D27</f>
        <v>124.310776942353</v>
      </c>
      <c r="O27" s="50" t="n">
        <f aca="false">((F27/(1-$C$9))-F27)</f>
        <v>0.00621553884711767</v>
      </c>
      <c r="P27" s="51" t="n">
        <f aca="false">SUM(M27:N27)</f>
        <v>584.310776942354</v>
      </c>
      <c r="Q27" s="52" t="n">
        <v>2.96</v>
      </c>
      <c r="R27" s="53" t="n">
        <v>2.48</v>
      </c>
      <c r="S27" s="54" t="n">
        <f aca="false">(L27+P27)</f>
        <v>5135.65190463069</v>
      </c>
      <c r="T27" s="55" t="n">
        <f aca="false">IF((((Q27-0.1)-($C$7+$C$8+$C$11+$C$12+K27+O27)-R27)&gt;(-$C$11+-$C$12)),((Q27-0.1)-($C$7+$C$8+$C$11+$C$12+K27+O27)-R27),(-$C$11+-$C$12))</f>
        <v>-0.0849825952315344</v>
      </c>
      <c r="U27" s="56" t="n">
        <f aca="false">B27*T27</f>
        <v>-1699.65190463069</v>
      </c>
      <c r="V27" s="57" t="n">
        <f aca="false">0.085*U27</f>
        <v>-144.470411893608</v>
      </c>
      <c r="W27" s="58" t="n">
        <f aca="false">(($C$11-0.09)*$C$5)*0.085</f>
        <v>200.94</v>
      </c>
      <c r="X27" s="59" t="n">
        <f aca="false">E27+G27+S27+V27+W27</f>
        <v>59059.4626204254</v>
      </c>
      <c r="Z27" s="60" t="n">
        <f aca="false">(U27*0.075)+((($C$11-0.09)*$C$5)*0.075)</f>
        <v>49.8261071526984</v>
      </c>
      <c r="AA27" s="51" t="n">
        <f aca="false">(U27*0.01)+((($C$11-0.09)*$C$5)*0.01)</f>
        <v>6.64348095369312</v>
      </c>
      <c r="AC27" s="61" t="n">
        <f aca="false">$C$5*0.02</f>
        <v>400</v>
      </c>
    </row>
    <row r="28" customFormat="false" ht="12.75" hidden="false" customHeight="false" outlineLevel="0" collapsed="false">
      <c r="A28" s="42" t="n">
        <f aca="false">A27+1</f>
        <v>37116</v>
      </c>
      <c r="B28" s="43" t="n">
        <v>20000</v>
      </c>
      <c r="C28" s="44" t="n">
        <f aca="false">$B28/(1-$C$9)/(1-$C$13)</f>
        <v>20994.8956160034</v>
      </c>
      <c r="D28" s="43" t="n">
        <v>20000</v>
      </c>
      <c r="E28" s="45" t="n">
        <f aca="false">$C$5*0.09</f>
        <v>1800</v>
      </c>
      <c r="F28" s="46" t="n">
        <v>2.48</v>
      </c>
      <c r="G28" s="47" t="n">
        <f aca="false">C28*F28</f>
        <v>52067.3411276883</v>
      </c>
      <c r="H28" s="48" t="n">
        <f aca="false">$C$7*$C$5</f>
        <v>2062</v>
      </c>
      <c r="I28" s="49" t="n">
        <f aca="false">$C$8*D28</f>
        <v>22</v>
      </c>
      <c r="J28" s="49" t="n">
        <f aca="false">((F28/(1-$C$9)/(1-$C$13))-F28)*D28</f>
        <v>2467.34112768833</v>
      </c>
      <c r="K28" s="50" t="n">
        <f aca="false">((F28/(1-$C$9)/(1-$C$13))-F28)</f>
        <v>0.123367056384417</v>
      </c>
      <c r="L28" s="49" t="n">
        <f aca="false">SUM(H28:J28)</f>
        <v>4551.34112768833</v>
      </c>
      <c r="M28" s="49" t="n">
        <f aca="false">$C$12*D28</f>
        <v>460</v>
      </c>
      <c r="N28" s="49" t="n">
        <f aca="false">((F28/(1-$C$9))-F28)*$D28</f>
        <v>124.310776942353</v>
      </c>
      <c r="O28" s="50" t="n">
        <f aca="false">((F28/(1-$C$9))-F28)</f>
        <v>0.00621553884711767</v>
      </c>
      <c r="P28" s="51" t="n">
        <f aca="false">SUM(M28:N28)</f>
        <v>584.310776942354</v>
      </c>
      <c r="Q28" s="52" t="n">
        <v>2.96</v>
      </c>
      <c r="R28" s="53" t="n">
        <v>2.48</v>
      </c>
      <c r="S28" s="54" t="n">
        <f aca="false">(L28+P28)</f>
        <v>5135.65190463069</v>
      </c>
      <c r="T28" s="55" t="n">
        <f aca="false">IF((((Q28-0.1)-($C$7+$C$8+$C$11+$C$12+K28+O28)-R28)&gt;(-$C$11+-$C$12)),((Q28-0.1)-($C$7+$C$8+$C$11+$C$12+K28+O28)-R28),(-$C$11+-$C$12))</f>
        <v>-0.0849825952315344</v>
      </c>
      <c r="U28" s="56" t="n">
        <f aca="false">B28*T28</f>
        <v>-1699.65190463069</v>
      </c>
      <c r="V28" s="57" t="n">
        <f aca="false">0.085*U28</f>
        <v>-144.470411893608</v>
      </c>
      <c r="W28" s="58" t="n">
        <f aca="false">(($C$11-0.09)*$C$5)*0.085</f>
        <v>200.94</v>
      </c>
      <c r="X28" s="59" t="n">
        <f aca="false">E28+G28+S28+V28+W28</f>
        <v>59059.4626204254</v>
      </c>
      <c r="Z28" s="60" t="n">
        <f aca="false">(U28*0.075)+((($C$11-0.09)*$C$5)*0.075)</f>
        <v>49.8261071526984</v>
      </c>
      <c r="AA28" s="51" t="n">
        <f aca="false">(U28*0.01)+((($C$11-0.09)*$C$5)*0.01)</f>
        <v>6.64348095369312</v>
      </c>
      <c r="AC28" s="61" t="n">
        <f aca="false">$C$5*0.02</f>
        <v>400</v>
      </c>
    </row>
    <row r="29" customFormat="false" ht="12.75" hidden="false" customHeight="false" outlineLevel="0" collapsed="false">
      <c r="A29" s="42" t="n">
        <f aca="false">A28+1</f>
        <v>37117</v>
      </c>
      <c r="B29" s="43" t="n">
        <v>20000</v>
      </c>
      <c r="C29" s="44" t="n">
        <f aca="false">$B29/(1-$C$9)/(1-$C$13)</f>
        <v>20994.8956160034</v>
      </c>
      <c r="D29" s="43" t="n">
        <v>20000</v>
      </c>
      <c r="E29" s="45" t="n">
        <f aca="false">$C$5*0.09</f>
        <v>1800</v>
      </c>
      <c r="F29" s="46" t="n">
        <v>2.545</v>
      </c>
      <c r="G29" s="47" t="n">
        <f aca="false">C29*F29</f>
        <v>53432.0093427286</v>
      </c>
      <c r="H29" s="48" t="n">
        <f aca="false">$C$7*$C$5</f>
        <v>2062</v>
      </c>
      <c r="I29" s="49" t="n">
        <f aca="false">$C$8*D29</f>
        <v>22</v>
      </c>
      <c r="J29" s="49" t="n">
        <f aca="false">((F29/(1-$C$9)/(1-$C$13))-F29)*D29</f>
        <v>2532.00934272855</v>
      </c>
      <c r="K29" s="50" t="n">
        <f aca="false">((F29/(1-$C$9)/(1-$C$13))-F29)</f>
        <v>0.126600467136428</v>
      </c>
      <c r="L29" s="49" t="n">
        <f aca="false">SUM(H29:J29)</f>
        <v>4616.00934272855</v>
      </c>
      <c r="M29" s="49" t="n">
        <f aca="false">$C$12*D29</f>
        <v>460</v>
      </c>
      <c r="N29" s="49" t="n">
        <f aca="false">((F29/(1-$C$9))-F29)*$D29</f>
        <v>127.568922305761</v>
      </c>
      <c r="O29" s="50" t="n">
        <f aca="false">((F29/(1-$C$9))-F29)</f>
        <v>0.00637844611528804</v>
      </c>
      <c r="P29" s="51" t="n">
        <f aca="false">SUM(M29:N29)</f>
        <v>587.568922305761</v>
      </c>
      <c r="Q29" s="52" t="n">
        <v>3.03</v>
      </c>
      <c r="R29" s="53" t="n">
        <v>2.545</v>
      </c>
      <c r="S29" s="54" t="n">
        <f aca="false">(L29+P29)</f>
        <v>5203.57826503431</v>
      </c>
      <c r="T29" s="55" t="n">
        <f aca="false">IF((((Q29-0.1)-($C$7+$C$8+$C$11+$C$12+K29+O29)-R29)&gt;(-$C$11+-$C$12)),((Q29-0.1)-($C$7+$C$8+$C$11+$C$12+K29+O29)-R29),(-$C$11+-$C$12))</f>
        <v>-0.0833789132517158</v>
      </c>
      <c r="U29" s="56" t="n">
        <f aca="false">B29*T29</f>
        <v>-1667.57826503432</v>
      </c>
      <c r="V29" s="57" t="n">
        <f aca="false">0.085*U29</f>
        <v>-141.744152527917</v>
      </c>
      <c r="W29" s="58" t="n">
        <f aca="false">(($C$11-0.09)*$C$5)*0.085</f>
        <v>200.94</v>
      </c>
      <c r="X29" s="59" t="n">
        <f aca="false">E29+G29+S29+V29+W29</f>
        <v>60494.7834552349</v>
      </c>
      <c r="Z29" s="60" t="n">
        <f aca="false">(U29*0.075)+((($C$11-0.09)*$C$5)*0.075)</f>
        <v>52.2316301224264</v>
      </c>
      <c r="AA29" s="51" t="n">
        <f aca="false">(U29*0.01)+((($C$11-0.09)*$C$5)*0.01)</f>
        <v>6.96421734965685</v>
      </c>
      <c r="AC29" s="61" t="n">
        <f aca="false">$C$5*0.02</f>
        <v>400</v>
      </c>
    </row>
    <row r="30" customFormat="false" ht="12.75" hidden="false" customHeight="false" outlineLevel="0" collapsed="false">
      <c r="A30" s="42" t="n">
        <f aca="false">A29+1</f>
        <v>37118</v>
      </c>
      <c r="B30" s="43" t="n">
        <v>20000</v>
      </c>
      <c r="C30" s="44" t="n">
        <f aca="false">$B30/(1-$C$9)/(1-$C$13)</f>
        <v>20994.8956160034</v>
      </c>
      <c r="D30" s="43" t="n">
        <v>20000</v>
      </c>
      <c r="E30" s="45" t="n">
        <f aca="false">$C$5*0.09</f>
        <v>1800</v>
      </c>
      <c r="F30" s="46" t="n">
        <v>2.55</v>
      </c>
      <c r="G30" s="47" t="n">
        <f aca="false">C30*F30</f>
        <v>53536.9838208086</v>
      </c>
      <c r="H30" s="48" t="n">
        <f aca="false">$C$7*$C$5</f>
        <v>2062</v>
      </c>
      <c r="I30" s="49" t="n">
        <f aca="false">$C$8*D30</f>
        <v>22</v>
      </c>
      <c r="J30" s="49" t="n">
        <f aca="false">((F30/(1-$C$9)/(1-$C$13))-F30)*D30</f>
        <v>2536.98382080857</v>
      </c>
      <c r="K30" s="50" t="n">
        <f aca="false">((F30/(1-$C$9)/(1-$C$13))-F30)</f>
        <v>0.126849191040428</v>
      </c>
      <c r="L30" s="49" t="n">
        <f aca="false">SUM(H30:J30)</f>
        <v>4620.98382080857</v>
      </c>
      <c r="M30" s="49" t="n">
        <f aca="false">$C$12*D30</f>
        <v>460</v>
      </c>
      <c r="N30" s="49" t="n">
        <f aca="false">((F30/(1-$C$9))-F30)*$D30</f>
        <v>127.819548872177</v>
      </c>
      <c r="O30" s="50" t="n">
        <f aca="false">((F30/(1-$C$9))-F30)</f>
        <v>0.00639097744360884</v>
      </c>
      <c r="P30" s="51" t="n">
        <f aca="false">SUM(M30:N30)</f>
        <v>587.819548872177</v>
      </c>
      <c r="Q30" s="52" t="n">
        <v>3.145</v>
      </c>
      <c r="R30" s="53" t="n">
        <v>2.55</v>
      </c>
      <c r="S30" s="54" t="n">
        <f aca="false">(L30+P30)</f>
        <v>5208.80336968074</v>
      </c>
      <c r="T30" s="55" t="n">
        <f aca="false">IF((((Q30-0.1)-($C$7+$C$8+$C$11+$C$12+K30+O30)-R30)&gt;(-$C$11+-$C$12)),((Q30-0.1)-($C$7+$C$8+$C$11+$C$12+K30+O30)-R30),(-$C$11+-$C$12))</f>
        <v>0.026359831515963</v>
      </c>
      <c r="U30" s="56" t="n">
        <f aca="false">B30*T30</f>
        <v>527.19663031926</v>
      </c>
      <c r="V30" s="57" t="n">
        <f aca="false">0.085*U30</f>
        <v>44.8117135771371</v>
      </c>
      <c r="W30" s="58" t="n">
        <f aca="false">(($C$11-0.09)*$C$5)*0.085</f>
        <v>200.94</v>
      </c>
      <c r="X30" s="59" t="n">
        <f aca="false">E30+G30+S30+V30+W30</f>
        <v>60791.5389040665</v>
      </c>
      <c r="Z30" s="60" t="n">
        <f aca="false">(U30*0.075)+((($C$11-0.09)*$C$5)*0.075)</f>
        <v>216.839747273944</v>
      </c>
      <c r="AA30" s="51" t="n">
        <f aca="false">(U30*0.01)+((($C$11-0.09)*$C$5)*0.01)</f>
        <v>28.9119663031926</v>
      </c>
      <c r="AC30" s="61" t="n">
        <f aca="false">$C$5*0.02</f>
        <v>400</v>
      </c>
    </row>
    <row r="31" customFormat="false" ht="12.75" hidden="false" customHeight="false" outlineLevel="0" collapsed="false">
      <c r="A31" s="42" t="n">
        <f aca="false">A30+1</f>
        <v>37119</v>
      </c>
      <c r="B31" s="43" t="n">
        <v>20000</v>
      </c>
      <c r="C31" s="44" t="n">
        <f aca="false">$B31/(1-$C$9)/(1-$C$13)</f>
        <v>20994.8956160034</v>
      </c>
      <c r="D31" s="43" t="n">
        <v>20000</v>
      </c>
      <c r="E31" s="45" t="n">
        <f aca="false">$C$5*0.09</f>
        <v>1800</v>
      </c>
      <c r="F31" s="46" t="n">
        <v>2.635</v>
      </c>
      <c r="G31" s="47" t="n">
        <f aca="false">C31*F31</f>
        <v>55321.5499481688</v>
      </c>
      <c r="H31" s="48" t="n">
        <f aca="false">$C$7*$C$5</f>
        <v>2062</v>
      </c>
      <c r="I31" s="49" t="n">
        <f aca="false">$C$8*D31</f>
        <v>22</v>
      </c>
      <c r="J31" s="49" t="n">
        <f aca="false">((F31/(1-$C$9)/(1-$C$13))-F31)*D31</f>
        <v>2621.54994816885</v>
      </c>
      <c r="K31" s="50" t="n">
        <f aca="false">((F31/(1-$C$9)/(1-$C$13))-F31)</f>
        <v>0.131077497408442</v>
      </c>
      <c r="L31" s="49" t="n">
        <f aca="false">SUM(H31:J31)</f>
        <v>4705.54994816885</v>
      </c>
      <c r="M31" s="49" t="n">
        <f aca="false">$C$12*D31</f>
        <v>460</v>
      </c>
      <c r="N31" s="49" t="n">
        <f aca="false">((F31/(1-$C$9))-F31)*$D31</f>
        <v>132.080200501248</v>
      </c>
      <c r="O31" s="50" t="n">
        <f aca="false">((F31/(1-$C$9))-F31)</f>
        <v>0.00660401002506239</v>
      </c>
      <c r="P31" s="51" t="n">
        <f aca="false">SUM(M31:N31)</f>
        <v>592.080200501248</v>
      </c>
      <c r="Q31" s="52" t="n">
        <v>3.215</v>
      </c>
      <c r="R31" s="53" t="n">
        <v>2.635</v>
      </c>
      <c r="S31" s="54" t="n">
        <f aca="false">(L31+P31)</f>
        <v>5297.63014867009</v>
      </c>
      <c r="T31" s="55" t="n">
        <f aca="false">IF((((Q31-0.1)-($C$7+$C$8+$C$11+$C$12+K31+O31)-R31)&gt;(-$C$11+-$C$12)),((Q31-0.1)-($C$7+$C$8+$C$11+$C$12+K31+O31)-R31),(-$C$11+-$C$12))</f>
        <v>0.00691849256649535</v>
      </c>
      <c r="U31" s="56" t="n">
        <f aca="false">B31*T31</f>
        <v>138.369851329907</v>
      </c>
      <c r="V31" s="57" t="n">
        <f aca="false">0.085*U31</f>
        <v>11.7614373630421</v>
      </c>
      <c r="W31" s="58" t="n">
        <f aca="false">(($C$11-0.09)*$C$5)*0.085</f>
        <v>200.94</v>
      </c>
      <c r="X31" s="59" t="n">
        <f aca="false">E31+G31+S31+V31+W31</f>
        <v>62631.881534202</v>
      </c>
      <c r="Z31" s="60" t="n">
        <f aca="false">(U31*0.075)+((($C$11-0.09)*$C$5)*0.075)</f>
        <v>187.677738849743</v>
      </c>
      <c r="AA31" s="51" t="n">
        <f aca="false">(U31*0.01)+((($C$11-0.09)*$C$5)*0.01)</f>
        <v>25.0236985132991</v>
      </c>
      <c r="AC31" s="61" t="n">
        <f aca="false">$C$5*0.02</f>
        <v>400</v>
      </c>
    </row>
    <row r="32" customFormat="false" ht="12.75" hidden="false" customHeight="false" outlineLevel="0" collapsed="false">
      <c r="A32" s="42" t="n">
        <f aca="false">A31+1</f>
        <v>37120</v>
      </c>
      <c r="B32" s="43" t="n">
        <v>20000</v>
      </c>
      <c r="C32" s="44" t="n">
        <f aca="false">$B32/(1-$C$9)/(1-$C$13)</f>
        <v>20994.8956160034</v>
      </c>
      <c r="D32" s="43" t="n">
        <v>20000</v>
      </c>
      <c r="E32" s="45" t="n">
        <f aca="false">$C$5*0.09</f>
        <v>1800</v>
      </c>
      <c r="F32" s="46" t="n">
        <v>3.095</v>
      </c>
      <c r="G32" s="47" t="n">
        <f aca="false">C32*F32</f>
        <v>64979.2019315304</v>
      </c>
      <c r="H32" s="48" t="n">
        <f aca="false">$C$7*$C$5</f>
        <v>2062</v>
      </c>
      <c r="I32" s="49" t="n">
        <f aca="false">$C$8*D32</f>
        <v>22</v>
      </c>
      <c r="J32" s="49" t="n">
        <f aca="false">((F32/(1-$C$9)/(1-$C$13))-F32)*D32</f>
        <v>3079.2019315304</v>
      </c>
      <c r="K32" s="50" t="n">
        <f aca="false">((F32/(1-$C$9)/(1-$C$13))-F32)</f>
        <v>0.15396009657652</v>
      </c>
      <c r="L32" s="49" t="n">
        <f aca="false">SUM(H32:J32)</f>
        <v>5163.2019315304</v>
      </c>
      <c r="M32" s="49" t="n">
        <f aca="false">$C$12*D32</f>
        <v>460</v>
      </c>
      <c r="N32" s="49" t="n">
        <f aca="false">((F32/(1-$C$9))-F32)*$D32</f>
        <v>155.137844611524</v>
      </c>
      <c r="O32" s="50" t="n">
        <f aca="false">((F32/(1-$C$9))-F32)</f>
        <v>0.00775689223057618</v>
      </c>
      <c r="P32" s="51" t="n">
        <f aca="false">SUM(M32:N32)</f>
        <v>615.137844611524</v>
      </c>
      <c r="Q32" s="52" t="n">
        <v>3.59</v>
      </c>
      <c r="R32" s="53" t="n">
        <v>3.095</v>
      </c>
      <c r="S32" s="54" t="n">
        <f aca="false">(L32+P32)</f>
        <v>5778.33977614192</v>
      </c>
      <c r="T32" s="55" t="n">
        <f aca="false">IF((((Q32-0.1)-($C$7+$C$8+$C$11+$C$12+K32+O32)-R32)&gt;(-$C$11+-$C$12)),((Q32-0.1)-($C$7+$C$8+$C$11+$C$12+K32+O32)-R32),(-$C$11+-$C$12))</f>
        <v>-0.102116988807096</v>
      </c>
      <c r="U32" s="56" t="n">
        <f aca="false">B32*T32</f>
        <v>-2042.33977614193</v>
      </c>
      <c r="V32" s="57" t="n">
        <f aca="false">0.085*U32</f>
        <v>-173.598880972064</v>
      </c>
      <c r="W32" s="58" t="n">
        <f aca="false">(($C$11-0.09)*$C$5)*0.085</f>
        <v>200.94</v>
      </c>
      <c r="X32" s="59" t="n">
        <f aca="false">E32+G32+S32+V32+W32</f>
        <v>72584.8828267003</v>
      </c>
      <c r="Z32" s="60" t="n">
        <f aca="false">(U32*0.075)+((($C$11-0.09)*$C$5)*0.075)</f>
        <v>24.1245167893555</v>
      </c>
      <c r="AA32" s="51" t="n">
        <f aca="false">(U32*0.01)+((($C$11-0.09)*$C$5)*0.01)</f>
        <v>3.21660223858074</v>
      </c>
      <c r="AC32" s="61" t="n">
        <f aca="false">$C$5*0.02</f>
        <v>400</v>
      </c>
    </row>
    <row r="33" customFormat="false" ht="12.75" hidden="false" customHeight="false" outlineLevel="0" collapsed="false">
      <c r="A33" s="42" t="n">
        <f aca="false">A32+1</f>
        <v>37121</v>
      </c>
      <c r="B33" s="43" t="n">
        <v>20000</v>
      </c>
      <c r="C33" s="44" t="n">
        <f aca="false">$B33/(1-$C$9)/(1-$C$13)</f>
        <v>20994.8956160034</v>
      </c>
      <c r="D33" s="43" t="n">
        <v>20000</v>
      </c>
      <c r="E33" s="45" t="n">
        <f aca="false">$C$5*0.09</f>
        <v>1800</v>
      </c>
      <c r="F33" s="46" t="n">
        <v>2.83</v>
      </c>
      <c r="G33" s="47" t="n">
        <f aca="false">C33*F33</f>
        <v>59415.5545932895</v>
      </c>
      <c r="H33" s="48" t="n">
        <f aca="false">$C$7*$C$5</f>
        <v>2062</v>
      </c>
      <c r="I33" s="49" t="n">
        <f aca="false">$C$8*D33</f>
        <v>22</v>
      </c>
      <c r="J33" s="49" t="n">
        <f aca="false">((F33/(1-$C$9)/(1-$C$13))-F33)*D33</f>
        <v>2815.55459328951</v>
      </c>
      <c r="K33" s="50" t="n">
        <f aca="false">((F33/(1-$C$9)/(1-$C$13))-F33)</f>
        <v>0.140777729664475</v>
      </c>
      <c r="L33" s="49" t="n">
        <f aca="false">SUM(H33:J33)</f>
        <v>4899.55459328951</v>
      </c>
      <c r="M33" s="49" t="n">
        <f aca="false">$C$12*D33</f>
        <v>460</v>
      </c>
      <c r="N33" s="49" t="n">
        <f aca="false">((F33/(1-$C$9))-F33)*$D33</f>
        <v>141.854636591479</v>
      </c>
      <c r="O33" s="50" t="n">
        <f aca="false">((F33/(1-$C$9))-F33)</f>
        <v>0.00709273182957393</v>
      </c>
      <c r="P33" s="51" t="n">
        <f aca="false">SUM(M33:N33)</f>
        <v>601.854636591479</v>
      </c>
      <c r="Q33" s="52" t="n">
        <v>3.215</v>
      </c>
      <c r="R33" s="53" t="n">
        <v>2.83</v>
      </c>
      <c r="S33" s="54" t="n">
        <f aca="false">(L33+P33)</f>
        <v>5501.40922988099</v>
      </c>
      <c r="T33" s="55" t="n">
        <f aca="false">IF((((Q33-0.1)-($C$7+$C$8+$C$11+$C$12+K33+O33)-R33)&gt;(-$C$11+-$C$12)),((Q33-0.1)-($C$7+$C$8+$C$11+$C$12+K33+O33)-R33),(-$C$11+-$C$12))</f>
        <v>-0.19827046149405</v>
      </c>
      <c r="U33" s="56" t="n">
        <f aca="false">B33*T33</f>
        <v>-3965.40922988099</v>
      </c>
      <c r="V33" s="57" t="n">
        <f aca="false">0.085*U33</f>
        <v>-337.059784539884</v>
      </c>
      <c r="W33" s="58" t="n">
        <f aca="false">(($C$11-0.09)*$C$5)*0.085</f>
        <v>200.94</v>
      </c>
      <c r="X33" s="59" t="n">
        <f aca="false">E33+G33+S33+V33+W33</f>
        <v>66580.8440386306</v>
      </c>
      <c r="Z33" s="60" t="n">
        <f aca="false">(U33*0.075)+((($C$11-0.09)*$C$5)*0.075)</f>
        <v>-120.105692241074</v>
      </c>
      <c r="AA33" s="51" t="n">
        <f aca="false">(U33*0.01)+((($C$11-0.09)*$C$5)*0.01)</f>
        <v>-16.0140922988099</v>
      </c>
      <c r="AC33" s="61" t="n">
        <f aca="false">$C$5*0.02</f>
        <v>400</v>
      </c>
    </row>
    <row r="34" customFormat="false" ht="12.75" hidden="false" customHeight="false" outlineLevel="0" collapsed="false">
      <c r="A34" s="42" t="n">
        <f aca="false">A33+1</f>
        <v>37122</v>
      </c>
      <c r="B34" s="43" t="n">
        <v>19077</v>
      </c>
      <c r="C34" s="44" t="n">
        <f aca="false">$B34/(1-$C$9)/(1-$C$13)</f>
        <v>20025.9811833248</v>
      </c>
      <c r="D34" s="43" t="n">
        <v>19077</v>
      </c>
      <c r="E34" s="45" t="n">
        <f aca="false">$C$5*0.09</f>
        <v>1800</v>
      </c>
      <c r="F34" s="46" t="n">
        <v>2.83</v>
      </c>
      <c r="G34" s="47" t="n">
        <f aca="false">C34*F34</f>
        <v>56673.5267488092</v>
      </c>
      <c r="H34" s="48" t="n">
        <f aca="false">$C$7*$C$5</f>
        <v>2062</v>
      </c>
      <c r="I34" s="49" t="n">
        <f aca="false">$C$8*D34</f>
        <v>20.9847</v>
      </c>
      <c r="J34" s="49" t="n">
        <f aca="false">((F34/(1-$C$9)/(1-$C$13))-F34)*D34</f>
        <v>2685.6167488092</v>
      </c>
      <c r="K34" s="50" t="n">
        <f aca="false">((F34/(1-$C$9)/(1-$C$13))-F34)</f>
        <v>0.140777729664475</v>
      </c>
      <c r="L34" s="49" t="n">
        <f aca="false">SUM(H34:J34)</f>
        <v>4768.6014488092</v>
      </c>
      <c r="M34" s="49" t="n">
        <f aca="false">$C$12*D34</f>
        <v>438.771</v>
      </c>
      <c r="N34" s="49" t="n">
        <f aca="false">((F34/(1-$C$9))-F34)*$D34</f>
        <v>135.308045112782</v>
      </c>
      <c r="O34" s="50" t="n">
        <f aca="false">((F34/(1-$C$9))-F34)</f>
        <v>0.00709273182957393</v>
      </c>
      <c r="P34" s="51" t="n">
        <f aca="false">SUM(M34:N34)</f>
        <v>574.079045112782</v>
      </c>
      <c r="Q34" s="52" t="n">
        <v>3.215</v>
      </c>
      <c r="R34" s="53" t="n">
        <v>2.83</v>
      </c>
      <c r="S34" s="54" t="n">
        <f aca="false">(L34+P34)</f>
        <v>5342.68049392198</v>
      </c>
      <c r="T34" s="55" t="n">
        <f aca="false">IF((((Q34-0.1)-($C$7+$C$8+$C$11+$C$12+K34+O34)-R34)&gt;(-$C$11+-$C$12)),((Q34-0.1)-($C$7+$C$8+$C$11+$C$12+K34+O34)-R34),(-$C$11+-$C$12))</f>
        <v>-0.19827046149405</v>
      </c>
      <c r="U34" s="56" t="n">
        <f aca="false">B34*T34</f>
        <v>-3782.40559392198</v>
      </c>
      <c r="V34" s="57" t="n">
        <f aca="false">0.085*U34</f>
        <v>-321.504475483369</v>
      </c>
      <c r="W34" s="58" t="n">
        <f aca="false">(($C$11-0.09)*$C$5)*0.085</f>
        <v>200.94</v>
      </c>
      <c r="X34" s="59" t="n">
        <f aca="false">E34+G34+S34+V34+W34</f>
        <v>63695.6427672478</v>
      </c>
      <c r="Z34" s="60" t="n">
        <f aca="false">(U34*0.075)+((($C$11-0.09)*$C$5)*0.075)</f>
        <v>-106.380419544149</v>
      </c>
      <c r="AA34" s="51" t="n">
        <f aca="false">(U34*0.01)+((($C$11-0.09)*$C$5)*0.01)</f>
        <v>-14.1840559392198</v>
      </c>
      <c r="AC34" s="61" t="n">
        <f aca="false">$C$5*0.02</f>
        <v>400</v>
      </c>
    </row>
    <row r="35" customFormat="false" ht="12.75" hidden="false" customHeight="false" outlineLevel="0" collapsed="false">
      <c r="A35" s="42" t="n">
        <f aca="false">A34+1</f>
        <v>37123</v>
      </c>
      <c r="B35" s="43" t="n">
        <v>20000</v>
      </c>
      <c r="C35" s="44" t="n">
        <f aca="false">$B35/(1-$C$9)/(1-$C$13)</f>
        <v>20994.8956160034</v>
      </c>
      <c r="D35" s="43" t="n">
        <v>20000</v>
      </c>
      <c r="E35" s="45" t="n">
        <f aca="false">$C$5*0.09</f>
        <v>1800</v>
      </c>
      <c r="F35" s="46" t="n">
        <v>2.83</v>
      </c>
      <c r="G35" s="47" t="n">
        <f aca="false">C35*F35</f>
        <v>59415.5545932895</v>
      </c>
      <c r="H35" s="48" t="n">
        <f aca="false">$C$7*$C$5</f>
        <v>2062</v>
      </c>
      <c r="I35" s="49" t="n">
        <f aca="false">$C$8*D35</f>
        <v>22</v>
      </c>
      <c r="J35" s="49" t="n">
        <f aca="false">((F35/(1-$C$9)/(1-$C$13))-F35)*D35</f>
        <v>2815.55459328951</v>
      </c>
      <c r="K35" s="50" t="n">
        <f aca="false">((F35/(1-$C$9)/(1-$C$13))-F35)</f>
        <v>0.140777729664475</v>
      </c>
      <c r="L35" s="49" t="n">
        <f aca="false">SUM(H35:J35)</f>
        <v>4899.55459328951</v>
      </c>
      <c r="M35" s="49" t="n">
        <f aca="false">$C$12*D35</f>
        <v>460</v>
      </c>
      <c r="N35" s="49" t="n">
        <f aca="false">((F35/(1-$C$9))-F35)*$D35</f>
        <v>141.854636591479</v>
      </c>
      <c r="O35" s="50" t="n">
        <f aca="false">((F35/(1-$C$9))-F35)</f>
        <v>0.00709273182957393</v>
      </c>
      <c r="P35" s="51" t="n">
        <f aca="false">SUM(M35:N35)</f>
        <v>601.854636591479</v>
      </c>
      <c r="Q35" s="52" t="n">
        <v>3.215</v>
      </c>
      <c r="R35" s="53" t="n">
        <v>2.83</v>
      </c>
      <c r="S35" s="54" t="n">
        <f aca="false">(L35+P35)</f>
        <v>5501.40922988099</v>
      </c>
      <c r="T35" s="55" t="n">
        <f aca="false">IF((((Q35-0.1)-($C$7+$C$8+$C$11+$C$12+K35+O35)-R35)&gt;(-$C$11+-$C$12)),((Q35-0.1)-($C$7+$C$8+$C$11+$C$12+K35+O35)-R35),(-$C$11+-$C$12))</f>
        <v>-0.19827046149405</v>
      </c>
      <c r="U35" s="56" t="n">
        <f aca="false">B35*T35</f>
        <v>-3965.40922988099</v>
      </c>
      <c r="V35" s="57" t="n">
        <f aca="false">0.085*U35</f>
        <v>-337.059784539884</v>
      </c>
      <c r="W35" s="58" t="n">
        <f aca="false">(($C$11-0.09)*$C$5)*0.085</f>
        <v>200.94</v>
      </c>
      <c r="X35" s="59" t="n">
        <f aca="false">E35+G35+S35+V35+W35</f>
        <v>66580.8440386306</v>
      </c>
      <c r="Z35" s="60" t="n">
        <f aca="false">(U35*0.075)+((($C$11-0.09)*$C$5)*0.075)</f>
        <v>-120.105692241074</v>
      </c>
      <c r="AA35" s="51" t="n">
        <f aca="false">(U35*0.01)+((($C$11-0.09)*$C$5)*0.01)</f>
        <v>-16.0140922988099</v>
      </c>
      <c r="AC35" s="61" t="n">
        <f aca="false">$C$5*0.02</f>
        <v>400</v>
      </c>
    </row>
    <row r="36" customFormat="false" ht="12.75" hidden="false" customHeight="false" outlineLevel="0" collapsed="false">
      <c r="A36" s="42" t="n">
        <f aca="false">A35+1</f>
        <v>37124</v>
      </c>
      <c r="B36" s="43" t="n">
        <v>20000</v>
      </c>
      <c r="C36" s="44" t="n">
        <f aca="false">$B36/(1-$C$9)/(1-$C$13)</f>
        <v>20994.8956160034</v>
      </c>
      <c r="D36" s="43" t="n">
        <v>20000</v>
      </c>
      <c r="E36" s="45" t="n">
        <f aca="false">$C$5*0.09</f>
        <v>1800</v>
      </c>
      <c r="F36" s="46" t="n">
        <v>2.855</v>
      </c>
      <c r="G36" s="47" t="n">
        <f aca="false">C36*F36</f>
        <v>59940.4269836896</v>
      </c>
      <c r="H36" s="48" t="n">
        <f aca="false">$C$7*$C$5</f>
        <v>2062</v>
      </c>
      <c r="I36" s="49" t="n">
        <f aca="false">$C$8*D36</f>
        <v>22</v>
      </c>
      <c r="J36" s="49" t="n">
        <f aca="false">((F36/(1-$C$9)/(1-$C$13))-F36)*D36</f>
        <v>2840.42698368959</v>
      </c>
      <c r="K36" s="50" t="n">
        <f aca="false">((F36/(1-$C$9)/(1-$C$13))-F36)</f>
        <v>0.14202134918448</v>
      </c>
      <c r="L36" s="49" t="n">
        <f aca="false">SUM(H36:J36)</f>
        <v>4924.4269836896</v>
      </c>
      <c r="M36" s="49" t="n">
        <f aca="false">$C$12*D36</f>
        <v>460</v>
      </c>
      <c r="N36" s="49" t="n">
        <f aca="false">((F36/(1-$C$9))-F36)*$D36</f>
        <v>143.107769423558</v>
      </c>
      <c r="O36" s="50" t="n">
        <f aca="false">((F36/(1-$C$9))-F36)</f>
        <v>0.00715538847117792</v>
      </c>
      <c r="P36" s="51" t="n">
        <f aca="false">SUM(M36:N36)</f>
        <v>603.107769423558</v>
      </c>
      <c r="Q36" s="52" t="n">
        <v>3.2</v>
      </c>
      <c r="R36" s="53" t="n">
        <v>2.855</v>
      </c>
      <c r="S36" s="54" t="n">
        <f aca="false">(L36+P36)</f>
        <v>5527.53475311315</v>
      </c>
      <c r="T36" s="55" t="n">
        <f aca="false">IF((((Q36-0.1)-($C$7+$C$8+$C$11+$C$12+K36+O36)-R36)&gt;(-$C$11+-$C$12)),((Q36-0.1)-($C$7+$C$8+$C$11+$C$12+K36+O36)-R36),(-$C$11+-$C$12))</f>
        <v>-0.2312</v>
      </c>
      <c r="U36" s="56" t="n">
        <f aca="false">B36*T36</f>
        <v>-4624</v>
      </c>
      <c r="V36" s="57" t="n">
        <f aca="false">0.085*U36</f>
        <v>-393.04</v>
      </c>
      <c r="W36" s="58" t="n">
        <f aca="false">(($C$11-0.09)*$C$5)*0.085</f>
        <v>200.94</v>
      </c>
      <c r="X36" s="59" t="n">
        <f aca="false">E36+G36+S36+V36+W36</f>
        <v>67075.8617368028</v>
      </c>
      <c r="Z36" s="60" t="n">
        <f aca="false">(U36*0.075)+((($C$11-0.09)*$C$5)*0.075)</f>
        <v>-169.5</v>
      </c>
      <c r="AA36" s="51" t="n">
        <f aca="false">(U36*0.01)+((($C$11-0.09)*$C$5)*0.01)</f>
        <v>-22.6</v>
      </c>
      <c r="AC36" s="61" t="n">
        <f aca="false">$C$5*0.02</f>
        <v>400</v>
      </c>
    </row>
    <row r="37" customFormat="false" ht="12.75" hidden="false" customHeight="false" outlineLevel="0" collapsed="false">
      <c r="A37" s="42" t="n">
        <f aca="false">A36+1</f>
        <v>37125</v>
      </c>
      <c r="B37" s="43" t="n">
        <v>20000</v>
      </c>
      <c r="C37" s="44" t="n">
        <f aca="false">$B37/(1-$C$9)/(1-$C$13)</f>
        <v>20994.8956160034</v>
      </c>
      <c r="D37" s="43" t="n">
        <v>20000</v>
      </c>
      <c r="E37" s="45" t="n">
        <f aca="false">$C$5*0.09</f>
        <v>1800</v>
      </c>
      <c r="F37" s="46" t="n">
        <v>2.925</v>
      </c>
      <c r="G37" s="47" t="n">
        <f aca="false">C37*F37</f>
        <v>61410.0696768098</v>
      </c>
      <c r="H37" s="48" t="n">
        <f aca="false">$C$7*$C$5</f>
        <v>2062</v>
      </c>
      <c r="I37" s="49" t="n">
        <f aca="false">$C$8*D37</f>
        <v>22</v>
      </c>
      <c r="J37" s="49" t="n">
        <f aca="false">((F37/(1-$C$9)/(1-$C$13))-F37)*D37</f>
        <v>2910.06967680983</v>
      </c>
      <c r="K37" s="50" t="n">
        <f aca="false">((F37/(1-$C$9)/(1-$C$13))-F37)</f>
        <v>0.145503483840491</v>
      </c>
      <c r="L37" s="49" t="n">
        <f aca="false">SUM(H37:J37)</f>
        <v>4994.06967680983</v>
      </c>
      <c r="M37" s="49" t="n">
        <f aca="false">$C$12*D37</f>
        <v>460</v>
      </c>
      <c r="N37" s="49" t="n">
        <f aca="false">((F37/(1-$C$9))-F37)*$D37</f>
        <v>146.616541353382</v>
      </c>
      <c r="O37" s="50" t="n">
        <f aca="false">((F37/(1-$C$9))-F37)</f>
        <v>0.00733082706766908</v>
      </c>
      <c r="P37" s="51" t="n">
        <f aca="false">SUM(M37:N37)</f>
        <v>606.616541353382</v>
      </c>
      <c r="Q37" s="52" t="n">
        <v>3.26</v>
      </c>
      <c r="R37" s="53" t="n">
        <v>2.925</v>
      </c>
      <c r="S37" s="54" t="n">
        <f aca="false">(L37+P37)</f>
        <v>5600.68621816321</v>
      </c>
      <c r="T37" s="55" t="n">
        <f aca="false">IF((((Q37-0.1)-($C$7+$C$8+$C$11+$C$12+K37+O37)-R37)&gt;(-$C$11+-$C$12)),((Q37-0.1)-($C$7+$C$8+$C$11+$C$12+K37+O37)-R37),(-$C$11+-$C$12))</f>
        <v>-0.2312</v>
      </c>
      <c r="U37" s="56" t="n">
        <f aca="false">B37*T37</f>
        <v>-4624</v>
      </c>
      <c r="V37" s="57" t="n">
        <f aca="false">0.085*U37</f>
        <v>-393.04</v>
      </c>
      <c r="W37" s="58" t="n">
        <f aca="false">(($C$11-0.09)*$C$5)*0.085</f>
        <v>200.94</v>
      </c>
      <c r="X37" s="59" t="n">
        <f aca="false">E37+G37+S37+V37+W37</f>
        <v>68618.655894973</v>
      </c>
      <c r="Z37" s="60" t="n">
        <f aca="false">(U37*0.075)+((($C$11-0.09)*$C$5)*0.075)</f>
        <v>-169.5</v>
      </c>
      <c r="AA37" s="51" t="n">
        <f aca="false">(U37*0.01)+((($C$11-0.09)*$C$5)*0.01)</f>
        <v>-22.6</v>
      </c>
      <c r="AC37" s="61" t="n">
        <f aca="false">$C$5*0.02</f>
        <v>400</v>
      </c>
    </row>
    <row r="38" customFormat="false" ht="12.75" hidden="false" customHeight="false" outlineLevel="0" collapsed="false">
      <c r="A38" s="42" t="n">
        <f aca="false">A37+1</f>
        <v>37126</v>
      </c>
      <c r="B38" s="43" t="n">
        <v>20000</v>
      </c>
      <c r="C38" s="44" t="n">
        <f aca="false">$B38/(1-$C$9)/(1-$C$13)</f>
        <v>20994.8956160034</v>
      </c>
      <c r="D38" s="43" t="n">
        <v>20000</v>
      </c>
      <c r="E38" s="45" t="n">
        <f aca="false">$C$5*0.09</f>
        <v>1800</v>
      </c>
      <c r="F38" s="46" t="n">
        <v>2.87</v>
      </c>
      <c r="G38" s="47" t="n">
        <f aca="false">C38*F38</f>
        <v>60255.3504179296</v>
      </c>
      <c r="H38" s="48" t="n">
        <f aca="false">$C$7*$C$5</f>
        <v>2062</v>
      </c>
      <c r="I38" s="49" t="n">
        <f aca="false">$C$8*D38</f>
        <v>22</v>
      </c>
      <c r="J38" s="49" t="n">
        <f aca="false">((F38/(1-$C$9)/(1-$C$13))-F38)*D38</f>
        <v>2855.35041792964</v>
      </c>
      <c r="K38" s="50" t="n">
        <f aca="false">((F38/(1-$C$9)/(1-$C$13))-F38)</f>
        <v>0.142767520896482</v>
      </c>
      <c r="L38" s="49" t="n">
        <f aca="false">SUM(H38:J38)</f>
        <v>4939.35041792964</v>
      </c>
      <c r="M38" s="49" t="n">
        <f aca="false">$C$12*D38</f>
        <v>460</v>
      </c>
      <c r="N38" s="49" t="n">
        <f aca="false">((F38/(1-$C$9))-F38)*$D38</f>
        <v>143.859649122806</v>
      </c>
      <c r="O38" s="50" t="n">
        <f aca="false">((F38/(1-$C$9))-F38)</f>
        <v>0.00719298245614031</v>
      </c>
      <c r="P38" s="51" t="n">
        <f aca="false">SUM(M38:N38)</f>
        <v>603.859649122806</v>
      </c>
      <c r="Q38" s="52" t="n">
        <v>3.3</v>
      </c>
      <c r="R38" s="53" t="n">
        <v>2.87</v>
      </c>
      <c r="S38" s="54" t="n">
        <f aca="false">(L38+P38)</f>
        <v>5543.21006705245</v>
      </c>
      <c r="T38" s="55" t="n">
        <f aca="false">IF((((Q38-0.1)-($C$7+$C$8+$C$11+$C$12+K38+O38)-R38)&gt;(-$C$11+-$C$12)),((Q38-0.1)-($C$7+$C$8+$C$11+$C$12+K38+O38)-R38),(-$C$11+-$C$12))</f>
        <v>-0.155360503352623</v>
      </c>
      <c r="U38" s="56" t="n">
        <f aca="false">B38*T38</f>
        <v>-3107.21006705245</v>
      </c>
      <c r="V38" s="57" t="n">
        <f aca="false">0.085*U38</f>
        <v>-264.112855699459</v>
      </c>
      <c r="W38" s="58" t="n">
        <f aca="false">(($C$11-0.09)*$C$5)*0.085</f>
        <v>200.94</v>
      </c>
      <c r="X38" s="59" t="n">
        <f aca="false">E38+G38+S38+V38+W38</f>
        <v>67535.3876292827</v>
      </c>
      <c r="Z38" s="60" t="n">
        <f aca="false">(U38*0.075)+((($C$11-0.09)*$C$5)*0.075)</f>
        <v>-55.740755028934</v>
      </c>
      <c r="AA38" s="51" t="n">
        <f aca="false">(U38*0.01)+((($C$11-0.09)*$C$5)*0.01)</f>
        <v>-7.43210067052453</v>
      </c>
      <c r="AC38" s="61" t="n">
        <f aca="false">$C$5*0.02</f>
        <v>400</v>
      </c>
    </row>
    <row r="39" customFormat="false" ht="12.75" hidden="false" customHeight="false" outlineLevel="0" collapsed="false">
      <c r="A39" s="42" t="n">
        <f aca="false">A38+1</f>
        <v>37127</v>
      </c>
      <c r="B39" s="43" t="n">
        <f aca="false">14999+5000</f>
        <v>19999</v>
      </c>
      <c r="C39" s="44" t="n">
        <f aca="false">$B39/(1-$C$9)/(1-$C$13)</f>
        <v>20993.8458712226</v>
      </c>
      <c r="D39" s="43" t="n">
        <f aca="false">14999+5000</f>
        <v>19999</v>
      </c>
      <c r="E39" s="45" t="n">
        <f aca="false">$C$5*0.09</f>
        <v>1800</v>
      </c>
      <c r="F39" s="46" t="n">
        <v>2.45</v>
      </c>
      <c r="G39" s="47" t="n">
        <f aca="false">C39*F39</f>
        <v>51434.9223844953</v>
      </c>
      <c r="H39" s="48" t="n">
        <f aca="false">$C$7*$C$5</f>
        <v>2062</v>
      </c>
      <c r="I39" s="49" t="n">
        <f aca="false">$C$8*D39</f>
        <v>21.9989</v>
      </c>
      <c r="J39" s="49" t="n">
        <f aca="false">((F39/(1-$C$9)/(1-$C$13))-F39)*D39</f>
        <v>2437.37238449527</v>
      </c>
      <c r="K39" s="50" t="n">
        <f aca="false">((F39/(1-$C$9)/(1-$C$13))-F39)</f>
        <v>0.121874712960412</v>
      </c>
      <c r="L39" s="49" t="n">
        <f aca="false">SUM(H39:J39)</f>
        <v>4521.37128449527</v>
      </c>
      <c r="M39" s="49" t="n">
        <f aca="false">$C$12*D39</f>
        <v>459.977</v>
      </c>
      <c r="N39" s="49" t="n">
        <f aca="false">((F39/(1-$C$9))-F39)*$D39</f>
        <v>122.800877192981</v>
      </c>
      <c r="O39" s="50" t="n">
        <f aca="false">((F39/(1-$C$9))-F39)</f>
        <v>0.00614035087719289</v>
      </c>
      <c r="P39" s="51" t="n">
        <f aca="false">SUM(M39:N39)</f>
        <v>582.777877192981</v>
      </c>
      <c r="Q39" s="52" t="n">
        <v>3.02</v>
      </c>
      <c r="R39" s="53" t="n">
        <v>2.45</v>
      </c>
      <c r="S39" s="54" t="n">
        <f aca="false">(L39+P39)</f>
        <v>5104.14916168825</v>
      </c>
      <c r="T39" s="55" t="n">
        <f aca="false">IF((((Q39-0.1)-($C$7+$C$8+$C$11+$C$12+K39+O39)-R39)&gt;(-$C$11+-$C$12)),((Q39-0.1)-($C$7+$C$8+$C$11+$C$12+K39+O39)-R39),(-$C$11+-$C$12))</f>
        <v>0.00658493616239531</v>
      </c>
      <c r="U39" s="56" t="n">
        <f aca="false">B39*T39</f>
        <v>131.692138311744</v>
      </c>
      <c r="V39" s="57" t="n">
        <f aca="false">0.085*U39</f>
        <v>11.1938317564982</v>
      </c>
      <c r="W39" s="58" t="n">
        <f aca="false">(($C$11-0.09)*$C$5)*0.085</f>
        <v>200.94</v>
      </c>
      <c r="X39" s="59" t="n">
        <f aca="false">E39+G39+S39+V39+W39</f>
        <v>58551.20537794</v>
      </c>
      <c r="Z39" s="60" t="n">
        <f aca="false">(U39*0.075)+((($C$11-0.09)*$C$5)*0.075)</f>
        <v>187.176910373381</v>
      </c>
      <c r="AA39" s="51" t="n">
        <f aca="false">(U39*0.01)+((($C$11-0.09)*$C$5)*0.01)</f>
        <v>24.9569213831174</v>
      </c>
      <c r="AC39" s="61" t="n">
        <f aca="false">$C$5*0.02</f>
        <v>400</v>
      </c>
    </row>
    <row r="40" customFormat="false" ht="12.75" hidden="false" customHeight="false" outlineLevel="0" collapsed="false">
      <c r="A40" s="42" t="n">
        <f aca="false">A39+1</f>
        <v>37128</v>
      </c>
      <c r="B40" s="43" t="n">
        <v>20000</v>
      </c>
      <c r="C40" s="44" t="n">
        <f aca="false">$B40/(1-$C$9)/(1-$C$13)</f>
        <v>20994.8956160034</v>
      </c>
      <c r="D40" s="43" t="n">
        <v>20000</v>
      </c>
      <c r="E40" s="45" t="n">
        <f aca="false">$C$5*0.09</f>
        <v>1800</v>
      </c>
      <c r="F40" s="46" t="n">
        <v>2.305</v>
      </c>
      <c r="G40" s="47" t="n">
        <f aca="false">C40*F40</f>
        <v>48393.2343948877</v>
      </c>
      <c r="H40" s="48" t="n">
        <f aca="false">$C$7*$C$5</f>
        <v>2062</v>
      </c>
      <c r="I40" s="49" t="n">
        <f aca="false">$C$8*D40</f>
        <v>22</v>
      </c>
      <c r="J40" s="49" t="n">
        <f aca="false">((F40/(1-$C$9)/(1-$C$13))-F40)*D40</f>
        <v>2293.23439488774</v>
      </c>
      <c r="K40" s="50" t="n">
        <f aca="false">((F40/(1-$C$9)/(1-$C$13))-F40)</f>
        <v>0.114661719744387</v>
      </c>
      <c r="L40" s="49" t="n">
        <f aca="false">SUM(H40:J40)</f>
        <v>4377.23439488774</v>
      </c>
      <c r="M40" s="49" t="n">
        <f aca="false">$C$12*D40</f>
        <v>460</v>
      </c>
      <c r="N40" s="49" t="n">
        <f aca="false">((F40/(1-$C$9))-F40)*$D40</f>
        <v>115.538847117795</v>
      </c>
      <c r="O40" s="50" t="n">
        <f aca="false">((F40/(1-$C$9))-F40)</f>
        <v>0.00577694235588977</v>
      </c>
      <c r="P40" s="51" t="n">
        <f aca="false">SUM(M40:N40)</f>
        <v>575.538847117795</v>
      </c>
      <c r="Q40" s="52" t="n">
        <v>2.825</v>
      </c>
      <c r="R40" s="53" t="n">
        <v>2.305</v>
      </c>
      <c r="S40" s="54" t="n">
        <f aca="false">(L40+P40)</f>
        <v>4952.77324200554</v>
      </c>
      <c r="T40" s="55" t="n">
        <f aca="false">IF((((Q40-0.1)-($C$7+$C$8+$C$11+$C$12+K40+O40)-R40)&gt;(-$C$11+-$C$12)),((Q40-0.1)-($C$7+$C$8+$C$11+$C$12+K40+O40)-R40),(-$C$11+-$C$12))</f>
        <v>-0.0358386621002769</v>
      </c>
      <c r="U40" s="56" t="n">
        <f aca="false">B40*T40</f>
        <v>-716.773242005537</v>
      </c>
      <c r="V40" s="57" t="n">
        <f aca="false">0.085*U40</f>
        <v>-60.9257255704707</v>
      </c>
      <c r="W40" s="58" t="n">
        <f aca="false">(($C$11-0.09)*$C$5)*0.085</f>
        <v>200.94</v>
      </c>
      <c r="X40" s="59" t="n">
        <f aca="false">E40+G40+S40+V40+W40</f>
        <v>55286.0219113228</v>
      </c>
      <c r="Z40" s="60" t="n">
        <f aca="false">(U40*0.075)+((($C$11-0.09)*$C$5)*0.075)</f>
        <v>123.542006849585</v>
      </c>
      <c r="AA40" s="51" t="n">
        <f aca="false">(U40*0.01)+((($C$11-0.09)*$C$5)*0.01)</f>
        <v>16.4722675799446</v>
      </c>
      <c r="AC40" s="61" t="n">
        <f aca="false">$C$5*0.02</f>
        <v>400</v>
      </c>
    </row>
    <row r="41" customFormat="false" ht="12.75" hidden="false" customHeight="false" outlineLevel="0" collapsed="false">
      <c r="A41" s="42" t="n">
        <f aca="false">A40+1</f>
        <v>37129</v>
      </c>
      <c r="B41" s="43" t="n">
        <v>20000</v>
      </c>
      <c r="C41" s="44" t="n">
        <f aca="false">$B41/(1-$C$9)/(1-$C$13)</f>
        <v>20994.8956160034</v>
      </c>
      <c r="D41" s="43" t="n">
        <v>20000</v>
      </c>
      <c r="E41" s="45" t="n">
        <f aca="false">$C$5*0.09</f>
        <v>1800</v>
      </c>
      <c r="F41" s="46" t="n">
        <v>2.305</v>
      </c>
      <c r="G41" s="47" t="n">
        <f aca="false">C41*F41</f>
        <v>48393.2343948877</v>
      </c>
      <c r="H41" s="48" t="n">
        <f aca="false">$C$7*$C$5</f>
        <v>2062</v>
      </c>
      <c r="I41" s="49" t="n">
        <f aca="false">$C$8*D41</f>
        <v>22</v>
      </c>
      <c r="J41" s="49" t="n">
        <f aca="false">((F41/(1-$C$9)/(1-$C$13))-F41)*D41</f>
        <v>2293.23439488774</v>
      </c>
      <c r="K41" s="50" t="n">
        <f aca="false">((F41/(1-$C$9)/(1-$C$13))-F41)</f>
        <v>0.114661719744387</v>
      </c>
      <c r="L41" s="49" t="n">
        <f aca="false">SUM(H41:J41)</f>
        <v>4377.23439488774</v>
      </c>
      <c r="M41" s="49" t="n">
        <f aca="false">$C$12*D41</f>
        <v>460</v>
      </c>
      <c r="N41" s="49" t="n">
        <f aca="false">((F41/(1-$C$9))-F41)*$D41</f>
        <v>115.538847117795</v>
      </c>
      <c r="O41" s="50" t="n">
        <f aca="false">((F41/(1-$C$9))-F41)</f>
        <v>0.00577694235588977</v>
      </c>
      <c r="P41" s="51" t="n">
        <f aca="false">SUM(M41:N41)</f>
        <v>575.538847117795</v>
      </c>
      <c r="Q41" s="52" t="n">
        <v>2.825</v>
      </c>
      <c r="R41" s="53" t="n">
        <v>2.305</v>
      </c>
      <c r="S41" s="54" t="n">
        <f aca="false">(L41+P41)</f>
        <v>4952.77324200554</v>
      </c>
      <c r="T41" s="55" t="n">
        <f aca="false">IF((((Q41-0.1)-($C$7+$C$8+$C$11+$C$12+K41+O41)-R41)&gt;(-$C$11+-$C$12)),((Q41-0.1)-($C$7+$C$8+$C$11+$C$12+K41+O41)-R41),(-$C$11+-$C$12))</f>
        <v>-0.0358386621002769</v>
      </c>
      <c r="U41" s="56" t="n">
        <f aca="false">B41*T41</f>
        <v>-716.773242005537</v>
      </c>
      <c r="V41" s="57" t="n">
        <f aca="false">0.085*U41</f>
        <v>-60.9257255704707</v>
      </c>
      <c r="W41" s="58" t="n">
        <f aca="false">(($C$11-0.09)*$C$5)*0.085</f>
        <v>200.94</v>
      </c>
      <c r="X41" s="59" t="n">
        <f aca="false">E41+G41+S41+V41+W41</f>
        <v>55286.0219113228</v>
      </c>
      <c r="Z41" s="60" t="n">
        <f aca="false">(U41*0.075)+((($C$11-0.09)*$C$5)*0.075)</f>
        <v>123.542006849585</v>
      </c>
      <c r="AA41" s="51" t="n">
        <f aca="false">(U41*0.01)+((($C$11-0.09)*$C$5)*0.01)</f>
        <v>16.4722675799446</v>
      </c>
      <c r="AC41" s="61" t="n">
        <f aca="false">$C$5*0.02</f>
        <v>400</v>
      </c>
    </row>
    <row r="42" customFormat="false" ht="12.75" hidden="false" customHeight="false" outlineLevel="0" collapsed="false">
      <c r="A42" s="42" t="n">
        <f aca="false">A41+1</f>
        <v>37130</v>
      </c>
      <c r="B42" s="43" t="n">
        <v>20000</v>
      </c>
      <c r="C42" s="44" t="n">
        <f aca="false">$B42/(1-$C$9)/(1-$C$13)</f>
        <v>20994.8956160034</v>
      </c>
      <c r="D42" s="43" t="n">
        <v>20000</v>
      </c>
      <c r="E42" s="45" t="n">
        <f aca="false">$C$5*0.09</f>
        <v>1800</v>
      </c>
      <c r="F42" s="46" t="n">
        <v>2.305</v>
      </c>
      <c r="G42" s="47" t="n">
        <f aca="false">C42*F42</f>
        <v>48393.2343948877</v>
      </c>
      <c r="H42" s="48" t="n">
        <f aca="false">$C$7*$C$5</f>
        <v>2062</v>
      </c>
      <c r="I42" s="49" t="n">
        <f aca="false">$C$8*D42</f>
        <v>22</v>
      </c>
      <c r="J42" s="49" t="n">
        <f aca="false">((F42/(1-$C$9)/(1-$C$13))-F42)*D42</f>
        <v>2293.23439488774</v>
      </c>
      <c r="K42" s="50" t="n">
        <f aca="false">((F42/(1-$C$9)/(1-$C$13))-F42)</f>
        <v>0.114661719744387</v>
      </c>
      <c r="L42" s="49" t="n">
        <f aca="false">SUM(H42:J42)</f>
        <v>4377.23439488774</v>
      </c>
      <c r="M42" s="49" t="n">
        <f aca="false">$C$12*D42</f>
        <v>460</v>
      </c>
      <c r="N42" s="49" t="n">
        <f aca="false">((F42/(1-$C$9))-F42)*$D42</f>
        <v>115.538847117795</v>
      </c>
      <c r="O42" s="50" t="n">
        <f aca="false">((F42/(1-$C$9))-F42)</f>
        <v>0.00577694235588977</v>
      </c>
      <c r="P42" s="51" t="n">
        <f aca="false">SUM(M42:N42)</f>
        <v>575.538847117795</v>
      </c>
      <c r="Q42" s="52" t="n">
        <v>2.825</v>
      </c>
      <c r="R42" s="53" t="n">
        <v>2.305</v>
      </c>
      <c r="S42" s="54" t="n">
        <f aca="false">(L42+P42)</f>
        <v>4952.77324200554</v>
      </c>
      <c r="T42" s="55" t="n">
        <f aca="false">IF((((Q42-0.1)-($C$7+$C$8+$C$11+$C$12+K42+O42)-R42)&gt;(-$C$11+-$C$12)),((Q42-0.1)-($C$7+$C$8+$C$11+$C$12+K42+O42)-R42),(-$C$11+-$C$12))</f>
        <v>-0.0358386621002769</v>
      </c>
      <c r="U42" s="56" t="n">
        <f aca="false">B42*T42</f>
        <v>-716.773242005537</v>
      </c>
      <c r="V42" s="57" t="n">
        <f aca="false">0.085*U42</f>
        <v>-60.9257255704707</v>
      </c>
      <c r="W42" s="58" t="n">
        <f aca="false">(($C$11-0.09)*$C$5)*0.085</f>
        <v>200.94</v>
      </c>
      <c r="X42" s="59" t="n">
        <f aca="false">E42+G42+S42+V42+W42</f>
        <v>55286.0219113228</v>
      </c>
      <c r="Z42" s="60" t="n">
        <f aca="false">(U42*0.075)+((($C$11-0.09)*$C$5)*0.075)</f>
        <v>123.542006849585</v>
      </c>
      <c r="AA42" s="51" t="n">
        <f aca="false">(U42*0.01)+((($C$11-0.09)*$C$5)*0.01)</f>
        <v>16.4722675799446</v>
      </c>
      <c r="AC42" s="61" t="n">
        <f aca="false">$C$5*0.02</f>
        <v>400</v>
      </c>
    </row>
    <row r="43" customFormat="false" ht="12.75" hidden="false" customHeight="false" outlineLevel="0" collapsed="false">
      <c r="A43" s="42" t="n">
        <f aca="false">A42+1</f>
        <v>37131</v>
      </c>
      <c r="B43" s="43" t="n">
        <v>20000</v>
      </c>
      <c r="C43" s="44" t="n">
        <f aca="false">$B43/(1-$C$9)/(1-$C$13)</f>
        <v>20994.8956160034</v>
      </c>
      <c r="D43" s="43" t="n">
        <v>20000</v>
      </c>
      <c r="E43" s="45" t="n">
        <f aca="false">$C$5*0.09</f>
        <v>1800</v>
      </c>
      <c r="F43" s="46" t="n">
        <v>2.315</v>
      </c>
      <c r="G43" s="47" t="n">
        <f aca="false">C43*F43</f>
        <v>48603.1833510478</v>
      </c>
      <c r="H43" s="48" t="n">
        <f aca="false">$C$7*$C$5</f>
        <v>2062</v>
      </c>
      <c r="I43" s="49" t="n">
        <f aca="false">$C$8*D43</f>
        <v>22</v>
      </c>
      <c r="J43" s="49" t="n">
        <f aca="false">((F43/(1-$C$9)/(1-$C$13))-F43)*D43</f>
        <v>2303.18335104778</v>
      </c>
      <c r="K43" s="50" t="n">
        <f aca="false">((F43/(1-$C$9)/(1-$C$13))-F43)</f>
        <v>0.115159167552389</v>
      </c>
      <c r="L43" s="49" t="n">
        <f aca="false">SUM(H43:J43)</f>
        <v>4387.18335104778</v>
      </c>
      <c r="M43" s="49" t="n">
        <f aca="false">$C$12*D43</f>
        <v>460</v>
      </c>
      <c r="N43" s="49" t="n">
        <f aca="false">((F43/(1-$C$9))-F43)*$D43</f>
        <v>116.040100250627</v>
      </c>
      <c r="O43" s="50" t="n">
        <f aca="false">((F43/(1-$C$9))-F43)</f>
        <v>0.00580200501253136</v>
      </c>
      <c r="P43" s="51" t="n">
        <f aca="false">SUM(M43:N43)</f>
        <v>576.040100250627</v>
      </c>
      <c r="Q43" s="52" t="n">
        <v>2.76</v>
      </c>
      <c r="R43" s="53" t="n">
        <v>2.315</v>
      </c>
      <c r="S43" s="54" t="n">
        <f aca="false">(L43+P43)</f>
        <v>4963.22345129841</v>
      </c>
      <c r="T43" s="55" t="n">
        <f aca="false">IF((((Q43-0.1)-($C$7+$C$8+$C$11+$C$12+K43+O43)-R43)&gt;(-$C$11+-$C$12)),((Q43-0.1)-($C$7+$C$8+$C$11+$C$12+K43+O43)-R43),(-$C$11+-$C$12))</f>
        <v>-0.111361172564921</v>
      </c>
      <c r="U43" s="56" t="n">
        <f aca="false">B43*T43</f>
        <v>-2227.22345129841</v>
      </c>
      <c r="V43" s="57" t="n">
        <f aca="false">0.085*U43</f>
        <v>-189.313993360365</v>
      </c>
      <c r="W43" s="58" t="n">
        <f aca="false">(($C$11-0.09)*$C$5)*0.085</f>
        <v>200.94</v>
      </c>
      <c r="X43" s="59" t="n">
        <f aca="false">E43+G43+S43+V43+W43</f>
        <v>55378.0328089858</v>
      </c>
      <c r="Z43" s="60" t="n">
        <f aca="false">(U43*0.075)+((($C$11-0.09)*$C$5)*0.075)</f>
        <v>10.2582411526191</v>
      </c>
      <c r="AA43" s="51" t="n">
        <f aca="false">(U43*0.01)+((($C$11-0.09)*$C$5)*0.01)</f>
        <v>1.36776548701588</v>
      </c>
      <c r="AC43" s="61" t="n">
        <f aca="false">$C$5*0.02</f>
        <v>400</v>
      </c>
    </row>
    <row r="44" customFormat="false" ht="12.75" hidden="false" customHeight="false" outlineLevel="0" collapsed="false">
      <c r="A44" s="42" t="n">
        <f aca="false">A43+1</f>
        <v>37132</v>
      </c>
      <c r="B44" s="43" t="n">
        <v>20000</v>
      </c>
      <c r="C44" s="44" t="n">
        <f aca="false">$B44/(1-$C$9)/(1-$C$13)</f>
        <v>20994.8956160034</v>
      </c>
      <c r="D44" s="43" t="n">
        <v>20000</v>
      </c>
      <c r="E44" s="45" t="n">
        <f aca="false">$C$5*0.09</f>
        <v>1800</v>
      </c>
      <c r="F44" s="46" t="n">
        <v>2.3</v>
      </c>
      <c r="G44" s="47" t="n">
        <f aca="false">C44*F44</f>
        <v>48288.2599168077</v>
      </c>
      <c r="H44" s="48" t="n">
        <f aca="false">$C$7*$C$5</f>
        <v>2062</v>
      </c>
      <c r="I44" s="49" t="n">
        <f aca="false">$C$8*D44</f>
        <v>22</v>
      </c>
      <c r="J44" s="49" t="n">
        <f aca="false">((F44/(1-$C$9)/(1-$C$13))-F44)*D44</f>
        <v>2288.25991680773</v>
      </c>
      <c r="K44" s="50" t="n">
        <f aca="false">((F44/(1-$C$9)/(1-$C$13))-F44)</f>
        <v>0.114412995840386</v>
      </c>
      <c r="L44" s="49" t="n">
        <f aca="false">SUM(H44:J44)</f>
        <v>4372.25991680773</v>
      </c>
      <c r="M44" s="49" t="n">
        <f aca="false">$C$12*D44</f>
        <v>460</v>
      </c>
      <c r="N44" s="49" t="n">
        <f aca="false">((F44/(1-$C$9))-F44)*$D44</f>
        <v>115.288220551379</v>
      </c>
      <c r="O44" s="50" t="n">
        <f aca="false">((F44/(1-$C$9))-F44)</f>
        <v>0.00576441102756897</v>
      </c>
      <c r="P44" s="51" t="n">
        <f aca="false">SUM(M44:N44)</f>
        <v>575.28822055138</v>
      </c>
      <c r="Q44" s="52" t="n">
        <v>2.69</v>
      </c>
      <c r="R44" s="53" t="n">
        <v>2.3</v>
      </c>
      <c r="S44" s="54" t="n">
        <f aca="false">(L44+P44)</f>
        <v>4947.54813735911</v>
      </c>
      <c r="T44" s="55" t="n">
        <f aca="false">IF((((Q44-0.1)-($C$7+$C$8+$C$11+$C$12+K44+O44)-R44)&gt;(-$C$11+-$C$12)),((Q44-0.1)-($C$7+$C$8+$C$11+$C$12+K44+O44)-R44),(-$C$11+-$C$12))</f>
        <v>-0.165577406867955</v>
      </c>
      <c r="U44" s="56" t="n">
        <f aca="false">B44*T44</f>
        <v>-3311.5481373591</v>
      </c>
      <c r="V44" s="57" t="n">
        <f aca="false">0.085*U44</f>
        <v>-281.481591675524</v>
      </c>
      <c r="W44" s="58" t="n">
        <f aca="false">(($C$11-0.09)*$C$5)*0.085</f>
        <v>200.94</v>
      </c>
      <c r="X44" s="59" t="n">
        <f aca="false">E44+G44+S44+V44+W44</f>
        <v>54955.2664624913</v>
      </c>
      <c r="Z44" s="60" t="n">
        <f aca="false">(U44*0.075)+((($C$11-0.09)*$C$5)*0.075)</f>
        <v>-71.0661103019328</v>
      </c>
      <c r="AA44" s="51" t="n">
        <f aca="false">(U44*0.01)+((($C$11-0.09)*$C$5)*0.01)</f>
        <v>-9.47548137359104</v>
      </c>
      <c r="AC44" s="61" t="n">
        <f aca="false">$C$5*0.02</f>
        <v>400</v>
      </c>
    </row>
    <row r="45" customFormat="false" ht="12.75" hidden="false" customHeight="false" outlineLevel="0" collapsed="false">
      <c r="A45" s="42" t="n">
        <f aca="false">A44+1</f>
        <v>37133</v>
      </c>
      <c r="B45" s="43" t="n">
        <v>20000</v>
      </c>
      <c r="C45" s="44" t="n">
        <f aca="false">$B45/(1-$C$9)/(1-$C$13)</f>
        <v>20994.8956160034</v>
      </c>
      <c r="D45" s="43" t="n">
        <v>20000</v>
      </c>
      <c r="E45" s="45" t="n">
        <f aca="false">$C$5*0.09</f>
        <v>1800</v>
      </c>
      <c r="F45" s="46" t="n">
        <v>2.22</v>
      </c>
      <c r="G45" s="47" t="n">
        <f aca="false">C45*F45</f>
        <v>46608.6682675275</v>
      </c>
      <c r="H45" s="48" t="n">
        <f aca="false">$C$7*$C$5</f>
        <v>2062</v>
      </c>
      <c r="I45" s="49" t="n">
        <f aca="false">$C$8*D45</f>
        <v>22</v>
      </c>
      <c r="J45" s="49" t="n">
        <f aca="false">((F45/(1-$C$9)/(1-$C$13))-F45)*D45</f>
        <v>2208.66826752745</v>
      </c>
      <c r="K45" s="50" t="n">
        <f aca="false">((F45/(1-$C$9)/(1-$C$13))-F45)</f>
        <v>0.110433413376373</v>
      </c>
      <c r="L45" s="49" t="n">
        <f aca="false">SUM(H45:J45)</f>
        <v>4292.66826752745</v>
      </c>
      <c r="M45" s="49" t="n">
        <f aca="false">$C$12*D45</f>
        <v>460</v>
      </c>
      <c r="N45" s="49" t="n">
        <f aca="false">((F45/(1-$C$9))-F45)*$D45</f>
        <v>111.278195488715</v>
      </c>
      <c r="O45" s="50" t="n">
        <f aca="false">((F45/(1-$C$9))-F45)</f>
        <v>0.00556390977443577</v>
      </c>
      <c r="P45" s="51" t="n">
        <f aca="false">SUM(M45:N45)</f>
        <v>571.278195488716</v>
      </c>
      <c r="Q45" s="52" t="n">
        <v>2.55</v>
      </c>
      <c r="R45" s="53" t="n">
        <v>2.22</v>
      </c>
      <c r="S45" s="54" t="n">
        <f aca="false">(L45+P45)</f>
        <v>4863.94646301617</v>
      </c>
      <c r="T45" s="55" t="n">
        <f aca="false">IF((((Q45-0.1)-($C$7+$C$8+$C$11+$C$12+K45+O45)-R45)&gt;(-$C$11+-$C$12)),((Q45-0.1)-($C$7+$C$8+$C$11+$C$12+K45+O45)-R45),(-$C$11+-$C$12))</f>
        <v>-0.221397323150809</v>
      </c>
      <c r="U45" s="56" t="n">
        <f aca="false">B45*T45</f>
        <v>-4427.94646301618</v>
      </c>
      <c r="V45" s="57" t="n">
        <f aca="false">0.085*U45</f>
        <v>-376.375449356375</v>
      </c>
      <c r="W45" s="58" t="n">
        <f aca="false">(($C$11-0.09)*$C$5)*0.085</f>
        <v>200.94</v>
      </c>
      <c r="X45" s="59" t="n">
        <f aca="false">E45+G45+S45+V45+W45</f>
        <v>53097.1792811873</v>
      </c>
      <c r="Z45" s="60" t="n">
        <f aca="false">(U45*0.075)+((($C$11-0.09)*$C$5)*0.075)</f>
        <v>-154.795984726213</v>
      </c>
      <c r="AA45" s="51" t="n">
        <f aca="false">(U45*0.01)+((($C$11-0.09)*$C$5)*0.01)</f>
        <v>-20.6394646301618</v>
      </c>
      <c r="AC45" s="61" t="n">
        <f aca="false">$C$5*0.02</f>
        <v>400</v>
      </c>
    </row>
    <row r="46" customFormat="false" ht="13.5" hidden="false" customHeight="false" outlineLevel="0" collapsed="false">
      <c r="A46" s="62" t="n">
        <f aca="false">A45+1</f>
        <v>37134</v>
      </c>
      <c r="B46" s="63" t="n">
        <v>20000</v>
      </c>
      <c r="C46" s="44" t="n">
        <f aca="false">$B46/(1-$C$9)/(1-$C$13)</f>
        <v>20994.8956160034</v>
      </c>
      <c r="D46" s="63" t="n">
        <v>20000</v>
      </c>
      <c r="E46" s="45" t="n">
        <f aca="false">$C$5*0.09</f>
        <v>1800</v>
      </c>
      <c r="F46" s="64" t="n">
        <v>2.24</v>
      </c>
      <c r="G46" s="65" t="n">
        <f aca="false">C46*F46</f>
        <v>47028.5661798475</v>
      </c>
      <c r="H46" s="66" t="n">
        <f aca="false">$C$7*$C$5</f>
        <v>2062</v>
      </c>
      <c r="I46" s="67" t="n">
        <f aca="false">$C$8*D46</f>
        <v>22</v>
      </c>
      <c r="J46" s="49" t="n">
        <f aca="false">((F46/(1-$C$9)/(1-$C$13))-F46)*D46</f>
        <v>2228.56617984752</v>
      </c>
      <c r="K46" s="50" t="n">
        <f aca="false">((F46/(1-$C$9)/(1-$C$13))-F46)</f>
        <v>0.111428308992376</v>
      </c>
      <c r="L46" s="67" t="n">
        <f aca="false">SUM(H46:J46)</f>
        <v>4312.56617984752</v>
      </c>
      <c r="M46" s="67" t="n">
        <f aca="false">$C$12*D46</f>
        <v>460</v>
      </c>
      <c r="N46" s="49" t="n">
        <f aca="false">((F46/(1-$C$9))-F46)*$D46</f>
        <v>112.280701754379</v>
      </c>
      <c r="O46" s="50" t="n">
        <f aca="false">((F46/(1-$C$9))-F46)</f>
        <v>0.00561403508771896</v>
      </c>
      <c r="P46" s="68" t="n">
        <f aca="false">SUM(M46:N46)</f>
        <v>572.280701754379</v>
      </c>
      <c r="Q46" s="69" t="n">
        <v>2.545</v>
      </c>
      <c r="R46" s="70" t="n">
        <v>2.24</v>
      </c>
      <c r="S46" s="54" t="n">
        <f aca="false">(L46+P46)</f>
        <v>4884.8468816019</v>
      </c>
      <c r="T46" s="55" t="n">
        <f aca="false">IF((((Q46-0.1)-($C$7+$C$8+$C$11+$C$12+K46+O46)-R46)&gt;(-$C$11+-$C$12)),((Q46-0.1)-($C$7+$C$8+$C$11+$C$12+K46+O46)-R46),(-$C$11+-$C$12))</f>
        <v>-0.2312</v>
      </c>
      <c r="U46" s="56" t="n">
        <f aca="false">B46*T46</f>
        <v>-4624</v>
      </c>
      <c r="V46" s="57" t="n">
        <f aca="false">0.085*U46</f>
        <v>-393.04</v>
      </c>
      <c r="W46" s="58" t="n">
        <f aca="false">(($C$11-0.09)*$C$5)*0.085</f>
        <v>200.94</v>
      </c>
      <c r="X46" s="59" t="n">
        <f aca="false">E46+G46+S46+V46+W46</f>
        <v>53521.3130614494</v>
      </c>
      <c r="Z46" s="71" t="n">
        <f aca="false">(U46*0.075)+((($C$11-0.09)*$C$5)*0.075)</f>
        <v>-169.5</v>
      </c>
      <c r="AA46" s="68" t="n">
        <f aca="false">(U46*0.01)+((($C$11-0.09)*$C$5)*0.01)</f>
        <v>-22.6</v>
      </c>
      <c r="AC46" s="61" t="n">
        <f aca="false">$C$5*0.02</f>
        <v>400</v>
      </c>
    </row>
    <row r="47" customFormat="false" ht="13.5" hidden="false" customHeight="false" outlineLevel="0" collapsed="false">
      <c r="A47" s="72" t="s">
        <v>41</v>
      </c>
      <c r="B47" s="73" t="n">
        <f aca="false">SUM(B16:B46)</f>
        <v>575504</v>
      </c>
      <c r="C47" s="74" t="n">
        <f aca="false">SUM(C16:C46)</f>
        <v>604132.32032962</v>
      </c>
      <c r="D47" s="75" t="n">
        <f aca="false">SUM(D16:D46)</f>
        <v>575504</v>
      </c>
      <c r="E47" s="76"/>
      <c r="F47" s="77"/>
      <c r="G47" s="78" t="n">
        <f aca="false">SUM(G16:G46)</f>
        <v>1558441.21298009</v>
      </c>
      <c r="H47" s="79"/>
      <c r="I47" s="80"/>
      <c r="J47" s="77"/>
      <c r="K47" s="77"/>
      <c r="L47" s="77"/>
      <c r="M47" s="80"/>
      <c r="N47" s="77"/>
      <c r="O47" s="77"/>
      <c r="P47" s="77"/>
      <c r="Q47" s="77"/>
      <c r="R47" s="77"/>
      <c r="S47" s="77"/>
      <c r="T47" s="77"/>
      <c r="U47" s="81" t="n">
        <f aca="false">SUM(U16:U46)</f>
        <v>-18393.700815014</v>
      </c>
      <c r="V47" s="82" t="n">
        <f aca="false">SUM(V16:V46)</f>
        <v>-1563.46456927619</v>
      </c>
      <c r="W47" s="82" t="n">
        <f aca="false">SUM(W16:W46)</f>
        <v>6229.14</v>
      </c>
      <c r="X47" s="83" t="n">
        <f aca="false">SUM(X16:X46)</f>
        <v>1774269.9461869</v>
      </c>
      <c r="Z47" s="84" t="n">
        <f aca="false">SUM(Z16:Z46)</f>
        <v>4116.77243887395</v>
      </c>
      <c r="AA47" s="85" t="n">
        <f aca="false">SUM(AA16:AA46)</f>
        <v>548.90299184986</v>
      </c>
      <c r="AC47" s="86" t="n">
        <f aca="false">SUM(AC16:AC46)</f>
        <v>12400</v>
      </c>
    </row>
    <row r="48" customFormat="false" ht="12.75" hidden="false" customHeight="false" outlineLevel="0" collapsed="false">
      <c r="U48" s="0" t="s">
        <v>42</v>
      </c>
      <c r="W48" s="87" t="n">
        <f aca="false">V47+W47</f>
        <v>4665.67543072381</v>
      </c>
      <c r="AA48" s="87" t="n">
        <f aca="false">Z47+AA47</f>
        <v>4665.67543072381</v>
      </c>
      <c r="AC48" s="87"/>
    </row>
    <row r="49" customFormat="false" ht="12.75" hidden="false" customHeight="false" outlineLevel="0" collapsed="false">
      <c r="U49" s="0" t="s">
        <v>43</v>
      </c>
    </row>
    <row r="50" customFormat="false" ht="12.75" hidden="false" customHeight="false" outlineLevel="0" collapsed="false">
      <c r="U50" s="0" t="s">
        <v>44</v>
      </c>
    </row>
    <row r="51" customFormat="false" ht="12.75" hidden="false" customHeight="false" outlineLevel="0" collapsed="false">
      <c r="U51" s="0" t="s">
        <v>45</v>
      </c>
    </row>
  </sheetData>
  <mergeCells count="4">
    <mergeCell ref="H13:P13"/>
    <mergeCell ref="H14:L14"/>
    <mergeCell ref="M14:P14"/>
    <mergeCell ref="Q14:W1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2001-08-24T17:44:32Z</dcterms:created>
  <dc:creator>mbronst2</dc:creator>
  <dc:description/>
  <dc:language>en-US</dc:language>
  <cp:lastModifiedBy>mbronst2</cp:lastModifiedBy>
  <dcterms:modified xsi:type="dcterms:W3CDTF">2001-10-01T20:12:52Z</dcterms:modified>
  <cp:revision>0</cp:revision>
  <dc:subject/>
  <dc:title/>
</cp:coreProperties>
</file>